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0490" windowHeight="7755" tabRatio="967"/>
  </bookViews>
  <sheets>
    <sheet name="Z_TARTALOMJEGYZÉK" sheetId="209" r:id="rId1"/>
    <sheet name="Z_ÖSSZEFÜGGÉSEK" sheetId="75" r:id="rId2"/>
    <sheet name="Z_1.1.sz.mell." sheetId="1" r:id="rId3"/>
    <sheet name="Z_1.2.sz.mell." sheetId="142" r:id="rId4"/>
    <sheet name="Z_1.3.sz.mell." sheetId="143" state="hidden" r:id="rId5"/>
    <sheet name="Z_1.4.sz.mell." sheetId="144" state="hidden" r:id="rId6"/>
    <sheet name="Z_2.1.sz.mell" sheetId="73" r:id="rId7"/>
    <sheet name="Z_2.2.sz.mell" sheetId="61" r:id="rId8"/>
    <sheet name="Z_ELLENŐRZÉS" sheetId="76" r:id="rId9"/>
    <sheet name="Z_ALAPADATOK" sheetId="94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state="hidden" r:id="rId16"/>
    <sheet name="Z_6.1.3.sz.mell" sheetId="135" state="hidden" r:id="rId17"/>
    <sheet name="Z_6.2.sz.mell" sheetId="79" r:id="rId18"/>
    <sheet name="Z_6.2.1.sz.mell" sheetId="138" r:id="rId19"/>
    <sheet name="Z_6.2.2.sz.mell" sheetId="137" state="hidden" r:id="rId20"/>
    <sheet name="Z_6.2.3.sz.mell" sheetId="136" state="hidden" r:id="rId21"/>
    <sheet name="Z_6.3.sz.mell" sheetId="105" state="hidden" r:id="rId22"/>
    <sheet name="Z_6.3.1.sz.mell" sheetId="139" state="hidden" r:id="rId23"/>
    <sheet name="Z_6.3.2.sz.mell" sheetId="140" state="hidden" r:id="rId24"/>
    <sheet name="Z_6.3.3.sz.mell" sheetId="141" state="hidden" r:id="rId25"/>
    <sheet name="Z_6.4.sz.mell" sheetId="145" state="hidden" r:id="rId26"/>
    <sheet name="Z_6.4.1.sz.mell" sheetId="146" state="hidden" r:id="rId27"/>
    <sheet name="Z_6.4.2.sz.mell" sheetId="147" state="hidden" r:id="rId28"/>
    <sheet name="Z_6.4.3.sz.mell" sheetId="148" state="hidden" r:id="rId29"/>
    <sheet name="Z_6.5.sz.mell" sheetId="149" state="hidden" r:id="rId30"/>
    <sheet name="Z_6.5.1.sz.mell" sheetId="150" state="hidden" r:id="rId31"/>
    <sheet name="Z_6.5.2.sz.mell" sheetId="151" state="hidden" r:id="rId32"/>
    <sheet name="Z_6.5.3.sz.mell" sheetId="152" state="hidden" r:id="rId33"/>
    <sheet name="Z_6.6.sz.mell" sheetId="153" state="hidden" r:id="rId34"/>
    <sheet name="Z_6.6.1.sz.mell" sheetId="154" state="hidden" r:id="rId35"/>
    <sheet name="Z_6.6.2.sz.mell" sheetId="155" state="hidden" r:id="rId36"/>
    <sheet name="Z_6.6.3.sz.mell" sheetId="156" state="hidden" r:id="rId37"/>
    <sheet name="Z_6.7.sz.mell" sheetId="157" state="hidden" r:id="rId38"/>
    <sheet name="Z_6.7.1.sz.mell" sheetId="158" state="hidden" r:id="rId39"/>
    <sheet name="Z_6.7.2.sz.mell" sheetId="159" state="hidden" r:id="rId40"/>
    <sheet name="Z_6.7.3.sz.mell" sheetId="160" state="hidden" r:id="rId41"/>
    <sheet name="Z_6.8.sz.mell" sheetId="161" state="hidden" r:id="rId42"/>
    <sheet name="Z_6.8.1.sz.mell" sheetId="162" state="hidden" r:id="rId43"/>
    <sheet name="Z_6.8.2.sz.mell" sheetId="163" state="hidden" r:id="rId44"/>
    <sheet name="Z_6.8.3.sz.mell" sheetId="164" state="hidden" r:id="rId45"/>
    <sheet name="Z_6.9.sz.mell" sheetId="169" state="hidden" r:id="rId46"/>
    <sheet name="Z_6.9.1.sz.mell" sheetId="170" state="hidden" r:id="rId47"/>
    <sheet name="Z_6.9.2.sz.mell" sheetId="171" state="hidden" r:id="rId48"/>
    <sheet name="Z_6.9.3.sz.mell" sheetId="172" state="hidden" r:id="rId49"/>
    <sheet name="Z_6.10.sz.mell" sheetId="173" state="hidden" r:id="rId50"/>
    <sheet name="Z_6.10.1.sz.mell" sheetId="174" state="hidden" r:id="rId51"/>
    <sheet name="Z_6.10.2.sz.mell" sheetId="175" state="hidden" r:id="rId52"/>
    <sheet name="Z_6.10.3.sz.mell" sheetId="176" state="hidden" r:id="rId53"/>
    <sheet name="Z_6.11.sz.mell" sheetId="177" state="hidden" r:id="rId54"/>
    <sheet name="Z_6.11.1.sz.mell" sheetId="178" state="hidden" r:id="rId55"/>
    <sheet name="Z_6.11.2.sz.mell" sheetId="179" state="hidden" r:id="rId56"/>
    <sheet name="Z_6.11.3.sz.mell" sheetId="180" state="hidden" r:id="rId57"/>
    <sheet name="Z_6.12.sz.mell" sheetId="181" state="hidden" r:id="rId58"/>
    <sheet name="Z_6.12.1.sz.mell" sheetId="182" state="hidden" r:id="rId59"/>
    <sheet name="Z_6.12.2.sz.mell" sheetId="183" state="hidden" r:id="rId60"/>
    <sheet name="Z_6.12.3.sz.mell" sheetId="184" state="hidden" r:id="rId61"/>
    <sheet name="Z_7.sz.mell" sheetId="211" r:id="rId62"/>
    <sheet name="Z_8.sz.mell" sheetId="210" r:id="rId63"/>
    <sheet name="Z_1.tájékoztató_t." sheetId="197" r:id="rId64"/>
    <sheet name="Z_2.tájékoztató_t." sheetId="198" state="hidden" r:id="rId65"/>
    <sheet name="Z_3.tájékoztató_t." sheetId="199" state="hidden" r:id="rId66"/>
    <sheet name="Z_4.tájékoztató_t." sheetId="200" state="hidden" r:id="rId67"/>
    <sheet name="Z_5.tájékoztató_t." sheetId="201" state="hidden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state="hidden" r:id="rId72"/>
    <sheet name="Z_8.tájékoztató_t." sheetId="207" state="hidden" r:id="rId73"/>
    <sheet name="Z_9.tájékoztató_t." sheetId="208" r:id="rId74"/>
  </sheets>
  <definedNames>
    <definedName name="_ftn1" localSheetId="71">Z_7.3.tájékoztató_t.!$A$31</definedName>
    <definedName name="_ftnref1" localSheetId="71">Z_7.3.tájékoztató_t.!$A$22</definedName>
    <definedName name="_xlnm.Print_Titles" localSheetId="14">Z_6.1.1.sz.mell!$1:$6</definedName>
    <definedName name="_xlnm.Print_Titles" localSheetId="15">Z_6.1.2.sz.mell!$1:$6</definedName>
    <definedName name="_xlnm.Print_Titles" localSheetId="16">Z_6.1.3.sz.mell!$1:$6</definedName>
    <definedName name="_xlnm.Print_Titles" localSheetId="13">Z_6.1.sz.mell!$1:$6</definedName>
    <definedName name="_xlnm.Print_Titles" localSheetId="50">Z_6.10.1.sz.mell!$1:$6</definedName>
    <definedName name="_xlnm.Print_Titles" localSheetId="51">Z_6.10.2.sz.mell!$1:$6</definedName>
    <definedName name="_xlnm.Print_Titles" localSheetId="52">Z_6.10.3.sz.mell!$1:$6</definedName>
    <definedName name="_xlnm.Print_Titles" localSheetId="49">Z_6.10.sz.mell!$1:$6</definedName>
    <definedName name="_xlnm.Print_Titles" localSheetId="54">Z_6.11.1.sz.mell!$1:$6</definedName>
    <definedName name="_xlnm.Print_Titles" localSheetId="55">Z_6.11.2.sz.mell!$1:$6</definedName>
    <definedName name="_xlnm.Print_Titles" localSheetId="56">Z_6.11.3.sz.mell!$1:$6</definedName>
    <definedName name="_xlnm.Print_Titles" localSheetId="53">Z_6.11.sz.mell!$1:$6</definedName>
    <definedName name="_xlnm.Print_Titles" localSheetId="58">Z_6.12.1.sz.mell!$1:$6</definedName>
    <definedName name="_xlnm.Print_Titles" localSheetId="59">Z_6.12.2.sz.mell!$1:$6</definedName>
    <definedName name="_xlnm.Print_Titles" localSheetId="60">Z_6.12.3.sz.mell!$1:$6</definedName>
    <definedName name="_xlnm.Print_Titles" localSheetId="57">Z_6.12.sz.mell!$1:$6</definedName>
    <definedName name="_xlnm.Print_Titles" localSheetId="18">Z_6.2.1.sz.mell!$1:$6</definedName>
    <definedName name="_xlnm.Print_Titles" localSheetId="19">Z_6.2.2.sz.mell!$1:$6</definedName>
    <definedName name="_xlnm.Print_Titles" localSheetId="20">Z_6.2.3.sz.mell!$1:$6</definedName>
    <definedName name="_xlnm.Print_Titles" localSheetId="17">Z_6.2.sz.mell!$1:$6</definedName>
    <definedName name="_xlnm.Print_Titles" localSheetId="22">Z_6.3.1.sz.mell!$1:$6</definedName>
    <definedName name="_xlnm.Print_Titles" localSheetId="23">Z_6.3.2.sz.mell!$1:$6</definedName>
    <definedName name="_xlnm.Print_Titles" localSheetId="24">Z_6.3.3.sz.mell!$1:$6</definedName>
    <definedName name="_xlnm.Print_Titles" localSheetId="21">Z_6.3.sz.mell!$1:$6</definedName>
    <definedName name="_xlnm.Print_Titles" localSheetId="26">Z_6.4.1.sz.mell!$1:$6</definedName>
    <definedName name="_xlnm.Print_Titles" localSheetId="27">Z_6.4.2.sz.mell!$1:$6</definedName>
    <definedName name="_xlnm.Print_Titles" localSheetId="28">Z_6.4.3.sz.mell!$1:$6</definedName>
    <definedName name="_xlnm.Print_Titles" localSheetId="25">Z_6.4.sz.mell!$1:$6</definedName>
    <definedName name="_xlnm.Print_Titles" localSheetId="30">Z_6.5.1.sz.mell!$1:$6</definedName>
    <definedName name="_xlnm.Print_Titles" localSheetId="31">Z_6.5.2.sz.mell!$1:$6</definedName>
    <definedName name="_xlnm.Print_Titles" localSheetId="32">Z_6.5.3.sz.mell!$1:$6</definedName>
    <definedName name="_xlnm.Print_Titles" localSheetId="29">Z_6.5.sz.mell!$1:$6</definedName>
    <definedName name="_xlnm.Print_Titles" localSheetId="34">Z_6.6.1.sz.mell!$1:$6</definedName>
    <definedName name="_xlnm.Print_Titles" localSheetId="35">Z_6.6.2.sz.mell!$1:$6</definedName>
    <definedName name="_xlnm.Print_Titles" localSheetId="36">Z_6.6.3.sz.mell!$1:$6</definedName>
    <definedName name="_xlnm.Print_Titles" localSheetId="33">Z_6.6.sz.mell!$1:$6</definedName>
    <definedName name="_xlnm.Print_Titles" localSheetId="38">Z_6.7.1.sz.mell!$1:$6</definedName>
    <definedName name="_xlnm.Print_Titles" localSheetId="39">Z_6.7.2.sz.mell!$1:$6</definedName>
    <definedName name="_xlnm.Print_Titles" localSheetId="40">Z_6.7.3.sz.mell!$1:$6</definedName>
    <definedName name="_xlnm.Print_Titles" localSheetId="37">Z_6.7.sz.mell!$1:$6</definedName>
    <definedName name="_xlnm.Print_Titles" localSheetId="42">Z_6.8.1.sz.mell!$1:$6</definedName>
    <definedName name="_xlnm.Print_Titles" localSheetId="43">Z_6.8.2.sz.mell!$1:$6</definedName>
    <definedName name="_xlnm.Print_Titles" localSheetId="44">Z_6.8.3.sz.mell!$1:$6</definedName>
    <definedName name="_xlnm.Print_Titles" localSheetId="41">Z_6.8.sz.mell!$1:$6</definedName>
    <definedName name="_xlnm.Print_Titles" localSheetId="46">Z_6.9.1.sz.mell!$1:$6</definedName>
    <definedName name="_xlnm.Print_Titles" localSheetId="47">Z_6.9.2.sz.mell!$1:$6</definedName>
    <definedName name="_xlnm.Print_Titles" localSheetId="48">Z_6.9.3.sz.mell!$1:$6</definedName>
    <definedName name="_xlnm.Print_Titles" localSheetId="45">Z_6.9.sz.mell!$1:$6</definedName>
    <definedName name="_xlnm.Print_Titles" localSheetId="69">Z_7.1.tájékoztató_t.!$5:$9</definedName>
    <definedName name="_xlnm.Print_Area" localSheetId="2">Z_1.1.sz.mell.!$A$1:$E$166</definedName>
    <definedName name="_xlnm.Print_Area" localSheetId="3">Z_1.2.sz.mell.!$A$1:$E$166</definedName>
    <definedName name="_xlnm.Print_Area" localSheetId="4">Z_1.3.sz.mell.!$A$1:$E$166</definedName>
    <definedName name="_xlnm.Print_Area" localSheetId="5">Z_1.4.sz.mell.!$A$1:$E$166</definedName>
    <definedName name="_xlnm.Print_Area" localSheetId="63">Z_1.tájékoztató_t.!$A$1:$E$155</definedName>
  </definedNames>
  <calcPr calcId="124519" fullCalcOnLoad="1"/>
</workbook>
</file>

<file path=xl/calcChain.xml><?xml version="1.0" encoding="utf-8"?>
<calcChain xmlns="http://schemas.openxmlformats.org/spreadsheetml/2006/main">
  <c r="E152" i="142"/>
  <c r="D152"/>
  <c r="C152"/>
  <c r="E147"/>
  <c r="D147"/>
  <c r="C147"/>
  <c r="E140"/>
  <c r="D140"/>
  <c r="C140"/>
  <c r="E136"/>
  <c r="E160"/>
  <c r="D136"/>
  <c r="D160"/>
  <c r="C136"/>
  <c r="C160"/>
  <c r="E135"/>
  <c r="E121"/>
  <c r="D121"/>
  <c r="C121"/>
  <c r="E100"/>
  <c r="D100"/>
  <c r="D135"/>
  <c r="C100"/>
  <c r="C135"/>
  <c r="E96"/>
  <c r="E164"/>
  <c r="E85"/>
  <c r="D85"/>
  <c r="C85"/>
  <c r="E81"/>
  <c r="D81"/>
  <c r="C81"/>
  <c r="E78"/>
  <c r="D78"/>
  <c r="C78"/>
  <c r="E73"/>
  <c r="D73"/>
  <c r="D92"/>
  <c r="D166"/>
  <c r="C73"/>
  <c r="E69"/>
  <c r="E92"/>
  <c r="E166"/>
  <c r="D69"/>
  <c r="C69"/>
  <c r="C92"/>
  <c r="C166"/>
  <c r="E63"/>
  <c r="D63"/>
  <c r="C63"/>
  <c r="E58"/>
  <c r="D58"/>
  <c r="C58"/>
  <c r="E52"/>
  <c r="D52"/>
  <c r="C52"/>
  <c r="E40"/>
  <c r="D40"/>
  <c r="C40"/>
  <c r="E32"/>
  <c r="D32"/>
  <c r="C32"/>
  <c r="E25"/>
  <c r="D25"/>
  <c r="C25"/>
  <c r="E18"/>
  <c r="D18"/>
  <c r="C18"/>
  <c r="E11"/>
  <c r="E68"/>
  <c r="D11"/>
  <c r="D68"/>
  <c r="C11"/>
  <c r="C68"/>
  <c r="D58" i="79"/>
  <c r="C58"/>
  <c r="E52"/>
  <c r="D52"/>
  <c r="C52"/>
  <c r="E46"/>
  <c r="E58"/>
  <c r="D46"/>
  <c r="C46"/>
  <c r="E38"/>
  <c r="D38"/>
  <c r="C38"/>
  <c r="E31"/>
  <c r="D31"/>
  <c r="C31"/>
  <c r="E26"/>
  <c r="D26"/>
  <c r="C26"/>
  <c r="E20"/>
  <c r="D20"/>
  <c r="C20"/>
  <c r="E8"/>
  <c r="E37"/>
  <c r="D8"/>
  <c r="D37"/>
  <c r="C8"/>
  <c r="C37"/>
  <c r="C42"/>
  <c r="E146" i="133"/>
  <c r="D146"/>
  <c r="C146"/>
  <c r="E140"/>
  <c r="D140"/>
  <c r="C140"/>
  <c r="E133"/>
  <c r="D133"/>
  <c r="C133"/>
  <c r="E129"/>
  <c r="E154"/>
  <c r="D129"/>
  <c r="D154"/>
  <c r="C129"/>
  <c r="C154"/>
  <c r="C128"/>
  <c r="E114"/>
  <c r="D114"/>
  <c r="C114"/>
  <c r="E93"/>
  <c r="E128"/>
  <c r="D93"/>
  <c r="D128"/>
  <c r="C93"/>
  <c r="E82"/>
  <c r="D82"/>
  <c r="C82"/>
  <c r="E78"/>
  <c r="D78"/>
  <c r="C78"/>
  <c r="E75"/>
  <c r="D75"/>
  <c r="C75"/>
  <c r="E70"/>
  <c r="D70"/>
  <c r="C70"/>
  <c r="C89"/>
  <c r="E66"/>
  <c r="E89"/>
  <c r="D66"/>
  <c r="D89"/>
  <c r="C66"/>
  <c r="E60"/>
  <c r="D60"/>
  <c r="C60"/>
  <c r="E55"/>
  <c r="D55"/>
  <c r="C55"/>
  <c r="E49"/>
  <c r="D49"/>
  <c r="C49"/>
  <c r="E37"/>
  <c r="D37"/>
  <c r="C37"/>
  <c r="B36"/>
  <c r="B35"/>
  <c r="B34"/>
  <c r="B33"/>
  <c r="B32"/>
  <c r="B31"/>
  <c r="B30"/>
  <c r="E29"/>
  <c r="D29"/>
  <c r="C29"/>
  <c r="E22"/>
  <c r="D22"/>
  <c r="C22"/>
  <c r="E15"/>
  <c r="E65"/>
  <c r="E90"/>
  <c r="D15"/>
  <c r="D65"/>
  <c r="D90"/>
  <c r="C15"/>
  <c r="E8"/>
  <c r="D8"/>
  <c r="C8"/>
  <c r="C65"/>
  <c r="C90"/>
  <c r="C165" i="142"/>
  <c r="C93"/>
  <c r="C162"/>
  <c r="D165"/>
  <c r="D93"/>
  <c r="C161"/>
  <c r="E165"/>
  <c r="E93"/>
  <c r="D161"/>
  <c r="E161"/>
  <c r="C59" i="79"/>
  <c r="D42"/>
  <c r="D59"/>
  <c r="E42"/>
  <c r="D155" i="133"/>
  <c r="C156"/>
  <c r="D156"/>
  <c r="E155"/>
  <c r="C155"/>
  <c r="D162" i="142"/>
  <c r="G17" i="61"/>
  <c r="G31"/>
  <c r="E25" i="73"/>
  <c r="H30" i="61"/>
  <c r="I30"/>
  <c r="C33"/>
  <c r="G33"/>
  <c r="C32"/>
  <c r="G32"/>
  <c r="D38" i="197"/>
  <c r="E39" i="211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B37" i="213"/>
  <c r="B59"/>
  <c r="B81"/>
  <c r="B103"/>
  <c r="B125"/>
  <c r="B147"/>
  <c r="B169"/>
  <c r="B191"/>
  <c r="B213"/>
  <c r="G25" i="64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26"/>
  <c r="G24" i="63"/>
  <c r="G23"/>
  <c r="G22"/>
  <c r="G21"/>
  <c r="G20"/>
  <c r="G19"/>
  <c r="G18"/>
  <c r="G17"/>
  <c r="G16"/>
  <c r="G15"/>
  <c r="G14"/>
  <c r="G13"/>
  <c r="G12"/>
  <c r="G11"/>
  <c r="G10"/>
  <c r="G9"/>
  <c r="G8"/>
  <c r="G7"/>
  <c r="G25"/>
  <c r="H229" i="213"/>
  <c r="G229"/>
  <c r="F229"/>
  <c r="E229"/>
  <c r="D229"/>
  <c r="C229"/>
  <c r="I228"/>
  <c r="B228"/>
  <c r="I227"/>
  <c r="B227"/>
  <c r="I226"/>
  <c r="I229"/>
  <c r="B226"/>
  <c r="I225"/>
  <c r="B225"/>
  <c r="B229"/>
  <c r="I224"/>
  <c r="B224"/>
  <c r="H223"/>
  <c r="G223"/>
  <c r="F223"/>
  <c r="E223"/>
  <c r="D223"/>
  <c r="C223"/>
  <c r="I222"/>
  <c r="B222"/>
  <c r="I221"/>
  <c r="I223"/>
  <c r="B221"/>
  <c r="I220"/>
  <c r="B220"/>
  <c r="B223"/>
  <c r="I219"/>
  <c r="B219"/>
  <c r="I218"/>
  <c r="B218"/>
  <c r="I217"/>
  <c r="B217"/>
  <c r="H207"/>
  <c r="G207"/>
  <c r="F207"/>
  <c r="E207"/>
  <c r="D207"/>
  <c r="C207"/>
  <c r="I206"/>
  <c r="B206"/>
  <c r="I205"/>
  <c r="B205"/>
  <c r="I204"/>
  <c r="B204"/>
  <c r="I203"/>
  <c r="I207"/>
  <c r="B203"/>
  <c r="I202"/>
  <c r="B202"/>
  <c r="H201"/>
  <c r="G201"/>
  <c r="F201"/>
  <c r="E201"/>
  <c r="D201"/>
  <c r="C201"/>
  <c r="I200"/>
  <c r="B200"/>
  <c r="I199"/>
  <c r="B199"/>
  <c r="I198"/>
  <c r="B198"/>
  <c r="I197"/>
  <c r="B197"/>
  <c r="I196"/>
  <c r="B196"/>
  <c r="I195"/>
  <c r="I201"/>
  <c r="B195"/>
  <c r="B201"/>
  <c r="H185"/>
  <c r="G185"/>
  <c r="F185"/>
  <c r="E185"/>
  <c r="D185"/>
  <c r="C185"/>
  <c r="I184"/>
  <c r="B184"/>
  <c r="I183"/>
  <c r="B183"/>
  <c r="I182"/>
  <c r="I185"/>
  <c r="B182"/>
  <c r="I181"/>
  <c r="B181"/>
  <c r="B185"/>
  <c r="I180"/>
  <c r="B180"/>
  <c r="H179"/>
  <c r="G179"/>
  <c r="F179"/>
  <c r="E179"/>
  <c r="D179"/>
  <c r="C179"/>
  <c r="I178"/>
  <c r="B178"/>
  <c r="I177"/>
  <c r="I179"/>
  <c r="B177"/>
  <c r="I176"/>
  <c r="B176"/>
  <c r="B179"/>
  <c r="I175"/>
  <c r="B175"/>
  <c r="I174"/>
  <c r="B174"/>
  <c r="I173"/>
  <c r="B173"/>
  <c r="H163"/>
  <c r="G163"/>
  <c r="F163"/>
  <c r="E163"/>
  <c r="D163"/>
  <c r="C163"/>
  <c r="I162"/>
  <c r="B162"/>
  <c r="I161"/>
  <c r="B161"/>
  <c r="I160"/>
  <c r="B160"/>
  <c r="I159"/>
  <c r="B159"/>
  <c r="I158"/>
  <c r="I163"/>
  <c r="B158"/>
  <c r="B163"/>
  <c r="H157"/>
  <c r="G157"/>
  <c r="F157"/>
  <c r="E157"/>
  <c r="D157"/>
  <c r="C157"/>
  <c r="I156"/>
  <c r="B156"/>
  <c r="I155"/>
  <c r="B155"/>
  <c r="I154"/>
  <c r="I157"/>
  <c r="B154"/>
  <c r="I153"/>
  <c r="B153"/>
  <c r="I152"/>
  <c r="B152"/>
  <c r="I151"/>
  <c r="B151"/>
  <c r="H141"/>
  <c r="G141"/>
  <c r="F141"/>
  <c r="E141"/>
  <c r="D141"/>
  <c r="C141"/>
  <c r="I140"/>
  <c r="B140"/>
  <c r="I139"/>
  <c r="B139"/>
  <c r="I138"/>
  <c r="B138"/>
  <c r="I137"/>
  <c r="B137"/>
  <c r="I136"/>
  <c r="I141"/>
  <c r="B136"/>
  <c r="B141"/>
  <c r="H135"/>
  <c r="G135"/>
  <c r="F135"/>
  <c r="E135"/>
  <c r="D135"/>
  <c r="C135"/>
  <c r="I134"/>
  <c r="B134"/>
  <c r="I133"/>
  <c r="B133"/>
  <c r="I132"/>
  <c r="B132"/>
  <c r="I131"/>
  <c r="B131"/>
  <c r="I130"/>
  <c r="B130"/>
  <c r="I129"/>
  <c r="I135"/>
  <c r="B129"/>
  <c r="B135"/>
  <c r="H119"/>
  <c r="G119"/>
  <c r="F119"/>
  <c r="E119"/>
  <c r="D119"/>
  <c r="C119"/>
  <c r="I118"/>
  <c r="B118"/>
  <c r="I117"/>
  <c r="B117"/>
  <c r="I116"/>
  <c r="B116"/>
  <c r="I115"/>
  <c r="B115"/>
  <c r="I114"/>
  <c r="I119"/>
  <c r="B114"/>
  <c r="H113"/>
  <c r="G113"/>
  <c r="F113"/>
  <c r="E113"/>
  <c r="D113"/>
  <c r="C113"/>
  <c r="I112"/>
  <c r="B112"/>
  <c r="I111"/>
  <c r="B111"/>
  <c r="B113"/>
  <c r="I110"/>
  <c r="B110"/>
  <c r="I109"/>
  <c r="B109"/>
  <c r="I108"/>
  <c r="B108"/>
  <c r="I107"/>
  <c r="I113"/>
  <c r="B107"/>
  <c r="H97"/>
  <c r="G97"/>
  <c r="F97"/>
  <c r="E97"/>
  <c r="D97"/>
  <c r="C97"/>
  <c r="I96"/>
  <c r="B96"/>
  <c r="I95"/>
  <c r="B95"/>
  <c r="I94"/>
  <c r="B94"/>
  <c r="I93"/>
  <c r="I97"/>
  <c r="B93"/>
  <c r="I92"/>
  <c r="B92"/>
  <c r="B97"/>
  <c r="H91"/>
  <c r="G91"/>
  <c r="F91"/>
  <c r="E91"/>
  <c r="D91"/>
  <c r="C91"/>
  <c r="I90"/>
  <c r="B90"/>
  <c r="I89"/>
  <c r="B89"/>
  <c r="I88"/>
  <c r="I91"/>
  <c r="B88"/>
  <c r="I87"/>
  <c r="B87"/>
  <c r="I86"/>
  <c r="B86"/>
  <c r="I85"/>
  <c r="B85"/>
  <c r="B91"/>
  <c r="H75"/>
  <c r="G75"/>
  <c r="F75"/>
  <c r="E75"/>
  <c r="D75"/>
  <c r="C75"/>
  <c r="I74"/>
  <c r="B74"/>
  <c r="I73"/>
  <c r="B73"/>
  <c r="I72"/>
  <c r="B72"/>
  <c r="B75"/>
  <c r="I71"/>
  <c r="B71"/>
  <c r="I70"/>
  <c r="I75"/>
  <c r="B70"/>
  <c r="H69"/>
  <c r="G69"/>
  <c r="F69"/>
  <c r="E69"/>
  <c r="D69"/>
  <c r="C69"/>
  <c r="I68"/>
  <c r="B68"/>
  <c r="I67"/>
  <c r="B67"/>
  <c r="I66"/>
  <c r="B66"/>
  <c r="I65"/>
  <c r="B65"/>
  <c r="I64"/>
  <c r="B64"/>
  <c r="I63"/>
  <c r="I69"/>
  <c r="B63"/>
  <c r="H53"/>
  <c r="G53"/>
  <c r="F53"/>
  <c r="E53"/>
  <c r="D53"/>
  <c r="C53"/>
  <c r="I52"/>
  <c r="B52"/>
  <c r="I51"/>
  <c r="B51"/>
  <c r="I50"/>
  <c r="I53"/>
  <c r="B50"/>
  <c r="I49"/>
  <c r="B49"/>
  <c r="B53"/>
  <c r="I48"/>
  <c r="B48"/>
  <c r="H47"/>
  <c r="G47"/>
  <c r="F47"/>
  <c r="E47"/>
  <c r="D47"/>
  <c r="C47"/>
  <c r="I46"/>
  <c r="B46"/>
  <c r="I45"/>
  <c r="I47"/>
  <c r="B45"/>
  <c r="I44"/>
  <c r="B44"/>
  <c r="B47"/>
  <c r="I43"/>
  <c r="B43"/>
  <c r="I42"/>
  <c r="B42"/>
  <c r="I41"/>
  <c r="B41"/>
  <c r="B30"/>
  <c r="B29"/>
  <c r="B28"/>
  <c r="B27"/>
  <c r="B31"/>
  <c r="B26"/>
  <c r="B24"/>
  <c r="B23"/>
  <c r="B22"/>
  <c r="B21"/>
  <c r="B20"/>
  <c r="B19"/>
  <c r="G215"/>
  <c r="D215"/>
  <c r="I214"/>
  <c r="F214"/>
  <c r="C214"/>
  <c r="G193"/>
  <c r="D193"/>
  <c r="I192"/>
  <c r="F192"/>
  <c r="C192"/>
  <c r="G171"/>
  <c r="D171"/>
  <c r="I170"/>
  <c r="F170"/>
  <c r="C170"/>
  <c r="G149"/>
  <c r="D149"/>
  <c r="I148"/>
  <c r="F148"/>
  <c r="C148"/>
  <c r="G127"/>
  <c r="D127"/>
  <c r="I126"/>
  <c r="F126"/>
  <c r="C126"/>
  <c r="G105"/>
  <c r="D105"/>
  <c r="I104"/>
  <c r="F104"/>
  <c r="C104"/>
  <c r="G83"/>
  <c r="D83"/>
  <c r="I82"/>
  <c r="F82"/>
  <c r="C82"/>
  <c r="G61"/>
  <c r="D61"/>
  <c r="I60"/>
  <c r="F60"/>
  <c r="C60"/>
  <c r="G39"/>
  <c r="D39"/>
  <c r="I38"/>
  <c r="F38"/>
  <c r="C38"/>
  <c r="C16"/>
  <c r="I16"/>
  <c r="G17"/>
  <c r="D17"/>
  <c r="F16"/>
  <c r="I30"/>
  <c r="I29"/>
  <c r="I28"/>
  <c r="I27"/>
  <c r="I26"/>
  <c r="I31"/>
  <c r="I24"/>
  <c r="I23"/>
  <c r="I22"/>
  <c r="I21"/>
  <c r="I20"/>
  <c r="I19"/>
  <c r="I4"/>
  <c r="D7" i="94"/>
  <c r="J1" i="213"/>
  <c r="B1" i="94"/>
  <c r="A3" i="143"/>
  <c r="B11" i="209" s="1"/>
  <c r="B18"/>
  <c r="H31" i="213"/>
  <c r="G31"/>
  <c r="E31"/>
  <c r="D31"/>
  <c r="C31"/>
  <c r="F31"/>
  <c r="H25"/>
  <c r="G25"/>
  <c r="E25"/>
  <c r="D25"/>
  <c r="C25"/>
  <c r="H7"/>
  <c r="G7"/>
  <c r="H3"/>
  <c r="K13" i="94"/>
  <c r="M13"/>
  <c r="B1" i="141"/>
  <c r="K11" i="94"/>
  <c r="M11"/>
  <c r="B36" i="135"/>
  <c r="B35"/>
  <c r="B34"/>
  <c r="B33"/>
  <c r="B32"/>
  <c r="B31"/>
  <c r="B30"/>
  <c r="B36" i="134"/>
  <c r="B35"/>
  <c r="B34"/>
  <c r="B33"/>
  <c r="B32"/>
  <c r="B31"/>
  <c r="B30"/>
  <c r="B31" i="3"/>
  <c r="B32"/>
  <c r="B33"/>
  <c r="B34"/>
  <c r="B35"/>
  <c r="B36"/>
  <c r="B30"/>
  <c r="B39" i="144"/>
  <c r="B38"/>
  <c r="B37"/>
  <c r="B36"/>
  <c r="B35"/>
  <c r="B34"/>
  <c r="B33"/>
  <c r="B39" i="143"/>
  <c r="B38"/>
  <c r="B37"/>
  <c r="B36"/>
  <c r="B35"/>
  <c r="B34"/>
  <c r="B33"/>
  <c r="E18" i="73"/>
  <c r="D18"/>
  <c r="C18"/>
  <c r="D25"/>
  <c r="C25"/>
  <c r="B34" i="209"/>
  <c r="G40" i="211"/>
  <c r="F40"/>
  <c r="D40"/>
  <c r="C40"/>
  <c r="E25" i="210"/>
  <c r="D25"/>
  <c r="C25"/>
  <c r="A1" i="203"/>
  <c r="B1" i="137"/>
  <c r="E1" i="134"/>
  <c r="B1" i="143"/>
  <c r="B1" i="142"/>
  <c r="B23" i="209"/>
  <c r="B32"/>
  <c r="B31"/>
  <c r="B30"/>
  <c r="B29"/>
  <c r="B28"/>
  <c r="B27"/>
  <c r="B26"/>
  <c r="B25"/>
  <c r="B24"/>
  <c r="B33"/>
  <c r="B37"/>
  <c r="B38"/>
  <c r="B40"/>
  <c r="B42"/>
  <c r="B43"/>
  <c r="A2" i="207"/>
  <c r="B44" i="209"/>
  <c r="A2" i="197"/>
  <c r="E23" i="207"/>
  <c r="D23"/>
  <c r="D22" i="205"/>
  <c r="D18"/>
  <c r="D42"/>
  <c r="D13"/>
  <c r="C20" i="204"/>
  <c r="C16"/>
  <c r="E69" i="203"/>
  <c r="D69"/>
  <c r="C69"/>
  <c r="E66"/>
  <c r="D66"/>
  <c r="C66"/>
  <c r="E62"/>
  <c r="D62"/>
  <c r="C62"/>
  <c r="E57"/>
  <c r="D57"/>
  <c r="E48"/>
  <c r="E37"/>
  <c r="D48"/>
  <c r="C48"/>
  <c r="E43"/>
  <c r="D43"/>
  <c r="C43"/>
  <c r="E38"/>
  <c r="D38"/>
  <c r="C38"/>
  <c r="E32"/>
  <c r="D32"/>
  <c r="C32"/>
  <c r="E27"/>
  <c r="D27"/>
  <c r="E22"/>
  <c r="D22"/>
  <c r="C22"/>
  <c r="E17"/>
  <c r="D17"/>
  <c r="E12"/>
  <c r="D12"/>
  <c r="E41" i="202"/>
  <c r="D41"/>
  <c r="D33" i="201"/>
  <c r="C33"/>
  <c r="G18" i="200"/>
  <c r="F18"/>
  <c r="E18"/>
  <c r="D18"/>
  <c r="D19"/>
  <c r="C18"/>
  <c r="H17"/>
  <c r="H16"/>
  <c r="G14"/>
  <c r="G19"/>
  <c r="F14"/>
  <c r="F19"/>
  <c r="E14"/>
  <c r="E19"/>
  <c r="D14"/>
  <c r="C14"/>
  <c r="C19"/>
  <c r="H13"/>
  <c r="I13"/>
  <c r="H12"/>
  <c r="I12"/>
  <c r="H11"/>
  <c r="I11"/>
  <c r="H10"/>
  <c r="H9"/>
  <c r="H8"/>
  <c r="I8"/>
  <c r="H7"/>
  <c r="I7"/>
  <c r="H14" i="199"/>
  <c r="G14"/>
  <c r="F14"/>
  <c r="E14"/>
  <c r="E21"/>
  <c r="H7"/>
  <c r="H21"/>
  <c r="G7"/>
  <c r="G21"/>
  <c r="F7"/>
  <c r="F21"/>
  <c r="E7"/>
  <c r="J18" i="198"/>
  <c r="J17"/>
  <c r="I16"/>
  <c r="H16"/>
  <c r="G16"/>
  <c r="F16"/>
  <c r="E16"/>
  <c r="D16"/>
  <c r="J15"/>
  <c r="I14"/>
  <c r="H14"/>
  <c r="G14"/>
  <c r="F14"/>
  <c r="J14"/>
  <c r="E14"/>
  <c r="D14"/>
  <c r="J13"/>
  <c r="I12"/>
  <c r="H12"/>
  <c r="G12"/>
  <c r="F12"/>
  <c r="E12"/>
  <c r="E19"/>
  <c r="D12"/>
  <c r="J11"/>
  <c r="J10"/>
  <c r="I9"/>
  <c r="H9"/>
  <c r="G9"/>
  <c r="F9"/>
  <c r="J9"/>
  <c r="E9"/>
  <c r="D9"/>
  <c r="D19"/>
  <c r="J8"/>
  <c r="J7"/>
  <c r="I6"/>
  <c r="H6"/>
  <c r="G6"/>
  <c r="G19"/>
  <c r="F6"/>
  <c r="E6"/>
  <c r="D6"/>
  <c r="E146" i="197"/>
  <c r="D146"/>
  <c r="C146"/>
  <c r="E141"/>
  <c r="E154"/>
  <c r="D141"/>
  <c r="C141"/>
  <c r="E136"/>
  <c r="D136"/>
  <c r="E132"/>
  <c r="D132"/>
  <c r="D154"/>
  <c r="C132"/>
  <c r="E117"/>
  <c r="D117"/>
  <c r="C117"/>
  <c r="E96"/>
  <c r="E131"/>
  <c r="D96"/>
  <c r="D131"/>
  <c r="C96"/>
  <c r="C131"/>
  <c r="E83"/>
  <c r="D83"/>
  <c r="C83"/>
  <c r="E79"/>
  <c r="D79"/>
  <c r="C79"/>
  <c r="E76"/>
  <c r="D76"/>
  <c r="C76"/>
  <c r="E71"/>
  <c r="D71"/>
  <c r="C71"/>
  <c r="E67"/>
  <c r="D67"/>
  <c r="C67"/>
  <c r="E61"/>
  <c r="D61"/>
  <c r="C61"/>
  <c r="E56"/>
  <c r="D56"/>
  <c r="C56"/>
  <c r="E50"/>
  <c r="D50"/>
  <c r="C50"/>
  <c r="E38"/>
  <c r="C38"/>
  <c r="E30"/>
  <c r="D30"/>
  <c r="C30"/>
  <c r="E23"/>
  <c r="D23"/>
  <c r="C23"/>
  <c r="E16"/>
  <c r="D16"/>
  <c r="C16"/>
  <c r="E9"/>
  <c r="D9"/>
  <c r="D66"/>
  <c r="C9"/>
  <c r="B2" i="181"/>
  <c r="B2" i="182" s="1"/>
  <c r="B2" i="183" s="1"/>
  <c r="B2" i="184" s="1"/>
  <c r="E51"/>
  <c r="D51"/>
  <c r="C51"/>
  <c r="E45"/>
  <c r="E57"/>
  <c r="D45"/>
  <c r="C45"/>
  <c r="E37"/>
  <c r="D37"/>
  <c r="C37"/>
  <c r="E30"/>
  <c r="D30"/>
  <c r="C30"/>
  <c r="E26"/>
  <c r="D26"/>
  <c r="C26"/>
  <c r="E20"/>
  <c r="D20"/>
  <c r="C20"/>
  <c r="E8"/>
  <c r="D8"/>
  <c r="C8"/>
  <c r="E51" i="183"/>
  <c r="D51"/>
  <c r="C51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D8"/>
  <c r="C8"/>
  <c r="E51" i="182"/>
  <c r="D51"/>
  <c r="C51"/>
  <c r="E45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/>
  <c r="D41"/>
  <c r="D58"/>
  <c r="C8"/>
  <c r="E51" i="18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B2" i="177"/>
  <c r="B2" i="178"/>
  <c r="B2" i="179" s="1"/>
  <c r="B2" i="180" s="1"/>
  <c r="E51"/>
  <c r="D51"/>
  <c r="C51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E36"/>
  <c r="E41"/>
  <c r="D8"/>
  <c r="C8"/>
  <c r="E51" i="179"/>
  <c r="D51"/>
  <c r="C51"/>
  <c r="E45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/>
  <c r="D41"/>
  <c r="D58"/>
  <c r="C8"/>
  <c r="E51" i="178"/>
  <c r="D51"/>
  <c r="C51"/>
  <c r="E45"/>
  <c r="E57"/>
  <c r="D45"/>
  <c r="D57"/>
  <c r="C45"/>
  <c r="C57"/>
  <c r="E37"/>
  <c r="D37"/>
  <c r="C37"/>
  <c r="E30"/>
  <c r="D30"/>
  <c r="C30"/>
  <c r="E26"/>
  <c r="E36"/>
  <c r="E41"/>
  <c r="D26"/>
  <c r="C26"/>
  <c r="E20"/>
  <c r="D20"/>
  <c r="C20"/>
  <c r="E8"/>
  <c r="D8"/>
  <c r="D36"/>
  <c r="C8"/>
  <c r="E51" i="177"/>
  <c r="E57"/>
  <c r="D51"/>
  <c r="C51"/>
  <c r="E45"/>
  <c r="D45"/>
  <c r="D57"/>
  <c r="C45"/>
  <c r="E37"/>
  <c r="D37"/>
  <c r="C37"/>
  <c r="E30"/>
  <c r="D30"/>
  <c r="C30"/>
  <c r="E26"/>
  <c r="D26"/>
  <c r="C26"/>
  <c r="E20"/>
  <c r="D20"/>
  <c r="C20"/>
  <c r="E8"/>
  <c r="D8"/>
  <c r="C8"/>
  <c r="B2" i="173"/>
  <c r="B2" i="174" s="1"/>
  <c r="B2" i="175" s="1"/>
  <c r="B2" i="176" s="1"/>
  <c r="E51"/>
  <c r="D51"/>
  <c r="C51"/>
  <c r="E45"/>
  <c r="D45"/>
  <c r="D57"/>
  <c r="C45"/>
  <c r="C57"/>
  <c r="E37"/>
  <c r="D37"/>
  <c r="D41"/>
  <c r="D58"/>
  <c r="C37"/>
  <c r="E30"/>
  <c r="D30"/>
  <c r="C30"/>
  <c r="E26"/>
  <c r="D26"/>
  <c r="C26"/>
  <c r="E20"/>
  <c r="D20"/>
  <c r="C20"/>
  <c r="E8"/>
  <c r="D8"/>
  <c r="D36"/>
  <c r="C8"/>
  <c r="C36"/>
  <c r="C41"/>
  <c r="C58"/>
  <c r="E51" i="175"/>
  <c r="E57"/>
  <c r="D51"/>
  <c r="C51"/>
  <c r="E45"/>
  <c r="D45"/>
  <c r="C45"/>
  <c r="C57"/>
  <c r="E37"/>
  <c r="D37"/>
  <c r="C37"/>
  <c r="E30"/>
  <c r="D30"/>
  <c r="C30"/>
  <c r="E26"/>
  <c r="D26"/>
  <c r="C26"/>
  <c r="E20"/>
  <c r="D20"/>
  <c r="C20"/>
  <c r="E8"/>
  <c r="E36"/>
  <c r="E41"/>
  <c r="D8"/>
  <c r="C8"/>
  <c r="E51" i="174"/>
  <c r="D51"/>
  <c r="C51"/>
  <c r="E45"/>
  <c r="E57"/>
  <c r="D45"/>
  <c r="C45"/>
  <c r="C57"/>
  <c r="E37"/>
  <c r="D37"/>
  <c r="C37"/>
  <c r="E30"/>
  <c r="D30"/>
  <c r="C30"/>
  <c r="C36"/>
  <c r="E26"/>
  <c r="D26"/>
  <c r="C26"/>
  <c r="E20"/>
  <c r="D20"/>
  <c r="C20"/>
  <c r="E8"/>
  <c r="E36"/>
  <c r="D8"/>
  <c r="D36"/>
  <c r="D41"/>
  <c r="C8"/>
  <c r="C41"/>
  <c r="C58"/>
  <c r="E51" i="173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E36"/>
  <c r="E41"/>
  <c r="D8"/>
  <c r="D36"/>
  <c r="D41"/>
  <c r="D58"/>
  <c r="C8"/>
  <c r="B2" i="169"/>
  <c r="B2" i="170" s="1"/>
  <c r="B2" i="171" s="1"/>
  <c r="B2" i="172" s="1"/>
  <c r="E51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D8"/>
  <c r="D36"/>
  <c r="C8"/>
  <c r="E51" i="171"/>
  <c r="D51"/>
  <c r="C51"/>
  <c r="C57"/>
  <c r="E45"/>
  <c r="E57"/>
  <c r="D45"/>
  <c r="D57"/>
  <c r="C45"/>
  <c r="E37"/>
  <c r="D37"/>
  <c r="C37"/>
  <c r="E30"/>
  <c r="D30"/>
  <c r="C30"/>
  <c r="E26"/>
  <c r="D26"/>
  <c r="D36"/>
  <c r="C26"/>
  <c r="C36"/>
  <c r="C41"/>
  <c r="C58"/>
  <c r="E20"/>
  <c r="D20"/>
  <c r="C20"/>
  <c r="E8"/>
  <c r="D8"/>
  <c r="C8"/>
  <c r="E51" i="170"/>
  <c r="D51"/>
  <c r="C51"/>
  <c r="C57"/>
  <c r="E45"/>
  <c r="E57"/>
  <c r="D45"/>
  <c r="D57"/>
  <c r="C45"/>
  <c r="E37"/>
  <c r="D37"/>
  <c r="C37"/>
  <c r="E30"/>
  <c r="D30"/>
  <c r="C30"/>
  <c r="C36"/>
  <c r="C41"/>
  <c r="E26"/>
  <c r="D26"/>
  <c r="C26"/>
  <c r="E20"/>
  <c r="D20"/>
  <c r="C20"/>
  <c r="E8"/>
  <c r="D8"/>
  <c r="D36"/>
  <c r="D41"/>
  <c r="C8"/>
  <c r="E51" i="169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E36"/>
  <c r="E41"/>
  <c r="D8"/>
  <c r="C8"/>
  <c r="C36"/>
  <c r="C41"/>
  <c r="C58"/>
  <c r="B2" i="161"/>
  <c r="B2" i="162" s="1"/>
  <c r="B2" i="163" s="1"/>
  <c r="B2" i="164" s="1"/>
  <c r="E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63"/>
  <c r="D51"/>
  <c r="C51"/>
  <c r="E45"/>
  <c r="E57"/>
  <c r="D45"/>
  <c r="D57"/>
  <c r="C45"/>
  <c r="C57"/>
  <c r="E37"/>
  <c r="D37"/>
  <c r="C37"/>
  <c r="E30"/>
  <c r="D30"/>
  <c r="C30"/>
  <c r="E26"/>
  <c r="D26"/>
  <c r="C26"/>
  <c r="C36"/>
  <c r="E20"/>
  <c r="D20"/>
  <c r="C20"/>
  <c r="E8"/>
  <c r="D8"/>
  <c r="C8"/>
  <c r="E51" i="162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D8"/>
  <c r="D36"/>
  <c r="D41"/>
  <c r="D58"/>
  <c r="C8"/>
  <c r="C36"/>
  <c r="C41"/>
  <c r="C58"/>
  <c r="E51" i="161"/>
  <c r="D51"/>
  <c r="C51"/>
  <c r="E45"/>
  <c r="E57"/>
  <c r="D45"/>
  <c r="D57"/>
  <c r="C45"/>
  <c r="C57"/>
  <c r="E37"/>
  <c r="D37"/>
  <c r="C37"/>
  <c r="E30"/>
  <c r="D30"/>
  <c r="C30"/>
  <c r="E26"/>
  <c r="E36"/>
  <c r="E41"/>
  <c r="D26"/>
  <c r="C26"/>
  <c r="E20"/>
  <c r="D20"/>
  <c r="C20"/>
  <c r="E8"/>
  <c r="D8"/>
  <c r="D36"/>
  <c r="D41"/>
  <c r="D58"/>
  <c r="C8"/>
  <c r="C36"/>
  <c r="C41"/>
  <c r="B2" i="157"/>
  <c r="B2" i="158" s="1"/>
  <c r="B2" i="159" s="1"/>
  <c r="B2" i="160" s="1"/>
  <c r="E51"/>
  <c r="D51"/>
  <c r="C51"/>
  <c r="E45"/>
  <c r="E57"/>
  <c r="D45"/>
  <c r="D57"/>
  <c r="C45"/>
  <c r="C57"/>
  <c r="E37"/>
  <c r="D37"/>
  <c r="C37"/>
  <c r="E30"/>
  <c r="D30"/>
  <c r="D58"/>
  <c r="C30"/>
  <c r="E26"/>
  <c r="D26"/>
  <c r="C26"/>
  <c r="E20"/>
  <c r="D20"/>
  <c r="C20"/>
  <c r="E8"/>
  <c r="D8"/>
  <c r="D36"/>
  <c r="D41"/>
  <c r="C8"/>
  <c r="E51" i="159"/>
  <c r="E57"/>
  <c r="D51"/>
  <c r="C51"/>
  <c r="E45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58"/>
  <c r="E57"/>
  <c r="D51"/>
  <c r="C51"/>
  <c r="E45"/>
  <c r="D45"/>
  <c r="D57"/>
  <c r="C45"/>
  <c r="C57"/>
  <c r="E37"/>
  <c r="D37"/>
  <c r="C37"/>
  <c r="E30"/>
  <c r="D30"/>
  <c r="D36"/>
  <c r="D41"/>
  <c r="D58"/>
  <c r="C30"/>
  <c r="E26"/>
  <c r="D26"/>
  <c r="C26"/>
  <c r="E20"/>
  <c r="D20"/>
  <c r="C20"/>
  <c r="E8"/>
  <c r="E36"/>
  <c r="E41"/>
  <c r="D8"/>
  <c r="C8"/>
  <c r="C36"/>
  <c r="C41"/>
  <c r="E51" i="157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C36"/>
  <c r="C41"/>
  <c r="C58"/>
  <c r="B2" i="153"/>
  <c r="B2" i="154"/>
  <c r="B2" i="155" s="1"/>
  <c r="B2" i="156" s="1"/>
  <c r="E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/>
  <c r="E41"/>
  <c r="D8"/>
  <c r="C8"/>
  <c r="C36"/>
  <c r="C41"/>
  <c r="E51" i="155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54"/>
  <c r="D51"/>
  <c r="C51"/>
  <c r="E45"/>
  <c r="E57"/>
  <c r="D45"/>
  <c r="D57"/>
  <c r="C45"/>
  <c r="E37"/>
  <c r="D37"/>
  <c r="C37"/>
  <c r="E30"/>
  <c r="D30"/>
  <c r="C30"/>
  <c r="E26"/>
  <c r="D26"/>
  <c r="D36"/>
  <c r="C26"/>
  <c r="E20"/>
  <c r="D20"/>
  <c r="C20"/>
  <c r="E8"/>
  <c r="E36"/>
  <c r="E41"/>
  <c r="D8"/>
  <c r="C8"/>
  <c r="C36"/>
  <c r="C41"/>
  <c r="E51" i="153"/>
  <c r="D51"/>
  <c r="C51"/>
  <c r="C57"/>
  <c r="E45"/>
  <c r="E57"/>
  <c r="D45"/>
  <c r="D57"/>
  <c r="C45"/>
  <c r="E37"/>
  <c r="D37"/>
  <c r="C37"/>
  <c r="E30"/>
  <c r="D30"/>
  <c r="C30"/>
  <c r="E26"/>
  <c r="E41"/>
  <c r="D26"/>
  <c r="C26"/>
  <c r="E20"/>
  <c r="D20"/>
  <c r="D36"/>
  <c r="D41"/>
  <c r="D58"/>
  <c r="C20"/>
  <c r="E8"/>
  <c r="E36"/>
  <c r="D8"/>
  <c r="C8"/>
  <c r="B2" i="149"/>
  <c r="B2" i="150" s="1"/>
  <c r="B2" i="151" s="1"/>
  <c r="B2" i="152" s="1"/>
  <c r="E51"/>
  <c r="D51"/>
  <c r="C51"/>
  <c r="E45"/>
  <c r="E57"/>
  <c r="D45"/>
  <c r="D57"/>
  <c r="C45"/>
  <c r="C57"/>
  <c r="E37"/>
  <c r="D37"/>
  <c r="C37"/>
  <c r="E30"/>
  <c r="E36"/>
  <c r="D30"/>
  <c r="C30"/>
  <c r="E26"/>
  <c r="D26"/>
  <c r="C26"/>
  <c r="E20"/>
  <c r="D20"/>
  <c r="C20"/>
  <c r="E8"/>
  <c r="D8"/>
  <c r="C8"/>
  <c r="E51" i="1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50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49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C36"/>
  <c r="C41"/>
  <c r="E8"/>
  <c r="E36"/>
  <c r="E41"/>
  <c r="D8"/>
  <c r="D36"/>
  <c r="D41"/>
  <c r="D58"/>
  <c r="C8"/>
  <c r="B2" i="145"/>
  <c r="B2" i="146" s="1"/>
  <c r="B2" i="147" s="1"/>
  <c r="B2" i="148" s="1"/>
  <c r="E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1" i="147"/>
  <c r="D51"/>
  <c r="C51"/>
  <c r="C57"/>
  <c r="C58"/>
  <c r="E45"/>
  <c r="E57"/>
  <c r="D45"/>
  <c r="D57"/>
  <c r="C45"/>
  <c r="E37"/>
  <c r="D37"/>
  <c r="C37"/>
  <c r="E30"/>
  <c r="D30"/>
  <c r="C30"/>
  <c r="E26"/>
  <c r="E36"/>
  <c r="D26"/>
  <c r="C26"/>
  <c r="E20"/>
  <c r="D20"/>
  <c r="C20"/>
  <c r="E8"/>
  <c r="D8"/>
  <c r="C8"/>
  <c r="C36"/>
  <c r="C41"/>
  <c r="E51" i="146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/>
  <c r="D41"/>
  <c r="D58"/>
  <c r="C8"/>
  <c r="E51" i="145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/>
  <c r="D41"/>
  <c r="C8"/>
  <c r="C36"/>
  <c r="B2" i="105"/>
  <c r="B2" i="139" s="1"/>
  <c r="B2" i="140" s="1"/>
  <c r="B2" i="141" s="1"/>
  <c r="B2" i="137"/>
  <c r="B2" i="136" s="1"/>
  <c r="B2" i="135"/>
  <c r="B2" i="133"/>
  <c r="B2" i="3"/>
  <c r="B2" i="134"/>
  <c r="E7" i="143"/>
  <c r="E96" s="1"/>
  <c r="E164" s="1"/>
  <c r="E152" i="144"/>
  <c r="D152"/>
  <c r="C152"/>
  <c r="E147"/>
  <c r="D147"/>
  <c r="C147"/>
  <c r="E140"/>
  <c r="D140"/>
  <c r="C140"/>
  <c r="E136"/>
  <c r="E160"/>
  <c r="D136"/>
  <c r="C136"/>
  <c r="C160"/>
  <c r="E121"/>
  <c r="D121"/>
  <c r="C121"/>
  <c r="E100"/>
  <c r="E135"/>
  <c r="E161"/>
  <c r="D100"/>
  <c r="D135"/>
  <c r="C100"/>
  <c r="C135"/>
  <c r="E85"/>
  <c r="D85"/>
  <c r="C85"/>
  <c r="E81"/>
  <c r="D81"/>
  <c r="C81"/>
  <c r="E78"/>
  <c r="D78"/>
  <c r="C78"/>
  <c r="E73"/>
  <c r="D73"/>
  <c r="C73"/>
  <c r="E69"/>
  <c r="E92"/>
  <c r="D69"/>
  <c r="D92"/>
  <c r="C69"/>
  <c r="E63"/>
  <c r="D63"/>
  <c r="C63"/>
  <c r="E58"/>
  <c r="D58"/>
  <c r="C58"/>
  <c r="E52"/>
  <c r="D52"/>
  <c r="C52"/>
  <c r="E40"/>
  <c r="D40"/>
  <c r="C40"/>
  <c r="E32"/>
  <c r="D32"/>
  <c r="C32"/>
  <c r="E25"/>
  <c r="D25"/>
  <c r="C25"/>
  <c r="E18"/>
  <c r="D18"/>
  <c r="C18"/>
  <c r="E11"/>
  <c r="E68"/>
  <c r="E165"/>
  <c r="D11"/>
  <c r="C11"/>
  <c r="A2"/>
  <c r="E152" i="143"/>
  <c r="D152"/>
  <c r="C152"/>
  <c r="E147"/>
  <c r="D147"/>
  <c r="C147"/>
  <c r="E140"/>
  <c r="D140"/>
  <c r="C140"/>
  <c r="E136"/>
  <c r="D136"/>
  <c r="D160"/>
  <c r="C136"/>
  <c r="E121"/>
  <c r="D121"/>
  <c r="C121"/>
  <c r="E100"/>
  <c r="E135"/>
  <c r="D100"/>
  <c r="D135"/>
  <c r="D161"/>
  <c r="C100"/>
  <c r="C135"/>
  <c r="E85"/>
  <c r="D85"/>
  <c r="C85"/>
  <c r="E81"/>
  <c r="D81"/>
  <c r="C81"/>
  <c r="E78"/>
  <c r="D78"/>
  <c r="C78"/>
  <c r="E73"/>
  <c r="D73"/>
  <c r="C73"/>
  <c r="E69"/>
  <c r="E92"/>
  <c r="D69"/>
  <c r="C69"/>
  <c r="E63"/>
  <c r="D63"/>
  <c r="C63"/>
  <c r="E58"/>
  <c r="D58"/>
  <c r="C58"/>
  <c r="E52"/>
  <c r="D52"/>
  <c r="C52"/>
  <c r="E40"/>
  <c r="D40"/>
  <c r="C40"/>
  <c r="E32"/>
  <c r="D32"/>
  <c r="C32"/>
  <c r="E25"/>
  <c r="D25"/>
  <c r="D68"/>
  <c r="C25"/>
  <c r="E18"/>
  <c r="D18"/>
  <c r="C18"/>
  <c r="E11"/>
  <c r="D11"/>
  <c r="C11"/>
  <c r="A2"/>
  <c r="A2" i="142"/>
  <c r="A2" i="1"/>
  <c r="C24" i="61"/>
  <c r="E96" i="1"/>
  <c r="E164"/>
  <c r="E29" i="135"/>
  <c r="D29"/>
  <c r="C29"/>
  <c r="E29" i="134"/>
  <c r="D29"/>
  <c r="C29"/>
  <c r="E29" i="3"/>
  <c r="D29"/>
  <c r="C29"/>
  <c r="E51" i="141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E36"/>
  <c r="E41"/>
  <c r="D20"/>
  <c r="C20"/>
  <c r="E8"/>
  <c r="D8"/>
  <c r="C8"/>
  <c r="E51" i="140"/>
  <c r="D51"/>
  <c r="C51"/>
  <c r="E45"/>
  <c r="E57"/>
  <c r="D45"/>
  <c r="D57"/>
  <c r="C45"/>
  <c r="C57"/>
  <c r="E37"/>
  <c r="D37"/>
  <c r="C37"/>
  <c r="E30"/>
  <c r="E36"/>
  <c r="E41"/>
  <c r="D30"/>
  <c r="C30"/>
  <c r="E26"/>
  <c r="D26"/>
  <c r="C26"/>
  <c r="E20"/>
  <c r="D20"/>
  <c r="C20"/>
  <c r="E8"/>
  <c r="D8"/>
  <c r="C8"/>
  <c r="E51" i="139"/>
  <c r="D51"/>
  <c r="C51"/>
  <c r="C57"/>
  <c r="E45"/>
  <c r="E57"/>
  <c r="D45"/>
  <c r="D57"/>
  <c r="C45"/>
  <c r="E37"/>
  <c r="D37"/>
  <c r="C37"/>
  <c r="E30"/>
  <c r="D30"/>
  <c r="C30"/>
  <c r="C36"/>
  <c r="C41"/>
  <c r="C58"/>
  <c r="E26"/>
  <c r="D26"/>
  <c r="C26"/>
  <c r="E20"/>
  <c r="D20"/>
  <c r="C20"/>
  <c r="E8"/>
  <c r="D8"/>
  <c r="C8"/>
  <c r="D45" i="105"/>
  <c r="E45"/>
  <c r="E57"/>
  <c r="D51"/>
  <c r="D57"/>
  <c r="E51"/>
  <c r="D8"/>
  <c r="E8"/>
  <c r="D20"/>
  <c r="E20"/>
  <c r="D26"/>
  <c r="E26"/>
  <c r="D30"/>
  <c r="E30"/>
  <c r="D37"/>
  <c r="E37"/>
  <c r="E52" i="138"/>
  <c r="D52"/>
  <c r="C52"/>
  <c r="E46"/>
  <c r="E58"/>
  <c r="D46"/>
  <c r="C46"/>
  <c r="C58"/>
  <c r="E38"/>
  <c r="D38"/>
  <c r="C38"/>
  <c r="E31"/>
  <c r="D31"/>
  <c r="C31"/>
  <c r="E26"/>
  <c r="D26"/>
  <c r="C26"/>
  <c r="E20"/>
  <c r="D20"/>
  <c r="C20"/>
  <c r="E8"/>
  <c r="D8"/>
  <c r="C8"/>
  <c r="C37"/>
  <c r="C42"/>
  <c r="E52" i="137"/>
  <c r="D52"/>
  <c r="C52"/>
  <c r="E46"/>
  <c r="E58"/>
  <c r="D46"/>
  <c r="D58"/>
  <c r="C46"/>
  <c r="C58"/>
  <c r="E38"/>
  <c r="D38"/>
  <c r="C38"/>
  <c r="E31"/>
  <c r="D31"/>
  <c r="C31"/>
  <c r="E26"/>
  <c r="D26"/>
  <c r="C26"/>
  <c r="E20"/>
  <c r="D20"/>
  <c r="C20"/>
  <c r="E8"/>
  <c r="E37"/>
  <c r="E42"/>
  <c r="D8"/>
  <c r="C8"/>
  <c r="C37"/>
  <c r="C42"/>
  <c r="E52" i="136"/>
  <c r="D52"/>
  <c r="C52"/>
  <c r="E46"/>
  <c r="D46"/>
  <c r="D58"/>
  <c r="C46"/>
  <c r="C58"/>
  <c r="E38"/>
  <c r="D38"/>
  <c r="C38"/>
  <c r="E31"/>
  <c r="D31"/>
  <c r="C31"/>
  <c r="E26"/>
  <c r="D26"/>
  <c r="C26"/>
  <c r="E20"/>
  <c r="D20"/>
  <c r="C20"/>
  <c r="E8"/>
  <c r="E37"/>
  <c r="E42"/>
  <c r="D8"/>
  <c r="D37"/>
  <c r="D42"/>
  <c r="C8"/>
  <c r="C37"/>
  <c r="C42"/>
  <c r="C59"/>
  <c r="E146" i="135"/>
  <c r="D146"/>
  <c r="C146"/>
  <c r="E140"/>
  <c r="D140"/>
  <c r="C140"/>
  <c r="E133"/>
  <c r="D133"/>
  <c r="C133"/>
  <c r="E129"/>
  <c r="E154"/>
  <c r="D129"/>
  <c r="D154"/>
  <c r="C129"/>
  <c r="E114"/>
  <c r="D114"/>
  <c r="C114"/>
  <c r="E93"/>
  <c r="E128"/>
  <c r="D93"/>
  <c r="D128"/>
  <c r="D155"/>
  <c r="C93"/>
  <c r="C128"/>
  <c r="E82"/>
  <c r="D82"/>
  <c r="C82"/>
  <c r="E78"/>
  <c r="D78"/>
  <c r="C78"/>
  <c r="E75"/>
  <c r="D75"/>
  <c r="C75"/>
  <c r="E70"/>
  <c r="D70"/>
  <c r="C70"/>
  <c r="E66"/>
  <c r="E89"/>
  <c r="D66"/>
  <c r="D89"/>
  <c r="C66"/>
  <c r="C89"/>
  <c r="E60"/>
  <c r="D60"/>
  <c r="C60"/>
  <c r="E55"/>
  <c r="D55"/>
  <c r="C55"/>
  <c r="E49"/>
  <c r="D49"/>
  <c r="C49"/>
  <c r="E37"/>
  <c r="D37"/>
  <c r="C37"/>
  <c r="E22"/>
  <c r="D22"/>
  <c r="C22"/>
  <c r="E15"/>
  <c r="D15"/>
  <c r="C15"/>
  <c r="E8"/>
  <c r="E65"/>
  <c r="D8"/>
  <c r="C8"/>
  <c r="E146" i="134"/>
  <c r="D146"/>
  <c r="C146"/>
  <c r="E140"/>
  <c r="D140"/>
  <c r="C140"/>
  <c r="E133"/>
  <c r="D133"/>
  <c r="C133"/>
  <c r="E129"/>
  <c r="D129"/>
  <c r="C129"/>
  <c r="C154"/>
  <c r="E114"/>
  <c r="D114"/>
  <c r="C114"/>
  <c r="E93"/>
  <c r="E128"/>
  <c r="D93"/>
  <c r="C93"/>
  <c r="C128"/>
  <c r="E82"/>
  <c r="D82"/>
  <c r="C82"/>
  <c r="E78"/>
  <c r="D78"/>
  <c r="C78"/>
  <c r="E75"/>
  <c r="D75"/>
  <c r="C75"/>
  <c r="E70"/>
  <c r="D70"/>
  <c r="C70"/>
  <c r="E66"/>
  <c r="D66"/>
  <c r="C66"/>
  <c r="C89"/>
  <c r="E60"/>
  <c r="D60"/>
  <c r="C60"/>
  <c r="E55"/>
  <c r="D55"/>
  <c r="C55"/>
  <c r="E49"/>
  <c r="D49"/>
  <c r="C49"/>
  <c r="E37"/>
  <c r="D37"/>
  <c r="C37"/>
  <c r="E22"/>
  <c r="D22"/>
  <c r="C22"/>
  <c r="E15"/>
  <c r="D15"/>
  <c r="C15"/>
  <c r="E8"/>
  <c r="D8"/>
  <c r="D65"/>
  <c r="C8"/>
  <c r="C65"/>
  <c r="C90"/>
  <c r="D93" i="3"/>
  <c r="E93"/>
  <c r="D114"/>
  <c r="E114"/>
  <c r="D129"/>
  <c r="E129"/>
  <c r="D133"/>
  <c r="E133"/>
  <c r="D140"/>
  <c r="E140"/>
  <c r="D146"/>
  <c r="E146"/>
  <c r="D8"/>
  <c r="E8"/>
  <c r="D15"/>
  <c r="E15"/>
  <c r="D22"/>
  <c r="E22"/>
  <c r="D37"/>
  <c r="E37"/>
  <c r="D49"/>
  <c r="E49"/>
  <c r="D55"/>
  <c r="E55"/>
  <c r="D60"/>
  <c r="E60"/>
  <c r="D66"/>
  <c r="E66"/>
  <c r="D70"/>
  <c r="E70"/>
  <c r="D75"/>
  <c r="E75"/>
  <c r="E89"/>
  <c r="D78"/>
  <c r="E78"/>
  <c r="D82"/>
  <c r="E82"/>
  <c r="H17" i="61"/>
  <c r="H32"/>
  <c r="I17"/>
  <c r="I31"/>
  <c r="D17"/>
  <c r="E17"/>
  <c r="D18"/>
  <c r="E18"/>
  <c r="E30"/>
  <c r="D24"/>
  <c r="E24"/>
  <c r="H18" i="73"/>
  <c r="D31"/>
  <c r="I18"/>
  <c r="H29"/>
  <c r="D31" i="76"/>
  <c r="H30" i="73"/>
  <c r="I29"/>
  <c r="D19"/>
  <c r="E19"/>
  <c r="E29"/>
  <c r="D100" i="1"/>
  <c r="E100"/>
  <c r="D121"/>
  <c r="E121"/>
  <c r="D136"/>
  <c r="E136"/>
  <c r="D140"/>
  <c r="E140"/>
  <c r="D147"/>
  <c r="E147"/>
  <c r="D152"/>
  <c r="E152"/>
  <c r="D11"/>
  <c r="E11"/>
  <c r="D18"/>
  <c r="E18"/>
  <c r="D25"/>
  <c r="E25"/>
  <c r="D32"/>
  <c r="E32"/>
  <c r="D40"/>
  <c r="E40"/>
  <c r="D52"/>
  <c r="E52"/>
  <c r="D58"/>
  <c r="E58"/>
  <c r="D63"/>
  <c r="E63"/>
  <c r="D69"/>
  <c r="E69"/>
  <c r="D73"/>
  <c r="E73"/>
  <c r="D78"/>
  <c r="E78"/>
  <c r="D81"/>
  <c r="E81"/>
  <c r="D85"/>
  <c r="E85"/>
  <c r="C140" i="3"/>
  <c r="C51" i="105"/>
  <c r="C45"/>
  <c r="C57"/>
  <c r="C146" i="3"/>
  <c r="C133"/>
  <c r="C93"/>
  <c r="G29" i="73"/>
  <c r="C152" i="1"/>
  <c r="C140"/>
  <c r="C100"/>
  <c r="C32"/>
  <c r="C37" i="105"/>
  <c r="C30"/>
  <c r="C26"/>
  <c r="C20"/>
  <c r="C8"/>
  <c r="C129" i="3"/>
  <c r="C114"/>
  <c r="C82"/>
  <c r="C78"/>
  <c r="C75"/>
  <c r="C70"/>
  <c r="C66"/>
  <c r="C60"/>
  <c r="C55"/>
  <c r="C49"/>
  <c r="C37"/>
  <c r="C22"/>
  <c r="C15"/>
  <c r="C8"/>
  <c r="C17" i="61"/>
  <c r="C147" i="1"/>
  <c r="C136"/>
  <c r="C121"/>
  <c r="C135"/>
  <c r="B24" i="76"/>
  <c r="C85" i="1"/>
  <c r="C81"/>
  <c r="C78"/>
  <c r="C92"/>
  <c r="B7" i="76"/>
  <c r="C73" i="1"/>
  <c r="C69"/>
  <c r="C63"/>
  <c r="C58"/>
  <c r="C52"/>
  <c r="C40"/>
  <c r="C25"/>
  <c r="C18"/>
  <c r="C11"/>
  <c r="G30" i="61"/>
  <c r="C18"/>
  <c r="C30"/>
  <c r="G18" i="73"/>
  <c r="G30"/>
  <c r="C19"/>
  <c r="C29"/>
  <c r="B26" i="64"/>
  <c r="D26"/>
  <c r="F26"/>
  <c r="B25" i="63"/>
  <c r="D25"/>
  <c r="F25"/>
  <c r="I16" i="200"/>
  <c r="D57" i="184"/>
  <c r="C57"/>
  <c r="C36" i="164"/>
  <c r="C41"/>
  <c r="C58"/>
  <c r="C36" i="181"/>
  <c r="C41"/>
  <c r="C58"/>
  <c r="D36" i="163"/>
  <c r="D41"/>
  <c r="D58"/>
  <c r="D37" i="203"/>
  <c r="C36" i="184"/>
  <c r="C41"/>
  <c r="C58"/>
  <c r="D57" i="174"/>
  <c r="D58"/>
  <c r="J16" i="198"/>
  <c r="C58" i="156"/>
  <c r="C57" i="177"/>
  <c r="C41" i="163"/>
  <c r="C58"/>
  <c r="C54" i="203"/>
  <c r="C71"/>
  <c r="I9" i="200"/>
  <c r="D58" i="145"/>
  <c r="D36" i="180"/>
  <c r="C41" i="145"/>
  <c r="C58"/>
  <c r="D12" i="76"/>
  <c r="F19" i="198"/>
  <c r="D68" i="144"/>
  <c r="D165"/>
  <c r="C57" i="180"/>
  <c r="D57" i="175"/>
  <c r="E57" i="179"/>
  <c r="E36" i="182"/>
  <c r="E41"/>
  <c r="E57"/>
  <c r="E36" i="172"/>
  <c r="E41"/>
  <c r="C36" i="178"/>
  <c r="C41"/>
  <c r="C58"/>
  <c r="K15" i="94"/>
  <c r="K17"/>
  <c r="F3" i="207"/>
  <c r="F1" i="210"/>
  <c r="F25" i="213"/>
  <c r="H19" i="198"/>
  <c r="J6"/>
  <c r="C160" i="143"/>
  <c r="E11" i="203"/>
  <c r="E54"/>
  <c r="E71"/>
  <c r="C36" i="146"/>
  <c r="C41"/>
  <c r="C58"/>
  <c r="E36" i="163"/>
  <c r="E41"/>
  <c r="D36" i="169"/>
  <c r="D41"/>
  <c r="D58"/>
  <c r="D41" i="178"/>
  <c r="D58"/>
  <c r="I7" i="213"/>
  <c r="I10" i="200"/>
  <c r="I14"/>
  <c r="I19"/>
  <c r="H14"/>
  <c r="D92" i="1"/>
  <c r="E36" i="181"/>
  <c r="E41"/>
  <c r="D36" i="183"/>
  <c r="D41"/>
  <c r="D58"/>
  <c r="D58" i="170"/>
  <c r="D41" i="172"/>
  <c r="D58"/>
  <c r="I4" i="198"/>
  <c r="B13" i="208"/>
  <c r="A4" i="202"/>
  <c r="B41" i="209" s="1"/>
  <c r="A3" i="1"/>
  <c r="B9" i="209" s="1"/>
  <c r="C3" i="210"/>
  <c r="H4" i="198"/>
  <c r="F4"/>
  <c r="F5" i="199" s="1"/>
  <c r="B7" i="208"/>
  <c r="D6" i="197"/>
  <c r="D93"/>
  <c r="A3"/>
  <c r="B1" i="210"/>
  <c r="B35" i="209" s="1"/>
  <c r="A1" i="200"/>
  <c r="B39" i="209" s="1"/>
  <c r="E3" i="198"/>
  <c r="A3" i="207"/>
  <c r="B45" i="209"/>
  <c r="A6" i="75"/>
  <c r="E9" i="142" s="1"/>
  <c r="A13" i="75"/>
  <c r="A10" i="76" s="1"/>
  <c r="G4" i="198"/>
  <c r="G5" i="199" s="1"/>
  <c r="H4" s="1"/>
  <c r="A4" i="203"/>
  <c r="C6" i="197"/>
  <c r="C93" s="1"/>
  <c r="D160" i="1"/>
  <c r="B31" i="76"/>
  <c r="E31"/>
  <c r="E41" i="147"/>
  <c r="C36" i="148"/>
  <c r="C41"/>
  <c r="C58"/>
  <c r="E36" i="164"/>
  <c r="E41"/>
  <c r="C36" i="153"/>
  <c r="D7" i="76"/>
  <c r="E160" i="1"/>
  <c r="B37" i="76"/>
  <c r="D41" i="154"/>
  <c r="D58"/>
  <c r="E36" i="162"/>
  <c r="E41"/>
  <c r="D36" i="177"/>
  <c r="D41"/>
  <c r="D58"/>
  <c r="E40" i="211"/>
  <c r="E36" i="184"/>
  <c r="E41"/>
  <c r="C36" i="179"/>
  <c r="C41"/>
  <c r="C58"/>
  <c r="G5" i="63"/>
  <c r="E5"/>
  <c r="C97" i="144"/>
  <c r="I19" i="198"/>
  <c r="A3" i="142"/>
  <c r="B10" i="209" s="1"/>
  <c r="A3" i="144"/>
  <c r="B12" i="209" s="1"/>
  <c r="E4" i="199"/>
  <c r="E65" i="134"/>
  <c r="E154"/>
  <c r="E155"/>
  <c r="E93" i="144"/>
  <c r="C68"/>
  <c r="C165"/>
  <c r="E36" i="148"/>
  <c r="E41"/>
  <c r="C68" i="143"/>
  <c r="C161"/>
  <c r="C65" i="135"/>
  <c r="C90"/>
  <c r="E36" i="139"/>
  <c r="E41"/>
  <c r="C36" i="155"/>
  <c r="C41"/>
  <c r="C58"/>
  <c r="E36" i="157"/>
  <c r="E41"/>
  <c r="D41" i="171"/>
  <c r="D58"/>
  <c r="C36" i="177"/>
  <c r="C41"/>
  <c r="C58"/>
  <c r="E68" i="143"/>
  <c r="E93"/>
  <c r="E160"/>
  <c r="C58" i="149"/>
  <c r="D36" i="155"/>
  <c r="D41"/>
  <c r="D58"/>
  <c r="I17" i="200"/>
  <c r="I18"/>
  <c r="H18"/>
  <c r="H19"/>
  <c r="D36" i="140"/>
  <c r="D41"/>
  <c r="D58"/>
  <c r="C92" i="143"/>
  <c r="C166"/>
  <c r="C57" i="154"/>
  <c r="C58"/>
  <c r="D36" i="159"/>
  <c r="D41"/>
  <c r="D58"/>
  <c r="E57" i="176"/>
  <c r="C36" i="182"/>
  <c r="C41"/>
  <c r="C58"/>
  <c r="C57" i="183"/>
  <c r="E36" i="179"/>
  <c r="E41"/>
  <c r="E36" i="160"/>
  <c r="E41"/>
  <c r="E36" i="177"/>
  <c r="E41"/>
  <c r="D11" i="203"/>
  <c r="D54"/>
  <c r="D71"/>
  <c r="C165" i="143"/>
  <c r="E161"/>
  <c r="E166"/>
  <c r="E66" i="197"/>
  <c r="D155"/>
  <c r="C89"/>
  <c r="D89"/>
  <c r="E89"/>
  <c r="B36" i="209"/>
  <c r="C8" i="144"/>
  <c r="C8" i="143"/>
  <c r="D93" i="144"/>
  <c r="D37" i="138"/>
  <c r="D42"/>
  <c r="C41" i="153"/>
  <c r="C58"/>
  <c r="E58" i="136"/>
  <c r="D36" i="152"/>
  <c r="D41"/>
  <c r="D58"/>
  <c r="E41"/>
  <c r="C58" i="158"/>
  <c r="C36" i="159"/>
  <c r="C41"/>
  <c r="C58"/>
  <c r="E36"/>
  <c r="E41"/>
  <c r="C36" i="160"/>
  <c r="C41"/>
  <c r="C58"/>
  <c r="C58" i="170"/>
  <c r="C36" i="175"/>
  <c r="C41"/>
  <c r="C58"/>
  <c r="D36"/>
  <c r="D41"/>
  <c r="D58"/>
  <c r="E165" i="143"/>
  <c r="A5" i="204"/>
  <c r="A5" i="205"/>
  <c r="C36" i="105"/>
  <c r="C41"/>
  <c r="C58"/>
  <c r="E154" i="3"/>
  <c r="D165" i="143"/>
  <c r="E166" i="144"/>
  <c r="E36" i="105"/>
  <c r="E41"/>
  <c r="C93" i="143"/>
  <c r="C162"/>
  <c r="C31" i="61"/>
  <c r="E90" i="135"/>
  <c r="C154"/>
  <c r="C155"/>
  <c r="C156"/>
  <c r="D59" i="136"/>
  <c r="D36" i="141"/>
  <c r="D41"/>
  <c r="D58"/>
  <c r="D160" i="144"/>
  <c r="D161"/>
  <c r="D162"/>
  <c r="C89" i="3"/>
  <c r="D89"/>
  <c r="D154"/>
  <c r="D154" i="134"/>
  <c r="D36" i="105"/>
  <c r="D41"/>
  <c r="D58"/>
  <c r="C30" i="73"/>
  <c r="D8" i="76"/>
  <c r="D41" i="180"/>
  <c r="D58"/>
  <c r="D89" i="134"/>
  <c r="D90"/>
  <c r="D156"/>
  <c r="D128"/>
  <c r="D155"/>
  <c r="C36" i="140"/>
  <c r="C41"/>
  <c r="C58"/>
  <c r="C36" i="151"/>
  <c r="C41"/>
  <c r="C58"/>
  <c r="C36" i="172"/>
  <c r="C41"/>
  <c r="C58"/>
  <c r="E36" i="176"/>
  <c r="E41"/>
  <c r="D36" i="184"/>
  <c r="D41"/>
  <c r="D58"/>
  <c r="B25" i="213"/>
  <c r="C160" i="1"/>
  <c r="D37" i="76"/>
  <c r="E37" s="1"/>
  <c r="I30" i="73"/>
  <c r="D30" i="76"/>
  <c r="E89" i="134"/>
  <c r="E90"/>
  <c r="D65" i="135"/>
  <c r="D90"/>
  <c r="D156"/>
  <c r="D37" i="137"/>
  <c r="D42"/>
  <c r="D59"/>
  <c r="D36" i="139"/>
  <c r="D41"/>
  <c r="D58"/>
  <c r="C36" i="141"/>
  <c r="C41"/>
  <c r="C58"/>
  <c r="D92" i="143"/>
  <c r="D166"/>
  <c r="C92" i="144"/>
  <c r="C166"/>
  <c r="C58" i="161"/>
  <c r="C154" i="197"/>
  <c r="D36" i="148"/>
  <c r="D41"/>
  <c r="D58"/>
  <c r="C36" i="150"/>
  <c r="C41"/>
  <c r="C58"/>
  <c r="D36" i="151"/>
  <c r="D41"/>
  <c r="D58"/>
  <c r="E36" i="155"/>
  <c r="E41"/>
  <c r="A2" i="208"/>
  <c r="A1" i="211"/>
  <c r="A1" i="205"/>
  <c r="A1" i="201"/>
  <c r="A1" i="197"/>
  <c r="B1" i="79"/>
  <c r="B1" i="3"/>
  <c r="J1" i="73"/>
  <c r="B1" i="1"/>
  <c r="A1" i="204"/>
  <c r="J1" i="200"/>
  <c r="B1" i="136"/>
  <c r="B1" i="135"/>
  <c r="B1" i="64"/>
  <c r="B1" i="144"/>
  <c r="I25" i="213"/>
  <c r="B69"/>
  <c r="B119"/>
  <c r="B157"/>
  <c r="B207"/>
  <c r="D36" i="150"/>
  <c r="D41"/>
  <c r="D58"/>
  <c r="E36" i="151"/>
  <c r="E41"/>
  <c r="C36" i="152"/>
  <c r="C41"/>
  <c r="C58"/>
  <c r="E36" i="170"/>
  <c r="E41"/>
  <c r="E36" i="171"/>
  <c r="E41"/>
  <c r="C36" i="183"/>
  <c r="C41"/>
  <c r="C58"/>
  <c r="J1" i="61"/>
  <c r="B1" i="138"/>
  <c r="A1" i="202"/>
  <c r="D166" i="144"/>
  <c r="D93" i="143"/>
  <c r="D162"/>
  <c r="C93" i="144"/>
  <c r="B25" i="76"/>
  <c r="E7" i="144"/>
  <c r="D19" i="76"/>
  <c r="C23" i="204"/>
  <c r="E155" i="197"/>
  <c r="E90"/>
  <c r="D90"/>
  <c r="D156"/>
  <c r="C155"/>
  <c r="C66"/>
  <c r="C90"/>
  <c r="E37" i="138"/>
  <c r="E42"/>
  <c r="D58"/>
  <c r="D59"/>
  <c r="C59"/>
  <c r="C154" i="3"/>
  <c r="D65"/>
  <c r="D90"/>
  <c r="E65"/>
  <c r="E90"/>
  <c r="C65"/>
  <c r="C90"/>
  <c r="C156"/>
  <c r="D128"/>
  <c r="E128"/>
  <c r="E155"/>
  <c r="C128"/>
  <c r="C155"/>
  <c r="D155"/>
  <c r="M15" i="94"/>
  <c r="B1" i="146"/>
  <c r="M17" i="94"/>
  <c r="K19"/>
  <c r="B1" i="105"/>
  <c r="B1" i="145"/>
  <c r="B1" i="140"/>
  <c r="B1" i="139"/>
  <c r="D32" i="61"/>
  <c r="H31"/>
  <c r="D32" i="76"/>
  <c r="E31" i="61"/>
  <c r="E30" i="73"/>
  <c r="I32"/>
  <c r="E31"/>
  <c r="D18" i="76"/>
  <c r="D25"/>
  <c r="E25"/>
  <c r="D38"/>
  <c r="I33" i="61"/>
  <c r="I32"/>
  <c r="E32"/>
  <c r="D36" i="76"/>
  <c r="D30" i="61"/>
  <c r="D31"/>
  <c r="E7" i="76"/>
  <c r="H31" i="73"/>
  <c r="D24" i="76"/>
  <c r="E24" s="1"/>
  <c r="C31" i="73"/>
  <c r="D29"/>
  <c r="D6" i="76"/>
  <c r="G31" i="73"/>
  <c r="G32"/>
  <c r="C32"/>
  <c r="E92" i="1"/>
  <c r="B19" i="76"/>
  <c r="E19"/>
  <c r="E68" i="1"/>
  <c r="B18" i="76"/>
  <c r="E18" s="1"/>
  <c r="E135" i="1"/>
  <c r="D166"/>
  <c r="D135"/>
  <c r="B13" i="76"/>
  <c r="D68" i="1"/>
  <c r="C68"/>
  <c r="B6" i="76"/>
  <c r="E6" s="1"/>
  <c r="C166" i="1"/>
  <c r="C161"/>
  <c r="E33" i="61"/>
  <c r="E5" i="64"/>
  <c r="C97" i="1"/>
  <c r="C8"/>
  <c r="C59" i="137"/>
  <c r="A31" i="75"/>
  <c r="A28" i="76"/>
  <c r="C97" i="143"/>
  <c r="G5" i="64"/>
  <c r="A19" i="75"/>
  <c r="A16" i="76"/>
  <c r="E5" i="140"/>
  <c r="E5" i="141"/>
  <c r="E5" i="145" s="1"/>
  <c r="E5" i="146" s="1"/>
  <c r="E5" i="147" s="1"/>
  <c r="E5" i="148" s="1"/>
  <c r="E5" i="149" s="1"/>
  <c r="E5" i="150" s="1"/>
  <c r="E5" i="151" s="1"/>
  <c r="E5" i="152" s="1"/>
  <c r="E5" i="153" s="1"/>
  <c r="E5" i="154" s="1"/>
  <c r="E5" i="155" s="1"/>
  <c r="E5" i="156" s="1"/>
  <c r="E5" i="157" s="1"/>
  <c r="E5" i="158" s="1"/>
  <c r="E5" i="159" s="1"/>
  <c r="E5" i="160" s="1"/>
  <c r="E5" i="161" s="1"/>
  <c r="E5" i="162" s="1"/>
  <c r="E5" i="163" s="1"/>
  <c r="E5" i="164" s="1"/>
  <c r="E5" i="169" s="1"/>
  <c r="E5" i="170" s="1"/>
  <c r="E5" i="171" s="1"/>
  <c r="E5" i="172" s="1"/>
  <c r="E5" i="173" s="1"/>
  <c r="E5" i="174" s="1"/>
  <c r="E5" i="175" s="1"/>
  <c r="E5" i="176" s="1"/>
  <c r="E5" i="177" s="1"/>
  <c r="E5" i="178" s="1"/>
  <c r="E5" i="179" s="1"/>
  <c r="E5" i="180" s="1"/>
  <c r="E5" i="181" s="1"/>
  <c r="E5" i="182" s="1"/>
  <c r="E5" i="183" s="1"/>
  <c r="E5" i="184" s="1"/>
  <c r="A25" i="75"/>
  <c r="A22" i="76"/>
  <c r="A4"/>
  <c r="E5" i="3"/>
  <c r="E5" i="133" s="1"/>
  <c r="E5" i="134" s="1"/>
  <c r="E5" i="135" s="1"/>
  <c r="E5" i="79" s="1"/>
  <c r="E5" i="138" s="1"/>
  <c r="E5" i="137" s="1"/>
  <c r="E5" i="136" s="1"/>
  <c r="E5" i="105" s="1"/>
  <c r="E5" i="139" s="1"/>
  <c r="F5" i="63"/>
  <c r="D26" i="76"/>
  <c r="C155" i="134"/>
  <c r="C156"/>
  <c r="F5" i="64"/>
  <c r="E9" i="1"/>
  <c r="D5" i="63"/>
  <c r="D5" i="64" s="1"/>
  <c r="A37" i="75"/>
  <c r="A34" i="76" s="1"/>
  <c r="E155" i="135"/>
  <c r="C161" i="144"/>
  <c r="C162"/>
  <c r="D36" i="164"/>
  <c r="D41"/>
  <c r="D58"/>
  <c r="E41" i="174"/>
  <c r="C36" i="180"/>
  <c r="C41"/>
  <c r="C58"/>
  <c r="D36" i="181"/>
  <c r="D41"/>
  <c r="D58"/>
  <c r="J12" i="198"/>
  <c r="J19"/>
  <c r="I31" i="73"/>
  <c r="D36" i="147"/>
  <c r="D41"/>
  <c r="D58"/>
  <c r="E36" i="150"/>
  <c r="E41"/>
  <c r="D36" i="156"/>
  <c r="D41"/>
  <c r="D58"/>
  <c r="D36" i="157"/>
  <c r="D41"/>
  <c r="D58"/>
  <c r="C36" i="173"/>
  <c r="C41"/>
  <c r="C58"/>
  <c r="E36" i="145"/>
  <c r="E41"/>
  <c r="E36" i="146"/>
  <c r="E41"/>
  <c r="E36" i="183"/>
  <c r="E41"/>
  <c r="B1" i="63"/>
  <c r="K2" i="198"/>
  <c r="B1" i="133"/>
  <c r="I3" i="199"/>
  <c r="E96" i="144"/>
  <c r="E164" s="1"/>
  <c r="I2" i="73"/>
  <c r="I2" i="61" s="1"/>
  <c r="G4" i="63" s="1"/>
  <c r="G4" i="64" s="1"/>
  <c r="E4" i="3" s="1"/>
  <c r="E4" i="133" s="1"/>
  <c r="E4" i="134" s="1"/>
  <c r="E4" i="135" s="1"/>
  <c r="E4" i="79" s="1"/>
  <c r="E4" i="138" s="1"/>
  <c r="E4" i="137" s="1"/>
  <c r="E4" i="136" s="1"/>
  <c r="D20" i="76"/>
  <c r="D156" i="3"/>
  <c r="B1" i="148"/>
  <c r="B1" i="147"/>
  <c r="K21" i="94"/>
  <c r="M19"/>
  <c r="B1" i="149"/>
  <c r="B1" i="152"/>
  <c r="B1" i="151"/>
  <c r="B1" i="150"/>
  <c r="E32" i="73"/>
  <c r="D33" i="61"/>
  <c r="H33"/>
  <c r="D30" i="73"/>
  <c r="D13" i="76"/>
  <c r="E13" s="1"/>
  <c r="E166" i="1"/>
  <c r="E93"/>
  <c r="B20" i="76"/>
  <c r="E165" i="1"/>
  <c r="E161"/>
  <c r="B38" i="76"/>
  <c r="E38"/>
  <c r="B36"/>
  <c r="E36"/>
  <c r="B30"/>
  <c r="E30"/>
  <c r="D161" i="1"/>
  <c r="B32" i="76"/>
  <c r="E32" s="1"/>
  <c r="C165" i="1"/>
  <c r="C93"/>
  <c r="B8" i="76"/>
  <c r="E8" s="1"/>
  <c r="D165" i="1"/>
  <c r="D93"/>
  <c r="B12" i="76"/>
  <c r="E12" s="1"/>
  <c r="C4" i="73"/>
  <c r="G4" s="1"/>
  <c r="D4"/>
  <c r="H4" s="1"/>
  <c r="C4" i="61"/>
  <c r="G4" s="1"/>
  <c r="D4"/>
  <c r="H4" s="1"/>
  <c r="B26" i="76"/>
  <c r="E26" s="1"/>
  <c r="E98" i="1"/>
  <c r="E20" i="76"/>
  <c r="B1" i="156"/>
  <c r="B1" i="153"/>
  <c r="B1" i="154"/>
  <c r="B1" i="155"/>
  <c r="M21" i="94"/>
  <c r="K23"/>
  <c r="D32" i="73"/>
  <c r="D14" i="76"/>
  <c r="E14" s="1"/>
  <c r="H32" i="73"/>
  <c r="C162" i="1"/>
  <c r="B14" i="76"/>
  <c r="D162" i="1"/>
  <c r="K25" i="94"/>
  <c r="M23"/>
  <c r="B1" i="158"/>
  <c r="B1" i="159"/>
  <c r="B1" i="157"/>
  <c r="B1" i="160"/>
  <c r="B1" i="163"/>
  <c r="B1" i="162"/>
  <c r="B1" i="164"/>
  <c r="B1" i="161"/>
  <c r="K27" i="94"/>
  <c r="M25"/>
  <c r="B1" i="172"/>
  <c r="B1" i="169"/>
  <c r="B1" i="171"/>
  <c r="B1" i="170"/>
  <c r="K29" i="94"/>
  <c r="M27"/>
  <c r="B1" i="174"/>
  <c r="B1" i="173"/>
  <c r="B1" i="175"/>
  <c r="B1" i="176"/>
  <c r="M29" i="94"/>
  <c r="K31"/>
  <c r="M31"/>
  <c r="B1" i="183"/>
  <c r="B1" i="184"/>
  <c r="B1" i="182"/>
  <c r="B1" i="181"/>
  <c r="B1" i="177"/>
  <c r="B1" i="179"/>
  <c r="B1" i="178"/>
  <c r="B1" i="180"/>
  <c r="C7" i="209"/>
  <c r="C38"/>
  <c r="C21"/>
  <c r="C26"/>
  <c r="C33"/>
  <c r="C35"/>
  <c r="C34"/>
  <c r="C44"/>
  <c r="C29"/>
  <c r="C39"/>
  <c r="C23"/>
  <c r="C16"/>
  <c r="C25"/>
  <c r="C9"/>
  <c r="C30"/>
  <c r="C10"/>
  <c r="C45"/>
  <c r="C22"/>
  <c r="C42"/>
  <c r="C28"/>
  <c r="C41"/>
  <c r="C17"/>
  <c r="C37"/>
  <c r="C27"/>
  <c r="C24"/>
  <c r="C14"/>
  <c r="C13"/>
  <c r="C36"/>
  <c r="C40"/>
  <c r="C18"/>
  <c r="C15"/>
  <c r="C11"/>
  <c r="C19"/>
  <c r="C43"/>
  <c r="C12"/>
  <c r="C32"/>
  <c r="C8"/>
  <c r="C31"/>
  <c r="C46"/>
  <c r="C20"/>
  <c r="E4" i="157" l="1"/>
  <c r="E4" i="158" s="1"/>
  <c r="E4" i="159" s="1"/>
  <c r="E4" i="160" s="1"/>
  <c r="E4" i="153"/>
  <c r="E4" i="154" s="1"/>
  <c r="E4" i="155" s="1"/>
  <c r="E4" i="156" s="1"/>
  <c r="E4" i="145"/>
  <c r="E4" i="146" s="1"/>
  <c r="E4" i="147" s="1"/>
  <c r="E4" i="148" s="1"/>
  <c r="E4" i="105"/>
  <c r="E4" i="139" s="1"/>
  <c r="E4" i="140" s="1"/>
  <c r="E4" i="141" s="1"/>
  <c r="E4" i="177"/>
  <c r="E4" i="178" s="1"/>
  <c r="E4" i="179" s="1"/>
  <c r="E4" i="180" s="1"/>
  <c r="E4" i="149"/>
  <c r="E4" i="150" s="1"/>
  <c r="E4" i="151" s="1"/>
  <c r="E4" i="152" s="1"/>
  <c r="E4" i="161"/>
  <c r="E4" i="162" s="1"/>
  <c r="E4" i="163" s="1"/>
  <c r="E4" i="164" s="1"/>
  <c r="E4" i="173"/>
  <c r="E4" i="174" s="1"/>
  <c r="E4" i="175" s="1"/>
  <c r="E4" i="176" s="1"/>
  <c r="E4" i="169"/>
  <c r="E4" i="170" s="1"/>
  <c r="E4" i="171" s="1"/>
  <c r="E4" i="172" s="1"/>
  <c r="E4" i="181"/>
  <c r="E4" i="182" s="1"/>
  <c r="E4" i="183" s="1"/>
  <c r="E4" i="184" s="1"/>
  <c r="E5" i="197" s="1"/>
  <c r="E98" i="142"/>
  <c r="E9" i="143"/>
  <c r="C97" i="142"/>
  <c r="C8"/>
  <c r="E9" i="144" l="1"/>
  <c r="E98" i="143"/>
  <c r="E92" i="197"/>
  <c r="J2" i="198"/>
  <c r="H3" i="199" s="1"/>
  <c r="E4" i="73" l="1"/>
  <c r="E98" i="144"/>
  <c r="D5" i="201"/>
  <c r="E6" i="202" s="1"/>
  <c r="H2" i="200"/>
  <c r="E4" i="61" l="1"/>
  <c r="I4" s="1"/>
  <c r="I4" i="73"/>
  <c r="B6" i="204"/>
  <c r="C5" i="203"/>
</calcChain>
</file>

<file path=xl/sharedStrings.xml><?xml version="1.0" encoding="utf-8"?>
<sst xmlns="http://schemas.openxmlformats.org/spreadsheetml/2006/main" count="8986" uniqueCount="898">
  <si>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</si>
  <si>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</si>
  <si>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</si>
  <si>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</si>
  <si>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</si>
  <si>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</si>
  <si>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</si>
  <si>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</si>
  <si>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</si>
  <si>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</si>
  <si>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</si>
  <si>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</si>
  <si>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</si>
  <si>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</si>
  <si>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</si>
  <si>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</si>
  <si>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</si>
  <si>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</si>
  <si>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</si>
  <si>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</si>
  <si>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</si>
  <si>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</si>
  <si>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</si>
  <si>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</si>
  <si>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</si>
  <si>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</si>
  <si>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</si>
  <si>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</si>
  <si>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</si>
  <si>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</si>
  <si>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</si>
  <si>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</si>
  <si>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</si>
  <si>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</si>
  <si>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</si>
  <si>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</si>
  <si>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</si>
  <si>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</si>
  <si>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</si>
  <si>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</si>
  <si>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</si>
  <si>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</si>
  <si>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</si>
  <si>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</si>
  <si>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</si>
  <si>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</si>
  <si>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</si>
  <si>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</si>
  <si>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</si>
  <si>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</si>
  <si>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</si>
  <si>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</si>
  <si>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</si>
  <si>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</si>
  <si>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</si>
  <si>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</si>
  <si>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</si>
  <si>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</si>
  <si>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</si>
  <si>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</si>
  <si>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</si>
  <si>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</si>
  <si>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</si>
  <si>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</si>
  <si>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</si>
  <si>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</si>
  <si>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</si>
  <si>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</si>
  <si>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</si>
  <si>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</si>
  <si>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</si>
  <si>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</si>
  <si>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</si>
  <si>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</si>
  <si>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</si>
  <si>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</si>
  <si>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</si>
  <si>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</si>
  <si>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</si>
  <si>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</si>
  <si>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</si>
  <si>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</si>
  <si>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</si>
  <si>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</si>
  <si>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</si>
  <si>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</si>
  <si>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</si>
  <si>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</si>
  <si>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</si>
  <si>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</si>
  <si>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</si>
  <si>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</si>
  <si>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</si>
  <si>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</si>
  <si>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</si>
  <si>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</si>
  <si>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</si>
  <si>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</si>
  <si>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</si>
  <si>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</si>
  <si>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</si>
  <si>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</si>
  <si>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</si>
  <si>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</si>
  <si>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</si>
  <si>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</si>
  <si>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</si>
  <si>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</si>
  <si>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</si>
  <si>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</si>
  <si>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</si>
  <si>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</si>
  <si>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</si>
  <si>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</si>
  <si>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</si>
  <si>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</si>
  <si>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</si>
  <si>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</si>
  <si>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</si>
  <si>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</si>
  <si>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</si>
  <si>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</si>
  <si>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</si>
  <si>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</si>
  <si>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</si>
  <si>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</si>
  <si>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</si>
  <si>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</si>
  <si>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</si>
  <si>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</si>
  <si>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</si>
  <si>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</si>
  <si>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</si>
  <si>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</si>
  <si>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</si>
  <si>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</si>
  <si>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</si>
  <si>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</si>
  <si>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</si>
  <si>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</si>
  <si>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</si>
  <si>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</si>
  <si>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</si>
  <si>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</si>
  <si>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</si>
  <si>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</si>
  <si>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</si>
  <si>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</si>
  <si>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</si>
  <si>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</si>
  <si>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</si>
  <si>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</si>
  <si>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</si>
  <si>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</si>
  <si>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</si>
  <si>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</si>
  <si>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</si>
  <si>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</si>
  <si>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</si>
  <si>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</si>
  <si>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</si>
  <si>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</si>
  <si>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</si>
  <si>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</si>
  <si>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</si>
  <si>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</si>
  <si>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</si>
  <si>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</si>
  <si>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</si>
  <si>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</si>
  <si>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</si>
  <si>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</si>
  <si>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</si>
  <si>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</si>
  <si>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</si>
  <si>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</si>
  <si>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</si>
  <si>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</si>
  <si>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</si>
  <si>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</si>
  <si>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</si>
  <si>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</si>
  <si>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</si>
  <si>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</si>
  <si>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</si>
  <si>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</si>
  <si>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</si>
  <si>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</si>
  <si>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</si>
  <si>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</si>
  <si>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</si>
  <si>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</si>
  <si>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</si>
  <si>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</si>
  <si>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</si>
  <si>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</si>
  <si>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</si>
  <si>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</si>
  <si>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</si>
  <si>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</si>
  <si>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</si>
  <si>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</si>
  <si>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</si>
  <si>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</si>
  <si>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</si>
  <si>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</si>
  <si>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</si>
  <si>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</si>
  <si>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</si>
  <si>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</si>
  <si>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</si>
  <si>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</si>
  <si>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</si>
  <si>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</si>
  <si>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</si>
  <si>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</si>
  <si>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</si>
  <si>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</si>
  <si>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</si>
  <si>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</si>
  <si>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</si>
  <si>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</si>
  <si>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</si>
  <si>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</si>
  <si>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</si>
  <si>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</si>
  <si>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</si>
  <si>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</si>
  <si>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</si>
  <si>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</si>
  <si>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</si>
  <si>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</si>
  <si>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</si>
  <si>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</si>
  <si>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</si>
  <si>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</si>
  <si>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</si>
  <si>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</si>
  <si>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</si>
  <si>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</si>
  <si>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</si>
  <si>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</si>
  <si>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</si>
  <si>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</si>
  <si>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</si>
  <si>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</si>
  <si>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</si>
  <si>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</si>
  <si>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</si>
  <si>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</si>
  <si>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</si>
  <si>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</si>
  <si>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</si>
  <si>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</si>
  <si>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</si>
  <si>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</si>
  <si>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</si>
  <si>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</si>
  <si>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</si>
  <si>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</si>
  <si>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</si>
  <si>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</si>
  <si>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</si>
  <si>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</si>
  <si>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</si>
  <si>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</si>
  <si>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</si>
  <si>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</si>
  <si>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</si>
  <si>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</si>
  <si>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</si>
  <si>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</si>
  <si>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</si>
  <si>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</si>
  <si>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</si>
  <si>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</si>
  <si>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</si>
  <si>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</si>
  <si>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</si>
  <si>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</si>
  <si>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</si>
  <si>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</si>
  <si>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</si>
  <si>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</si>
  <si>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</si>
  <si>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</si>
  <si>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</si>
  <si>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</si>
  <si>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</si>
  <si>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</si>
  <si>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</si>
  <si>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</si>
  <si>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</si>
  <si>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</si>
  <si>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</si>
  <si>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</si>
  <si>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</si>
  <si>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</si>
  <si>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</si>
  <si>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</si>
  <si>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</si>
  <si>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</si>
  <si>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</si>
  <si>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</si>
  <si>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</si>
  <si>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</si>
  <si>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</si>
  <si>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</si>
  <si>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</si>
  <si>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</si>
  <si>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</si>
  <si>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</si>
  <si>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</si>
  <si>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</si>
  <si>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</si>
  <si>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</si>
  <si>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</si>
  <si>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</si>
  <si>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</si>
  <si>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</si>
  <si>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</si>
  <si>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</si>
  <si>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</si>
  <si>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</si>
  <si>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</si>
  <si>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</si>
  <si>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</si>
  <si>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</si>
  <si>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</si>
  <si>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</si>
  <si>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</si>
  <si>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</si>
  <si>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</si>
  <si>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</si>
  <si>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</si>
  <si>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</si>
  <si>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</si>
  <si>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</si>
  <si>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</si>
  <si>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</si>
  <si>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</si>
  <si>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</si>
  <si>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</si>
  <si>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</si>
  <si>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</si>
  <si>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</si>
  <si>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</si>
  <si>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</si>
  <si>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</si>
  <si>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</si>
  <si>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</si>
  <si>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</si>
  <si>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</si>
  <si>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</si>
  <si>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</si>
  <si>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</si>
  <si>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</si>
  <si>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</si>
  <si>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</si>
  <si>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</si>
  <si>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</si>
  <si>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</si>
  <si>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</si>
  <si>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</si>
  <si>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</si>
  <si>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</si>
  <si>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</si>
  <si>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</si>
  <si>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</si>
  <si>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</si>
  <si>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</si>
  <si>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</si>
  <si>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</si>
  <si>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</si>
  <si>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</si>
  <si>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</si>
  <si>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</si>
  <si>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</si>
  <si>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</si>
  <si>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</si>
  <si>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</si>
  <si>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</si>
  <si>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</si>
  <si>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</si>
  <si>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</si>
  <si>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</si>
  <si>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</si>
  <si>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</si>
  <si>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</si>
  <si>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</si>
  <si>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</si>
  <si>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</si>
  <si>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</si>
  <si>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</si>
  <si>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</si>
  <si>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</si>
  <si>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</si>
  <si>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</si>
  <si>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</si>
  <si>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</si>
  <si>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</si>
  <si>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</si>
  <si>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</si>
  <si>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</si>
  <si>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</si>
  <si>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</si>
  <si>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</si>
  <si>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</si>
  <si>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</si>
  <si>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</si>
  <si>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</si>
  <si>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</si>
  <si>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</si>
  <si>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</si>
  <si>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</si>
  <si>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</si>
  <si>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</si>
  <si>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</si>
  <si>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</si>
  <si>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</si>
  <si>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</si>
  <si>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</si>
  <si>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</si>
  <si>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</si>
  <si>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</si>
  <si>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</si>
  <si>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</si>
  <si>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</si>
  <si>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</si>
  <si>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</si>
  <si>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</si>
  <si>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</si>
  <si>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</si>
  <si>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</si>
  <si>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</si>
  <si>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</si>
  <si>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</si>
  <si>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</si>
  <si>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</si>
  <si>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</si>
  <si>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</si>
  <si>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</si>
  <si>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</si>
  <si>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</si>
  <si>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</si>
  <si>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</si>
  <si>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</si>
  <si>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</si>
  <si>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</si>
  <si>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</si>
  <si>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</si>
  <si>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</si>
  <si>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</si>
  <si>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</si>
  <si>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</si>
  <si>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</si>
  <si>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</si>
  <si>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</si>
  <si>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</si>
  <si>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</si>
  <si>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</si>
  <si>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</si>
  <si>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</si>
  <si>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</si>
  <si>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</si>
  <si>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</si>
  <si>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</si>
  <si>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</si>
  <si>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</si>
  <si>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</si>
  <si>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</si>
  <si>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</si>
  <si>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</si>
  <si>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</si>
  <si>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</si>
  <si>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</si>
  <si>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</si>
  <si>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</si>
  <si>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</si>
  <si>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</si>
  <si>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</si>
  <si>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</si>
  <si>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</si>
  <si>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</si>
  <si>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</si>
  <si>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</si>
  <si>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</si>
  <si>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</si>
  <si>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</si>
  <si>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</si>
  <si>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</si>
  <si>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</si>
  <si>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</si>
  <si>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</si>
  <si>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</si>
  <si>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</si>
  <si>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</si>
  <si>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</si>
  <si>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</si>
  <si>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</si>
  <si>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</si>
  <si>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</si>
  <si>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</si>
  <si>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</si>
  <si>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</si>
  <si>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</si>
  <si>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</si>
  <si>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</si>
  <si>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</si>
  <si>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</si>
  <si>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</si>
  <si>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</si>
  <si>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</si>
  <si>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</si>
  <si>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</si>
  <si>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</si>
  <si>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</si>
  <si>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</si>
  <si>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</si>
  <si>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</si>
  <si>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</si>
  <si>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</si>
  <si>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</si>
  <si>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</si>
  <si>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</si>
  <si>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</si>
  <si>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</si>
  <si>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</si>
  <si>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</si>
  <si>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</si>
  <si>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</si>
  <si>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</si>
  <si>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</si>
  <si>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</si>
  <si>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</si>
  <si>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</si>
  <si>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</si>
  <si>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</si>
  <si>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</si>
  <si>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</si>
  <si>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</si>
  <si>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</si>
  <si>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</si>
  <si>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</si>
  <si>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</si>
  <si>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</si>
  <si>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</si>
  <si>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</si>
  <si>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</si>
  <si>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</si>
  <si>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</si>
  <si>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</si>
  <si>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</si>
  <si>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</si>
  <si>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</si>
  <si>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</si>
  <si>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</si>
  <si>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</si>
  <si>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</si>
  <si>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</si>
  <si>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</si>
  <si>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</si>
  <si>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</si>
  <si>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</si>
  <si>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</si>
  <si>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</si>
  <si>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</si>
  <si>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</si>
  <si>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</si>
  <si>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</si>
  <si>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</si>
  <si>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</si>
  <si>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</si>
  <si>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</si>
  <si>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</si>
  <si>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</si>
  <si>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</si>
  <si>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</si>
  <si>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</si>
  <si>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</si>
  <si>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</si>
  <si>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</si>
  <si>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</si>
  <si>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</si>
  <si>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</si>
  <si>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</si>
  <si>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</si>
  <si>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</si>
  <si>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</si>
  <si>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</si>
  <si>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</si>
  <si>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</si>
  <si>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</si>
  <si>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</si>
  <si>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</si>
  <si>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</si>
  <si>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</si>
  <si>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</si>
  <si>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</si>
  <si>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</si>
  <si>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</si>
  <si>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</si>
  <si>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</si>
  <si>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</si>
  <si>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</si>
  <si>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</si>
  <si>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</si>
  <si>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</si>
  <si>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</si>
  <si>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</si>
  <si>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</si>
  <si>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</si>
  <si>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</si>
  <si>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</si>
  <si>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</si>
  <si>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</si>
  <si>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</si>
  <si>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</si>
  <si>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</si>
  <si>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</si>
  <si>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</si>
  <si>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</si>
  <si>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</si>
  <si>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</si>
  <si>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</si>
  <si>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</si>
  <si>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</si>
  <si>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</si>
  <si>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</si>
  <si>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</si>
  <si>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</si>
  <si>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</si>
  <si>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</si>
  <si>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</si>
  <si>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</si>
  <si>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</si>
  <si>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</si>
  <si>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</si>
  <si>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</si>
  <si>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</si>
  <si>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</si>
  <si>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</si>
  <si>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</si>
  <si>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</si>
  <si>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</si>
  <si>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</si>
  <si>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</si>
  <si>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</si>
  <si>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</si>
  <si>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</si>
  <si>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</si>
  <si>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</si>
  <si>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</si>
  <si>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</si>
  <si>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</si>
  <si>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</si>
  <si>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</si>
  <si>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</si>
  <si>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</si>
  <si>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</si>
  <si>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</si>
  <si>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</si>
  <si>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</si>
  <si>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</si>
  <si>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</si>
  <si>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</si>
  <si>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</si>
  <si>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</si>
  <si>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</si>
  <si>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</si>
  <si>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</si>
  <si>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</si>
  <si>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</si>
  <si>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</si>
  <si>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</si>
  <si>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</si>
  <si>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</si>
  <si>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</si>
  <si>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</si>
  <si>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</si>
  <si>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</si>
  <si>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</si>
  <si>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</si>
  <si>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</si>
  <si>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</si>
  <si>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</si>
  <si>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</si>
  <si>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</si>
  <si>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</si>
  <si>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</si>
  <si>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</si>
  <si>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</si>
  <si>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</si>
  <si>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</si>
  <si>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</si>
  <si>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</si>
  <si>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</si>
  <si>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</si>
  <si>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</si>
  <si>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</si>
  <si>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</si>
  <si>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</si>
  <si>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</si>
  <si>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</si>
  <si>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</si>
  <si>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</si>
  <si>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</si>
  <si>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</si>
  <si>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</si>
  <si>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</si>
  <si>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</si>
  <si>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</si>
  <si>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</si>
  <si>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</si>
  <si>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</si>
  <si>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</si>
  <si>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</si>
  <si>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</si>
  <si>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</si>
  <si>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</si>
  <si>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</si>
  <si>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</si>
  <si>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</si>
  <si>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</si>
  <si>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</si>
  <si>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</si>
  <si>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</si>
  <si>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</si>
  <si>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</si>
  <si>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</si>
  <si>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</si>
  <si>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</si>
  <si>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</si>
  <si>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</si>
  <si>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</si>
  <si>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</si>
  <si>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</si>
  <si>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</si>
  <si>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</si>
  <si>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</si>
  <si>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</si>
  <si>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</si>
  <si>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</si>
  <si>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</si>
  <si>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</si>
  <si>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</si>
  <si>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</si>
  <si>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</si>
  <si>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</si>
  <si>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</si>
  <si>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</si>
  <si>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</si>
  <si>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</si>
  <si>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</si>
  <si>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</si>
  <si>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</si>
  <si>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</si>
  <si>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</si>
  <si>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</si>
  <si>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</si>
  <si>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</si>
  <si>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</si>
  <si>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</si>
  <si>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</si>
  <si>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</si>
  <si>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</si>
  <si>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</si>
  <si>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</si>
  <si>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</si>
  <si>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</si>
  <si>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</si>
  <si>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</si>
  <si>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</si>
  <si>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</si>
  <si>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</si>
  <si>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</si>
  <si>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</si>
  <si>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</si>
  <si>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</si>
  <si>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</si>
  <si>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</si>
  <si>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</si>
  <si>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</si>
  <si>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</si>
  <si>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</si>
  <si>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</si>
  <si>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</si>
  <si>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</si>
  <si>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</si>
  <si>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</si>
  <si>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</si>
  <si>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</si>
  <si>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</si>
  <si>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</si>
  <si>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</si>
  <si>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</si>
  <si>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</si>
  <si>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</si>
  <si>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</si>
  <si>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</si>
  <si>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</si>
  <si>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</si>
  <si>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</si>
  <si>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</si>
  <si>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</si>
  <si>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</si>
  <si>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</si>
  <si>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</si>
  <si>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</si>
  <si>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</si>
  <si>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</si>
  <si>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</si>
  <si>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</si>
  <si>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</si>
  <si>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</si>
  <si>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</si>
  <si>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</si>
  <si>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</si>
  <si>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</si>
  <si>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</si>
  <si>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</si>
  <si>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</si>
  <si>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…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</si>
  <si>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</si>
  <si>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</si>
  <si>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</si>
  <si>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</si>
  <si>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</si>
  <si>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</si>
  <si>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</si>
  <si>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</si>
  <si>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</si>
  <si>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</si>
  <si>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</si>
  <si>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</si>
  <si>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</si>
  <si>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</si>
  <si>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</si>
  <si>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</si>
  <si>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</si>
  <si>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</si>
  <si>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</si>
  <si>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</si>
  <si>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</si>
  <si>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</si>
  <si>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</si>
  <si>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</si>
  <si>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</si>
  <si>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</si>
  <si>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</si>
  <si>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</si>
  <si>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</si>
  <si>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</si>
  <si>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</si>
  <si>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</si>
  <si>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</si>
  <si>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</si>
  <si>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</si>
  <si>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</si>
  <si>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</si>
  <si>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</si>
  <si>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</si>
  <si>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</si>
  <si>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</si>
  <si>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</si>
  <si>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</si>
  <si>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</si>
  <si>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</si>
  <si>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</si>
  <si>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</si>
  <si>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</si>
  <si>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</si>
  <si>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</si>
  <si>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</si>
  <si>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</si>
  <si>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</si>
  <si>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r>
      <t>2019. évi LXXI.
törvény 2.  melléklete száma</t>
    </r>
    <r>
      <rPr>
        <b/>
        <sz val="10"/>
        <rFont val="Symbol"/>
        <family val="1"/>
        <charset val="2"/>
      </rPr>
      <t>*</t>
    </r>
  </si>
  <si>
    <t>* Magyarország 2020. évi központi költségvetéséról szóló törvény</t>
  </si>
  <si>
    <t>Borsodivánka Község Önkormányzata</t>
  </si>
  <si>
    <t>Egyéb közhatalmi bevételek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</si>
  <si>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</si>
  <si>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Államháztartáson belüli megelőlegezés visszafizetése</t>
  </si>
  <si>
    <t>Orvosi eszközök beszerzése</t>
  </si>
  <si>
    <t>Falugondnoki gépkocsi</t>
  </si>
  <si>
    <t xml:space="preserve"> Önkormányzat épületeinek Energetikai korszeűsítése TOP3.2.1 pályázat</t>
  </si>
  <si>
    <t>2020</t>
  </si>
  <si>
    <t>Járda felújitáshoz anyag beszerzés</t>
  </si>
  <si>
    <t xml:space="preserve">Borsodivánka Község Ellátó és Élelmezési központ. </t>
  </si>
  <si>
    <t>Borsodivánka Község Élelmezési és Ellátó Központ</t>
  </si>
  <si>
    <t>Bursa Hungarica</t>
  </si>
  <si>
    <t>Bursa ösztöndíj</t>
  </si>
  <si>
    <t xml:space="preserve"> Mezőkövesdi Többcélú Kistérségi Társulás</t>
  </si>
  <si>
    <t>Működés c. hozzájárulás orvosi ügyelet, tagdíj, szociális fe</t>
  </si>
  <si>
    <t>Mezőkövesd Város Önkormányzata</t>
  </si>
  <si>
    <t xml:space="preserve"> Működés c. pénzeszköz átadás KÖHI</t>
  </si>
  <si>
    <t>Civil Szervezetek</t>
  </si>
  <si>
    <t>Civil szervezetek támogatása</t>
  </si>
  <si>
    <t>Ingatlan értékesítés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</si>
</sst>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3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9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56" xfId="0" applyNumberFormat="1" applyFont="1" applyFill="1" applyBorder="1" applyAlignment="1" applyProtection="1">
      <alignment horizontal="center" vertical="center"/>
    </xf>
    <xf numFmtId="166" fontId="7" fillId="0" borderId="4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7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9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7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177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177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177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9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168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3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4" borderId="0" xfId="0" applyFont="1" applyFill="1" applyAlignment="1">
      <alignment horizontal="center" vertical="center"/>
    </xf>
    <xf numFmtId="0" fontId="74" fillId="4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7" applyNumberFormat="1" applyFont="1" applyFill="1" applyProtection="1"/>
    <xf numFmtId="166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6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4" xfId="6" applyNumberFormat="1" applyFont="1" applyBorder="1" applyAlignment="1">
      <alignment horizontal="center" vertical="center" wrapText="1"/>
    </xf>
    <xf numFmtId="166" fontId="7" fillId="0" borderId="34" xfId="6" applyNumberFormat="1" applyFont="1" applyBorder="1" applyAlignment="1">
      <alignment horizontal="center" vertical="center" wrapText="1"/>
    </xf>
    <xf numFmtId="166" fontId="70" fillId="0" borderId="74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/>
    </xf>
    <xf numFmtId="166" fontId="70" fillId="0" borderId="75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 wrapText="1"/>
    </xf>
    <xf numFmtId="166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64" xfId="6" applyNumberFormat="1" applyFont="1" applyBorder="1" applyAlignment="1" applyProtection="1">
      <alignment horizontal="right" vertical="center" indent="1"/>
      <protection locked="0"/>
    </xf>
    <xf numFmtId="166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57" xfId="6" applyNumberFormat="1" applyFont="1" applyBorder="1" applyAlignment="1">
      <alignment horizontal="right" vertical="center" wrapText="1" indent="1"/>
    </xf>
    <xf numFmtId="166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>
      <alignment horizontal="right" vertical="center" wrapText="1" indent="1"/>
    </xf>
    <xf numFmtId="166" fontId="23" fillId="0" borderId="34" xfId="6" applyNumberFormat="1" applyFont="1" applyBorder="1" applyAlignment="1">
      <alignment horizontal="right" vertical="center" indent="1"/>
    </xf>
    <xf numFmtId="166" fontId="23" fillId="0" borderId="34" xfId="6" applyNumberFormat="1" applyFont="1" applyBorder="1" applyAlignment="1">
      <alignment horizontal="right" vertical="center" wrapText="1" indent="1"/>
    </xf>
    <xf numFmtId="166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72" xfId="6" applyNumberFormat="1" applyFont="1" applyBorder="1" applyAlignment="1">
      <alignment horizontal="right" vertical="center" wrapText="1" indent="1"/>
    </xf>
    <xf numFmtId="166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6" applyNumberFormat="1" applyFont="1" applyBorder="1" applyAlignment="1" applyProtection="1">
      <alignment horizontal="right" vertical="center" indent="1"/>
    </xf>
    <xf numFmtId="166" fontId="27" fillId="0" borderId="32" xfId="6" applyNumberFormat="1" applyFont="1" applyBorder="1" applyAlignment="1" applyProtection="1">
      <alignment horizontal="right" vertical="center" indent="1"/>
    </xf>
    <xf numFmtId="166" fontId="24" fillId="0" borderId="32" xfId="6" applyNumberFormat="1" applyFont="1" applyBorder="1" applyAlignment="1" applyProtection="1">
      <alignment horizontal="right" vertical="center" indent="1"/>
    </xf>
    <xf numFmtId="166" fontId="23" fillId="0" borderId="34" xfId="6" applyNumberFormat="1" applyFont="1" applyBorder="1" applyAlignment="1" applyProtection="1">
      <alignment horizontal="right" vertical="center" indent="1"/>
    </xf>
    <xf numFmtId="166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5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3" fontId="61" fillId="0" borderId="79" xfId="0" applyNumberFormat="1" applyFont="1" applyBorder="1" applyAlignment="1" applyProtection="1">
      <alignment horizontal="right"/>
      <protection locked="0"/>
    </xf>
    <xf numFmtId="0" fontId="48" fillId="0" borderId="80" xfId="0" applyFont="1" applyBorder="1" applyAlignment="1" applyProtection="1">
      <alignment horizontal="left" vertical="center"/>
      <protection locked="0"/>
    </xf>
    <xf numFmtId="3" fontId="37" fillId="0" borderId="81" xfId="0" applyNumberFormat="1" applyFont="1" applyBorder="1" applyAlignment="1" applyProtection="1">
      <alignment horizontal="right" vertical="center" wrapText="1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82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18" fillId="0" borderId="0" xfId="0" applyFont="1" applyAlignment="1" applyProtection="1">
      <alignment horizontal="center"/>
      <protection locked="0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18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68" fillId="0" borderId="0" xfId="6" applyFont="1" applyAlignment="1">
      <alignment horizontal="center" textRotation="180"/>
    </xf>
    <xf numFmtId="166" fontId="5" fillId="0" borderId="22" xfId="6" applyNumberFormat="1" applyFont="1" applyBorder="1" applyAlignment="1" applyProtection="1">
      <alignment horizontal="right" vertical="center"/>
      <protection locked="0"/>
    </xf>
    <xf numFmtId="166" fontId="7" fillId="0" borderId="63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74" xfId="6" applyNumberFormat="1" applyFont="1" applyBorder="1" applyAlignment="1">
      <alignment horizontal="center" vertical="center"/>
    </xf>
    <xf numFmtId="166" fontId="25" fillId="0" borderId="63" xfId="6" applyNumberFormat="1" applyFont="1" applyBorder="1" applyAlignment="1">
      <alignment horizontal="center" vertical="center" wrapText="1"/>
    </xf>
    <xf numFmtId="166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4" xfId="6" applyNumberFormat="1" applyFont="1" applyBorder="1" applyAlignment="1">
      <alignment horizontal="center" vertical="center" wrapText="1"/>
    </xf>
    <xf numFmtId="166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6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6" fontId="16" fillId="0" borderId="50" xfId="6" applyNumberFormat="1" applyFont="1" applyBorder="1" applyAlignment="1" applyProtection="1">
      <alignment horizontal="center" vertical="center" wrapText="1"/>
    </xf>
    <xf numFmtId="166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175" fontId="38" fillId="0" borderId="52" xfId="6" applyNumberFormat="1" applyFont="1" applyBorder="1" applyAlignment="1" applyProtection="1">
      <alignment horizontal="left" vertical="center" wrapText="1"/>
      <protection locked="0"/>
    </xf>
    <xf numFmtId="0" fontId="40" fillId="0" borderId="0" xfId="6" applyFont="1" applyAlignment="1">
      <alignment horizontal="righ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2" xfId="6" applyNumberFormat="1" applyFont="1" applyBorder="1" applyAlignment="1">
      <alignment horizontal="right" vertical="center"/>
    </xf>
    <xf numFmtId="166" fontId="26" fillId="0" borderId="50" xfId="6" applyNumberFormat="1" applyFont="1" applyBorder="1" applyAlignment="1">
      <alignment horizontal="center" vertical="center" wrapText="1"/>
    </xf>
    <xf numFmtId="166" fontId="26" fillId="0" borderId="47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14" fillId="0" borderId="76" xfId="6" applyNumberFormat="1" applyBorder="1" applyAlignment="1" applyProtection="1">
      <alignment horizontal="left" vertical="center" wrapText="1"/>
      <protection locked="0"/>
    </xf>
    <xf numFmtId="166" fontId="14" fillId="0" borderId="54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166" fontId="14" fillId="0" borderId="83" xfId="6" applyNumberFormat="1" applyBorder="1" applyAlignment="1" applyProtection="1">
      <alignment horizontal="left" vertical="center" wrapText="1"/>
      <protection locked="0"/>
    </xf>
    <xf numFmtId="166" fontId="14" fillId="0" borderId="84" xfId="6" applyNumberFormat="1" applyBorder="1" applyAlignment="1" applyProtection="1">
      <alignment horizontal="left" vertical="center" wrapText="1"/>
      <protection locked="0"/>
    </xf>
    <xf numFmtId="166" fontId="14" fillId="0" borderId="40" xfId="6" applyNumberFormat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Border="1" applyAlignment="1">
      <alignment horizontal="left" vertical="center" wrapText="1"/>
    </xf>
    <xf numFmtId="166" fontId="26" fillId="0" borderId="47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6" xfId="7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5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5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82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lor rgb="FFFFC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658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661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"/>
  <sheetViews>
    <sheetView tabSelected="1" topLeftCell="A13" zoomScale="120" zoomScaleNormal="120" workbookViewId="0">
      <selection activeCell="G14" sqref="G14"/>
    </sheetView>
  </sheetViews>
  <sheetFormatPr defaultRowHeight="12.75"/>
  <cols>
    <col min="1" max="1" width="34.83203125" customWidth="1"/>
    <col min="2" max="2" width="91.1640625" customWidth="1"/>
    <col min="3" max="3" width="35.33203125" customWidth="1"/>
  </cols>
  <sheetData>
    <row r="1" spans="1:3">
      <c r="A1" s="733">
        <v>2020</v>
      </c>
    </row>
    <row r="2" spans="1:3" ht="18.75">
      <c r="A2" s="776" t="s">
        <v>783</v>
      </c>
      <c r="B2" s="776"/>
      <c r="C2" s="776"/>
    </row>
    <row r="3" spans="1:3" ht="15">
      <c r="A3" s="654"/>
      <c r="B3" s="655"/>
      <c r="C3" s="654"/>
    </row>
    <row r="4" spans="1:3" ht="14.25">
      <c r="A4" s="656" t="s">
        <v>784</v>
      </c>
      <c r="B4" s="657" t="s">
        <v>785</v>
      </c>
      <c r="C4" s="656" t="s">
        <v>786</v>
      </c>
    </row>
    <row r="5" spans="1:3">
      <c r="A5" s="658"/>
      <c r="B5" s="658"/>
      <c r="C5" s="658"/>
    </row>
    <row r="6" spans="1:3" ht="18.75">
      <c r="A6" s="777" t="s">
        <v>818</v>
      </c>
      <c r="B6" s="777"/>
      <c r="C6" s="777"/>
    </row>
    <row r="7" spans="1:3">
      <c r="A7" s="658" t="s">
        <v>787</v>
      </c>
      <c r="B7" s="658" t="s">
        <v>788</v>
      </c>
      <c r="C7" s="659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>
      <c r="A8" s="658" t="s">
        <v>789</v>
      </c>
      <c r="B8" s="658" t="s">
        <v>827</v>
      </c>
      <c r="C8" s="659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>
      <c r="A9" s="658" t="s">
        <v>790</v>
      </c>
      <c r="B9" s="658" t="str">
        <f>CONCATENATE(LOWER(Z_1.1.sz.mell.!A3))</f>
        <v>2020. évi zárszámadásának pénzügyi mérlege</v>
      </c>
      <c r="C9" s="659" t="str">
        <f ca="1">HYPERLINK(SUBSTITUTE(CELL("address",Z_1.1.sz.mell.!A1),"'",""),SUBSTITUTE(MID(CELL("address",Z_1.1.sz.mell.!A1),SEARCH("]",CELL("address",Z_1.1.sz.mell.!A1),1)+1,LEN(CELL("address",Z_1.1.sz.mell.!A1))-SEARCH("]",CELL("address",Z_1.1.sz.mell.!A1),1)),"'",""))</f>
        <v>Z_1.1.sz.mell.!$A$1</v>
      </c>
    </row>
    <row r="10" spans="1:3">
      <c r="A10" s="658" t="s">
        <v>791</v>
      </c>
      <c r="B10" s="658" t="str">
        <f>Z_1.2.sz.mell.!A3</f>
        <v>2020. ÉVI ZÁRSZÁMADÁS</v>
      </c>
      <c r="C10" s="659" t="str">
        <f ca="1">HYPERLINK(SUBSTITUTE(CELL("address",Z_1.2.sz.mell.!A1),"'",""),SUBSTITUTE(MID(CELL("address",Z_1.2.sz.mell.!A1),SEARCH("]",CELL("address",Z_1.2.sz.mell.!A1),1)+1,LEN(CELL("address",Z_1.2.sz.mell.!A1))-SEARCH("]",CELL("address",Z_1.2.sz.mell.!A1),1)),"'",""))</f>
        <v>Z_1.2.sz.mell.!$A$1</v>
      </c>
    </row>
    <row r="11" spans="1:3">
      <c r="A11" s="658" t="s">
        <v>792</v>
      </c>
      <c r="B11" s="658" t="str">
        <f>Z_1.3.sz.mell.!A3</f>
        <v>2020. ÉVI ZÁRSZÁMADÁS</v>
      </c>
      <c r="C11" s="659" t="str">
        <f ca="1">HYPERLINK(SUBSTITUTE(CELL("address",Z_1.3.sz.mell.!A1),"'",""),SUBSTITUTE(MID(CELL("address",Z_1.3.sz.mell.!A1),SEARCH("]",CELL("address",Z_1.3.sz.mell.!A1),1)+1,LEN(CELL("address",Z_1.3.sz.mell.!A1))-SEARCH("]",CELL("address",Z_1.3.sz.mell.!A1),1)),"'",""))</f>
        <v>Z_1.3.sz.mell.!$A$1</v>
      </c>
    </row>
    <row r="12" spans="1:3">
      <c r="A12" s="658" t="s">
        <v>793</v>
      </c>
      <c r="B12" s="658" t="str">
        <f>Z_1.4.sz.mell.!A3</f>
        <v>2020. ÉVI ZÁRSZÁMADÁS</v>
      </c>
      <c r="C12" s="659" t="str">
        <f ca="1">HYPERLINK(SUBSTITUTE(CELL("address",Z_1.4.sz.mell.!A1),"'",""),SUBSTITUTE(MID(CELL("address",Z_1.4.sz.mell.!A1),SEARCH("]",CELL("address",Z_1.4.sz.mell.!A1),1)+1,LEN(CELL("address",Z_1.4.sz.mell.!A1))-SEARCH("]",CELL("address",Z_1.4.sz.mell.!A1),1)),"'",""))</f>
        <v>Z_1.4.sz.mell.!$A$1</v>
      </c>
    </row>
    <row r="13" spans="1:3">
      <c r="A13" s="658" t="s">
        <v>510</v>
      </c>
      <c r="B13" s="658" t="s">
        <v>794</v>
      </c>
      <c r="C13" s="659" t="str">
        <f ca="1">HYPERLINK(SUBSTITUTE(CELL("address",Z_2.1.sz.mell!A1),"'",""),SUBSTITUTE(MID(CELL("address",Z_2.1.sz.mell!A1),SEARCH("]",CELL("address",Z_2.1.sz.mell!A1),1)+1,LEN(CELL("address",Z_2.1.sz.mell!A1))-SEARCH("]",CELL("address",Z_2.1.sz.mell!A1),1)),"'",""))</f>
        <v>Z_2.1.sz.mell!$A$1</v>
      </c>
    </row>
    <row r="14" spans="1:3">
      <c r="A14" s="658" t="s">
        <v>421</v>
      </c>
      <c r="B14" s="658" t="s">
        <v>795</v>
      </c>
      <c r="C14" s="659" t="str">
        <f ca="1">HYPERLINK(SUBSTITUTE(CELL("address",Z_2.2.sz.mell!A1),"'",""),SUBSTITUTE(MID(CELL("address",Z_2.2.sz.mell!A1),SEARCH("]",CELL("address",Z_2.2.sz.mell!A1),1)+1,LEN(CELL("address",Z_2.2.sz.mell!A1))-SEARCH("]",CELL("address",Z_2.2.sz.mell!A1),1)),"'",""))</f>
        <v>Z_2.2.sz.mell!$A$1</v>
      </c>
    </row>
    <row r="15" spans="1:3">
      <c r="A15" s="658" t="s">
        <v>796</v>
      </c>
      <c r="B15" s="658" t="s">
        <v>797</v>
      </c>
      <c r="C15" s="659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>
      <c r="A16" s="658" t="s">
        <v>798</v>
      </c>
      <c r="B16" s="658" t="s">
        <v>799</v>
      </c>
      <c r="C16" s="659" t="str">
        <f ca="1">HYPERLINK(SUBSTITUTE(CELL("address",Z_3.sz.mell.!A1),"'",""),SUBSTITUTE(MID(CELL("address",Z_3.sz.mell.!A1),SEARCH("]",CELL("address",Z_3.sz.mell.!A1),1)+1,LEN(CELL("address",Z_3.sz.mell.!A1))-SEARCH("]",CELL("address",Z_3.sz.mell.!A1),1)),"'",""))</f>
        <v>Z_3.sz.mell.!$A$1</v>
      </c>
    </row>
    <row r="17" spans="1:3">
      <c r="A17" s="658" t="s">
        <v>800</v>
      </c>
      <c r="B17" s="658" t="s">
        <v>801</v>
      </c>
      <c r="C17" s="659" t="str">
        <f ca="1">HYPERLINK(SUBSTITUTE(CELL("address",Z_4.sz.mell.!A1),"'",""),SUBSTITUTE(MID(CELL("address",Z_4.sz.mell.!A1),SEARCH("]",CELL("address",Z_4.sz.mell.!A1),1)+1,LEN(CELL("address",Z_4.sz.mell.!A1))-SEARCH("]",CELL("address",Z_4.sz.mell.!A1),1)),"'",""))</f>
        <v>Z_4.sz.mell.!$A$1</v>
      </c>
    </row>
    <row r="18" spans="1:3">
      <c r="A18" s="658" t="s">
        <v>802</v>
      </c>
      <c r="B18" s="658" t="str">
        <f>Z_5.sz.mell.!A9</f>
        <v>Európai uniós támogatással megvalósuló projektek</v>
      </c>
      <c r="C18" s="659" t="str">
        <f ca="1">HYPERLINK(SUBSTITUTE(CELL("address",Z_5.sz.mell.!A1),"'",""),SUBSTITUTE(MID(CELL("address",Z_5.sz.mell.!A1),SEARCH("]",CELL("address",Z_5.sz.mell.!A1),1)+1,LEN(CELL("address",Z_5.sz.mell.!A1))-SEARCH("]",CELL("address",Z_5.sz.mell.!A1),1)),"'",""))</f>
        <v>Z_5.sz.mell.!$A$1</v>
      </c>
    </row>
    <row r="19" spans="1:3">
      <c r="A19" s="658" t="s">
        <v>525</v>
      </c>
      <c r="B19" s="658" t="s">
        <v>803</v>
      </c>
      <c r="C19" s="659" t="str">
        <f ca="1">HYPERLINK(SUBSTITUTE(CELL("address",Z_6.1.sz.mell!A1),"'",""),SUBSTITUTE(MID(CELL("address",Z_6.1.sz.mell!A1),SEARCH("]",CELL("address",Z_6.1.sz.mell!A1),1)+1,LEN(CELL("address",Z_6.1.sz.mell!A1))-SEARCH("]",CELL("address",Z_6.1.sz.mell!A1),1)),"'",""))</f>
        <v>Z_6.1.sz.mell!$A$1</v>
      </c>
    </row>
    <row r="20" spans="1:3">
      <c r="A20" s="658" t="s">
        <v>448</v>
      </c>
      <c r="B20" s="658" t="s">
        <v>804</v>
      </c>
      <c r="C20" s="659" t="str">
        <f ca="1">HYPERLINK(SUBSTITUTE(CELL("address",Z_6.1.1.sz.mell!A1),"'",""),SUBSTITUTE(MID(CELL("address",Z_6.1.1.sz.mell!A1),SEARCH("]",CELL("address",Z_6.1.1.sz.mell!A1),1)+1,LEN(CELL("address",Z_6.1.1.sz.mell!A1))-SEARCH("]",CELL("address",Z_6.1.1.sz.mell!A1),1)),"'",""))</f>
        <v>Z_6.1.1.sz.mell!$A$1</v>
      </c>
    </row>
    <row r="21" spans="1:3">
      <c r="A21" s="658" t="s">
        <v>449</v>
      </c>
      <c r="B21" s="658" t="s">
        <v>321</v>
      </c>
      <c r="C21" s="659" t="str">
        <f ca="1">HYPERLINK(SUBSTITUTE(CELL("address",Z_6.1.2.sz.mell!A1),"'",""),SUBSTITUTE(MID(CELL("address",Z_6.1.2.sz.mell!A1),SEARCH("]",CELL("address",Z_6.1.2.sz.mell!A1),1)+1,LEN(CELL("address",Z_6.1.2.sz.mell!A1))-SEARCH("]",CELL("address",Z_6.1.2.sz.mell!A1),1)),"'",""))</f>
        <v>Z_6.1.2.sz.mell!$A$1</v>
      </c>
    </row>
    <row r="22" spans="1:3">
      <c r="A22" s="658" t="s">
        <v>805</v>
      </c>
      <c r="B22" s="658" t="s">
        <v>806</v>
      </c>
      <c r="C22" s="659" t="str">
        <f ca="1">HYPERLINK(SUBSTITUTE(CELL("address",Z_6.1.3.sz.mell!A1),"'",""),SUBSTITUTE(MID(CELL("address",Z_6.1.3.sz.mell!A1),SEARCH("]",CELL("address",Z_6.1.3.sz.mell!A1),1)+1,LEN(CELL("address",Z_6.1.3.sz.mell!A1))-SEARCH("]",CELL("address",Z_6.1.3.sz.mell!A1),1)),"'",""))</f>
        <v>Z_6.1.3.sz.mell!$A$1</v>
      </c>
    </row>
    <row r="23" spans="1:3">
      <c r="A23" s="658" t="s">
        <v>807</v>
      </c>
      <c r="B23" s="658" t="str">
        <f>Z_ALAPADATOK!A11</f>
        <v xml:space="preserve">Borsodivánka Község Ellátó és Élelmezési központ. </v>
      </c>
      <c r="C23" s="659" t="str">
        <f ca="1">HYPERLINK(SUBSTITUTE(CELL("address",Z_6.2.sz.mell!A1),"'",""),SUBSTITUTE(MID(CELL("address",Z_6.2.sz.mell!A1),SEARCH("]",CELL("address",Z_6.2.sz.mell!A1),1)+1,LEN(CELL("address",Z_6.2.sz.mell!A1))-SEARCH("]",CELL("address",Z_6.2.sz.mell!A1),1)),"'",""))</f>
        <v>Z_6.2.sz.mell!$A$1</v>
      </c>
    </row>
    <row r="24" spans="1:3">
      <c r="A24" s="658" t="s">
        <v>808</v>
      </c>
      <c r="B24" t="str">
        <f>Z_ALAPADATOK!B13</f>
        <v>1 kvi név</v>
      </c>
      <c r="C24" s="659" t="str">
        <f ca="1">HYPERLINK(SUBSTITUTE(CELL("address",Z_6.3.sz.mell!A1),"'",""),SUBSTITUTE(MID(CELL("address",Z_6.3.sz.mell!A1),SEARCH("]",CELL("address",Z_6.3.sz.mell!A1),1)+1,LEN(CELL("address",Z_6.3.sz.mell!A1))-SEARCH("]",CELL("address",Z_6.3.sz.mell!A1),1)),"'",""))</f>
        <v>Z_6.3.sz.mell!$A$1</v>
      </c>
    </row>
    <row r="25" spans="1:3">
      <c r="A25" s="658" t="s">
        <v>809</v>
      </c>
      <c r="B25" t="str">
        <f>Z_ALAPADATOK!B15</f>
        <v>2 kvi név</v>
      </c>
      <c r="C25" s="659" t="str">
        <f ca="1">HYPERLINK(SUBSTITUTE(CELL("address",Z_6.4.sz.mell!A1),"'",""),SUBSTITUTE(MID(CELL("address",Z_6.4.sz.mell!A1),SEARCH("]",CELL("address",Z_6.4.sz.mell!A1),1)+1,LEN(CELL("address",Z_6.4.sz.mell!A1))-SEARCH("]",CELL("address",Z_6.4.sz.mell!A1),1)),"'",""))</f>
        <v>Z_6.4.sz.mell!$A$1</v>
      </c>
    </row>
    <row r="26" spans="1:3">
      <c r="A26" s="658" t="s">
        <v>810</v>
      </c>
      <c r="B26" t="str">
        <f>Z_ALAPADATOK!B17</f>
        <v>3 kvi név</v>
      </c>
      <c r="C26" s="659" t="str">
        <f ca="1">HYPERLINK(SUBSTITUTE(CELL("address",Z_6.5.sz.mell!A1),"'",""),SUBSTITUTE(MID(CELL("address",Z_6.5.sz.mell!A1),SEARCH("]",CELL("address",Z_6.5.sz.mell!A1),1)+1,LEN(CELL("address",Z_6.5.sz.mell!A1))-SEARCH("]",CELL("address",Z_6.5.sz.mell!A1),1)),"'",""))</f>
        <v>Z_6.5.sz.mell!$A$1</v>
      </c>
    </row>
    <row r="27" spans="1:3">
      <c r="A27" s="658" t="s">
        <v>811</v>
      </c>
      <c r="B27" t="str">
        <f>Z_ALAPADATOK!B19</f>
        <v>4 kvi név</v>
      </c>
      <c r="C27" s="659" t="str">
        <f ca="1">HYPERLINK(SUBSTITUTE(CELL("address",Z_6.6.sz.mell!A1),"'",""),SUBSTITUTE(MID(CELL("address",Z_6.6.sz.mell!A1),SEARCH("]",CELL("address",Z_6.6.sz.mell!A1),1)+1,LEN(CELL("address",Z_6.6.sz.mell!A1))-SEARCH("]",CELL("address",Z_6.6.sz.mell!A1),1)),"'",""))</f>
        <v>Z_6.6.sz.mell!$A$1</v>
      </c>
    </row>
    <row r="28" spans="1:3">
      <c r="A28" s="658" t="s">
        <v>812</v>
      </c>
      <c r="B28" t="str">
        <f>Z_ALAPADATOK!B21</f>
        <v>5 kvi név</v>
      </c>
      <c r="C28" s="659" t="str">
        <f ca="1">HYPERLINK(SUBSTITUTE(CELL("address",Z_6.7.sz.mell!A1),"'",""),SUBSTITUTE(MID(CELL("address",Z_6.7.sz.mell!A1),SEARCH("]",CELL("address",Z_6.7.sz.mell!A1),1)+1,LEN(CELL("address",Z_6.7.sz.mell!A1))-SEARCH("]",CELL("address",Z_6.7.sz.mell!A1),1)),"'",""))</f>
        <v>Z_6.7.sz.mell!$A$1</v>
      </c>
    </row>
    <row r="29" spans="1:3">
      <c r="A29" s="658" t="s">
        <v>813</v>
      </c>
      <c r="B29" t="str">
        <f>Z_ALAPADATOK!B23</f>
        <v>6 kvi név</v>
      </c>
      <c r="C29" s="659" t="str">
        <f ca="1">HYPERLINK(SUBSTITUTE(CELL("address",Z_6.8.sz.mell!A1),"'",""),SUBSTITUTE(MID(CELL("address",Z_6.8.sz.mell!A1),SEARCH("]",CELL("address",Z_6.8.sz.mell!A1),1)+1,LEN(CELL("address",Z_6.8.sz.mell!A1))-SEARCH("]",CELL("address",Z_6.8.sz.mell!A1),1)),"'",""))</f>
        <v>Z_6.8.sz.mell!$A$1</v>
      </c>
    </row>
    <row r="30" spans="1:3">
      <c r="A30" s="658" t="s">
        <v>814</v>
      </c>
      <c r="B30" t="str">
        <f>Z_ALAPADATOK!B25</f>
        <v>7 kvi név</v>
      </c>
      <c r="C30" s="659" t="str">
        <f ca="1">HYPERLINK(SUBSTITUTE(CELL("address",Z_6.9.sz.mell!A1),"'",""),SUBSTITUTE(MID(CELL("address",Z_6.9.sz.mell!A1),SEARCH("]",CELL("address",Z_6.9.sz.mell!A1),1)+1,LEN(CELL("address",Z_6.9.sz.mell!A1))-SEARCH("]",CELL("address",Z_6.9.sz.mell!A1),1)),"'",""))</f>
        <v>Z_6.9.sz.mell!$A$1</v>
      </c>
    </row>
    <row r="31" spans="1:3">
      <c r="A31" s="658" t="s">
        <v>815</v>
      </c>
      <c r="B31" t="str">
        <f>Z_ALAPADATOK!B27</f>
        <v>8 kvi név</v>
      </c>
      <c r="C31" s="659" t="str">
        <f ca="1">HYPERLINK(SUBSTITUTE(CELL("address",Z_6.10.sz.mell!A1),"'",""),SUBSTITUTE(MID(CELL("address",Z_6.10.sz.mell!A1),SEARCH("]",CELL("address",Z_6.10.sz.mell!A1),1)+1,LEN(CELL("address",Z_6.10.sz.mell!A1))-SEARCH("]",CELL("address",Z_6.10.sz.mell!A1),1)),"'",""))</f>
        <v>Z_6.10.sz.mell!$A$1</v>
      </c>
    </row>
    <row r="32" spans="1:3">
      <c r="A32" s="658" t="s">
        <v>816</v>
      </c>
      <c r="B32" t="str">
        <f>Z_ALAPADATOK!B29</f>
        <v>9 kvi név</v>
      </c>
      <c r="C32" s="659" t="str">
        <f ca="1">HYPERLINK(SUBSTITUTE(CELL("address",Z_6.11.sz.mell!A1),"'",""),SUBSTITUTE(MID(CELL("address",Z_6.11.sz.mell!A1),SEARCH("]",CELL("address",Z_6.11.sz.mell!A1),1)+1,LEN(CELL("address",Z_6.11.sz.mell!A1))-SEARCH("]",CELL("address",Z_6.11.sz.mell!A1),1)),"'",""))</f>
        <v>Z_6.11.sz.mell!$A$1</v>
      </c>
    </row>
    <row r="33" spans="1:3">
      <c r="A33" s="658" t="s">
        <v>817</v>
      </c>
      <c r="B33" t="str">
        <f>Z_ALAPADATOK!B31</f>
        <v>10 kvi név</v>
      </c>
      <c r="C33" s="659" t="str">
        <f ca="1">HYPERLINK(SUBSTITUTE(CELL("address",Z_6.12.sz.mell!A1),"'",""),SUBSTITUTE(MID(CELL("address",Z_6.12.sz.mell!A1),SEARCH("]",CELL("address",Z_6.12.sz.mell!A1),1)+1,LEN(CELL("address",Z_6.12.sz.mell!A1))-SEARCH("]",CELL("address",Z_6.12.sz.mell!A1),1)),"'",""))</f>
        <v>Z_6.12.sz.mell!$A$1</v>
      </c>
    </row>
    <row r="34" spans="1:3">
      <c r="A34" s="658" t="s">
        <v>843</v>
      </c>
      <c r="B34" t="str">
        <f>PROPER(Z_7.sz.mell!A3)</f>
        <v>Költségvetési Szervek Maradványának Alakulása</v>
      </c>
      <c r="C34" s="659" t="str">
        <f ca="1">HYPERLINK(SUBSTITUTE(CELL("address",Z_7.sz.mell!A1),"'",""),SUBSTITUTE(MID(CELL("address",Z_7.sz.mell!A1),SEARCH("]",CELL("address",Z_7.sz.mell!A1),1)+1,LEN(CELL("address",Z_7.sz.mell!A1))-SEARCH("]",CELL("address",Z_7.sz.mell!A1),1)),"'",""))</f>
        <v>Z_7.sz.mell!$A$1</v>
      </c>
    </row>
    <row r="35" spans="1:3">
      <c r="A35" s="658" t="s">
        <v>844</v>
      </c>
      <c r="B35" t="str">
        <f>Z_8.sz.mell!B1</f>
        <v>2020. évi általános működés és ágazati feladatok támogatásának alakulása jogcímenként</v>
      </c>
      <c r="C35" s="659" t="str">
        <f ca="1">HYPERLINK(SUBSTITUTE(CELL("address",Z_8.sz.mell!A1),"'",""),SUBSTITUTE(MID(CELL("address",Z_8.sz.mell!A1),SEARCH("]",CELL("address",Z_8.sz.mell!A1),1)+1,LEN(CELL("address",Z_8.sz.mell!A1))-SEARCH("]",CELL("address",Z_8.sz.mell!A1),1)),"'",""))</f>
        <v>Z_8.sz.mell!$A$1</v>
      </c>
    </row>
    <row r="36" spans="1:3">
      <c r="A36" s="658" t="s">
        <v>764</v>
      </c>
      <c r="B36" t="str">
        <f>CONCATENATE(PROPER(Z_1.tájékoztató_t.!A2)," ",LOWER(Z_1.tájékoztató_t.!A3))</f>
        <v>Borsodivánka Község Önkormányzata 2020. évi zárszámadásának pénzügyi mérlege</v>
      </c>
      <c r="C36" s="659" t="str">
        <f ca="1">HYPERLINK(SUBSTITUTE(CELL("address",Z_1.tájékoztató_t.!A1),"'",""),SUBSTITUTE(MID(CELL("address",Z_1.tájékoztató_t.!A1),SEARCH("]",CELL("address",Z_1.tájékoztató_t.!A1),1)+1,LEN(CELL("address",Z_1.tájékoztató_t.!A1))-SEARCH("]",CELL("address",Z_1.tájékoztató_t.!A1),1)),"'",""))</f>
        <v>Z_1.tájékoztató_t.!$A$1</v>
      </c>
    </row>
    <row r="37" spans="1:3">
      <c r="A37" s="658" t="s">
        <v>766</v>
      </c>
      <c r="B37" t="str">
        <f>Z_2.tájékoztató_t.!A1</f>
        <v>Többéves kihatással járó döntésekből származó kötzelezettségek célok szerinti, évenkénti bontásban</v>
      </c>
      <c r="C37" s="659" t="str">
        <f ca="1">HYPERLINK(SUBSTITUTE(CELL("address",Z_2.tájékoztató_t.!A2),"'",""),SUBSTITUTE(MID(CELL("address",Z_2.tájékoztató_t.!A2),SEARCH("]",CELL("address",Z_2.tájékoztató_t.!A2),1)+1,LEN(CELL("address",Z_2.tájékoztató_t.!A2))-SEARCH("]",CELL("address",Z_2.tájékoztató_t.!A2),1)),"'",""))</f>
        <v>Z_2.tájékoztató_t.!$A$2</v>
      </c>
    </row>
    <row r="38" spans="1:3">
      <c r="A38" s="658" t="s">
        <v>767</v>
      </c>
      <c r="B38" t="str">
        <f>Z_3.tájékoztató_t.!A1</f>
        <v>Az önkormányzat által nyújtott hitel és kölcsön alakulása lejárat és eszközök szerinti bontásban</v>
      </c>
      <c r="C38" s="659" t="str">
        <f ca="1">HYPERLINK(SUBSTITUTE(CELL("address",Z_3.tájékoztató_t.!A1),"'",""),SUBSTITUTE(MID(CELL("address",Z_3.tájékoztató_t.!A1),SEARCH("]",CELL("address",Z_3.tájékoztató_t.!A1),1)+1,LEN(CELL("address",Z_3.tájékoztató_t.!A1))-SEARCH("]",CELL("address",Z_3.tájékoztató_t.!A1),1)),"'",""))</f>
        <v>Z_3.tájékoztató_t.!$A$1</v>
      </c>
    </row>
    <row r="39" spans="1:3">
      <c r="A39" s="658" t="s">
        <v>768</v>
      </c>
      <c r="B39" t="str">
        <f>Z_4.tájékoztató_t.!A1</f>
        <v>Adósság állomány alakulása lejárat, eszközök, bel- és külföldi hitelezők szerinti bontásban
2020. december 31-én</v>
      </c>
      <c r="C39" s="659" t="str">
        <f ca="1">HYPERLINK(SUBSTITUTE(CELL("address",Z_4.tájékoztató_t.!A1),"'",""),SUBSTITUTE(MID(CELL("address",Z_4.tájékoztató_t.!A1),SEARCH("]",CELL("address",Z_4.tájékoztató_t.!A1),1)+1,LEN(CELL("address",Z_4.tájékoztató_t.!A1))-SEARCH("]",CELL("address",Z_4.tájékoztató_t.!A1),1)),"'",""))</f>
        <v>Z_4.tájékoztató_t.!$A$1</v>
      </c>
    </row>
    <row r="40" spans="1:3">
      <c r="A40" s="658" t="s">
        <v>769</v>
      </c>
      <c r="B40" t="str">
        <f>Z_5.tájékoztató_t.!A3</f>
        <v>Az önkormányzat által adott közvetett támogatások</v>
      </c>
      <c r="C40" s="659" t="str">
        <f ca="1">HYPERLINK(SUBSTITUTE(CELL("address",Z_5.tájékoztató_t.!A1),"'",""),SUBSTITUTE(MID(CELL("address",Z_5.tájékoztató_t.!A1),SEARCH("]",CELL("address",Z_5.tájékoztató_t.!A1),1)+1,LEN(CELL("address",Z_5.tájékoztató_t.!A1))-SEARCH("]",CELL("address",Z_5.tájékoztató_t.!A1),1)),"'",""))</f>
        <v>Z_5.tájékoztató_t.!$A$1</v>
      </c>
    </row>
    <row r="41" spans="1:3">
      <c r="A41" s="658" t="s">
        <v>773</v>
      </c>
      <c r="B41" t="str">
        <f>CONCATENATE(PROPER(Z_6.tájékoztató_t.!A3)," ",LOWER(Z_6.tájékoztató_t.!A4))</f>
        <v>K I M U T A T Á S a 2020. évi céljelleggel juttatott támogatások felhasználásáról</v>
      </c>
      <c r="C41" s="659" t="str">
        <f ca="1">HYPERLINK(SUBSTITUTE(CELL("address",Z_6.tájékoztató_t.!A1),"'",""),SUBSTITUTE(MID(CELL("address",Z_6.tájékoztató_t.!A1),SEARCH("]",CELL("address",Z_6.tájékoztató_t.!A1),1)+1,LEN(CELL("address",Z_6.tájékoztató_t.!A1))-SEARCH("]",CELL("address",Z_6.tájékoztató_t.!A1),1)),"'",""))</f>
        <v>Z_6.tájékoztató_t.!$A$1</v>
      </c>
    </row>
    <row r="42" spans="1:3">
      <c r="A42" s="658" t="s">
        <v>775</v>
      </c>
      <c r="B42" t="str">
        <f>CONCATENATE(PROPER(Z_7.1.tájékoztató_t.!A2)," ",Z_7.1.tájékoztató_t.!A3)</f>
        <v>Vagyonkimutatás a könyvviteli mérlegben értékkel szerplő eszközökről</v>
      </c>
      <c r="C42" s="659" t="str">
        <f ca="1">HYPERLINK(SUBSTITUTE(CELL("address",Z_7.1.tájékoztató_t.!A1),"'",""),SUBSTITUTE(MID(CELL("address",Z_7.1.tájékoztató_t.!A1),SEARCH("]",CELL("address",Z_7.1.tájékoztató_t.!A1),1)+1,LEN(CELL("address",Z_7.1.tájékoztató_t.!A1))-SEARCH("]",CELL("address",Z_7.1.tájékoztató_t.!A1),1)),"'",""))</f>
        <v>Z_7.1.tájékoztató_t.!$A$1</v>
      </c>
    </row>
    <row r="43" spans="1:3">
      <c r="A43" s="658" t="s">
        <v>778</v>
      </c>
      <c r="B43" t="str">
        <f>CONCATENATE(PROPER(Z_7.2.tájékoztató_t.!A3)," ",Z_7.2.tájékoztató_t.!A4)</f>
        <v>Vagyonkimutatás a könyvviteli mérlegben értékkel szereplő forrásokról</v>
      </c>
      <c r="C43" s="659" t="str">
        <f ca="1">HYPERLINK(SUBSTITUTE(CELL("address",Z_7.2.tájékoztató_t.!A1),"'",""),SUBSTITUTE(MID(CELL("address",Z_7.2.tájékoztató_t.!A1),SEARCH("]",CELL("address",Z_7.2.tájékoztató_t.!A1),1)+1,LEN(CELL("address",Z_7.2.tájékoztató_t.!A1))-SEARCH("]",CELL("address",Z_7.2.tájékoztató_t.!A1),1)),"'",""))</f>
        <v>Z_7.2.tájékoztató_t.!$A$1</v>
      </c>
    </row>
    <row r="44" spans="1:3">
      <c r="A44" s="658" t="s">
        <v>779</v>
      </c>
      <c r="B44" t="str">
        <f>CONCATENATE(PROPER(Z_7.3.tájékoztató_t.!A3)," ",Z_7.3.tájékoztató_t.!A4)</f>
        <v>Vagyonkimutatás az érték nélkül nyilvántartott eszkzözkről</v>
      </c>
      <c r="C44" s="659" t="str">
        <f ca="1">HYPERLINK(SUBSTITUTE(CELL("address",Z_7.3.tájékoztató_t.!A1),"'",""),SUBSTITUTE(MID(CELL("address",Z_7.3.tájékoztató_t.!A1),SEARCH("]",CELL("address",Z_7.3.tájékoztató_t.!A1),1)+1,LEN(CELL("address",Z_7.3.tájékoztató_t.!A1))-SEARCH("]",CELL("address",Z_7.3.tájékoztató_t.!A1),1)),"'",""))</f>
        <v>Z_7.3.tájékoztató_t.!$A$1</v>
      </c>
    </row>
    <row r="45" spans="1:3">
      <c r="A45" s="658" t="s">
        <v>781</v>
      </c>
      <c r="B45" t="str">
        <f>CONCATENATE(Z_8.tájékoztató_t.!A2,Z_8.tájékoztató_t.!A3)</f>
        <v>Borsodivánka Község Önkormányzata tulajdonában álló gazdálkodó szervezetek működéséből származókötelezettségek és részesedések alakulása 2020. évben</v>
      </c>
      <c r="C45" s="659" t="str">
        <f ca="1">HYPERLINK(SUBSTITUTE(CELL("address",Z_8.tájékoztató_t.!A1),"'",""),SUBSTITUTE(MID(CELL("address",Z_8.tájékoztató_t.!A1),SEARCH("]",CELL("address",Z_8.tájékoztató_t.!A1),1)+1,LEN(CELL("address",Z_8.tájékoztató_t.!A1))-SEARCH("]",CELL("address",Z_8.tájékoztató_t.!A1),1)),"'",""))</f>
        <v>Z_8.tájékoztató_t.!$A$1</v>
      </c>
    </row>
    <row r="46" spans="1:3">
      <c r="A46" s="658" t="s">
        <v>782</v>
      </c>
      <c r="B46" t="s">
        <v>819</v>
      </c>
      <c r="C46" s="659" t="str">
        <f ca="1">HYPERLINK(SUBSTITUTE(CELL("address",Z_9.tájékoztató_t.!A1),"'",""),SUBSTITUTE(MID(CELL("address",Z_9.tájékoztató_t.!A1),SEARCH("]",CELL("address",Z_9.tájékoztató_t.!A1),1)+1,LEN(CELL("address",Z_9.tájékoztató_t.!A1))-SEARCH("]",CELL("address",Z_9.tájékoztató_t.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opLeftCell="N1" zoomScale="120" zoomScaleNormal="120" workbookViewId="0">
      <selection activeCell="A11" sqref="A11:G11"/>
    </sheetView>
  </sheetViews>
  <sheetFormatPr defaultRowHeight="12.75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>
      <c r="A1" s="645"/>
      <c r="B1" s="759">
        <f>Z_TARTALOMJEGYZÉK!A1</f>
        <v>2020</v>
      </c>
      <c r="C1" s="759" t="s">
        <v>845</v>
      </c>
      <c r="D1" s="759"/>
      <c r="E1" s="645"/>
      <c r="F1" s="645"/>
      <c r="G1" s="645"/>
      <c r="H1" s="645"/>
      <c r="I1" s="645"/>
    </row>
    <row r="2" spans="1:13" ht="15.75">
      <c r="A2" s="796" t="s">
        <v>490</v>
      </c>
      <c r="B2" s="796"/>
      <c r="C2" s="796"/>
      <c r="D2" s="796"/>
      <c r="E2" s="796"/>
      <c r="F2" s="796"/>
      <c r="G2" s="645"/>
      <c r="H2" s="645"/>
      <c r="I2" s="645"/>
    </row>
    <row r="3" spans="1:13" ht="15.75">
      <c r="A3" s="803" t="s">
        <v>878</v>
      </c>
      <c r="B3" s="803"/>
      <c r="C3" s="803"/>
      <c r="D3" s="803"/>
      <c r="E3" s="803"/>
      <c r="F3" s="803"/>
      <c r="G3" s="803"/>
      <c r="H3" s="645"/>
      <c r="I3" s="645"/>
    </row>
    <row r="4" spans="1:13">
      <c r="A4" s="645"/>
      <c r="B4" s="645"/>
      <c r="C4" s="645"/>
      <c r="D4" s="645"/>
      <c r="E4" s="645"/>
      <c r="F4" s="645"/>
      <c r="G4" s="645"/>
      <c r="H4" s="645"/>
      <c r="I4" s="645"/>
    </row>
    <row r="5" spans="1:13">
      <c r="A5" s="645"/>
      <c r="B5" s="645"/>
      <c r="C5" s="645"/>
      <c r="D5" s="645"/>
      <c r="E5" s="645"/>
      <c r="F5" s="645"/>
      <c r="G5" s="645"/>
      <c r="H5" s="645"/>
      <c r="I5" s="645"/>
    </row>
    <row r="6" spans="1:13" ht="15">
      <c r="A6" s="760" t="s">
        <v>828</v>
      </c>
      <c r="B6" s="645"/>
      <c r="C6" s="645"/>
      <c r="D6" s="645"/>
      <c r="E6" s="645"/>
      <c r="F6" s="645"/>
      <c r="G6" s="645"/>
      <c r="H6" s="645"/>
      <c r="I6" s="645"/>
    </row>
    <row r="7" spans="1:13">
      <c r="A7" s="761" t="s">
        <v>821</v>
      </c>
      <c r="B7" s="703" t="s">
        <v>822</v>
      </c>
      <c r="C7" s="645" t="s">
        <v>823</v>
      </c>
      <c r="D7" s="645" t="str">
        <f>CONCATENATE(Z_TARTALOMJEGYZÉK!A1+1,".")</f>
        <v>2021.</v>
      </c>
      <c r="E7" s="645" t="s">
        <v>824</v>
      </c>
      <c r="F7" s="703" t="s">
        <v>822</v>
      </c>
      <c r="G7" s="645" t="s">
        <v>825</v>
      </c>
      <c r="H7" s="645" t="s">
        <v>826</v>
      </c>
      <c r="I7" s="645"/>
    </row>
    <row r="8" spans="1:13">
      <c r="A8" s="761"/>
      <c r="B8" s="762"/>
      <c r="C8" s="645"/>
      <c r="D8" s="645"/>
      <c r="E8" s="645"/>
      <c r="F8" s="762"/>
      <c r="G8" s="645"/>
      <c r="H8" s="645"/>
      <c r="I8" s="645"/>
    </row>
    <row r="9" spans="1:13">
      <c r="A9" s="761"/>
      <c r="B9" s="762"/>
      <c r="C9" s="645"/>
      <c r="D9" s="645"/>
      <c r="E9" s="645"/>
      <c r="F9" s="762"/>
      <c r="G9" s="645"/>
      <c r="H9" s="645"/>
      <c r="I9" s="645"/>
    </row>
    <row r="10" spans="1:13" ht="13.5" thickBot="1">
      <c r="A10" s="645"/>
      <c r="B10" s="645"/>
      <c r="C10" s="645"/>
      <c r="D10" s="645"/>
      <c r="E10" s="645"/>
      <c r="F10" s="645"/>
      <c r="G10" s="645"/>
      <c r="H10" s="705" t="s">
        <v>856</v>
      </c>
      <c r="I10" s="645"/>
    </row>
    <row r="11" spans="1:13" ht="17.25" thickTop="1" thickBot="1">
      <c r="A11" s="801" t="s">
        <v>887</v>
      </c>
      <c r="B11" s="802"/>
      <c r="C11" s="802"/>
      <c r="D11" s="802"/>
      <c r="E11" s="802"/>
      <c r="F11" s="802"/>
      <c r="G11" s="802"/>
      <c r="H11" s="763" t="s">
        <v>863</v>
      </c>
      <c r="I11" s="645"/>
      <c r="J11" s="706" t="s">
        <v>11</v>
      </c>
      <c r="K11">
        <f>IF($H$11="Nem","",2)</f>
        <v>2</v>
      </c>
      <c r="L11" t="s">
        <v>857</v>
      </c>
      <c r="M11" t="str">
        <f>CONCATENATE(J11,K11,L11)</f>
        <v>6.2.</v>
      </c>
    </row>
    <row r="12" spans="1:13" ht="13.5" thickTop="1">
      <c r="A12" s="645"/>
      <c r="B12" s="645"/>
      <c r="C12" s="645"/>
      <c r="D12" s="645"/>
      <c r="E12" s="645"/>
      <c r="F12" s="645"/>
      <c r="G12" s="645"/>
      <c r="H12" s="645"/>
      <c r="I12" s="645"/>
    </row>
    <row r="13" spans="1:13" ht="14.25">
      <c r="A13" s="764" t="s">
        <v>491</v>
      </c>
      <c r="B13" s="804" t="s">
        <v>492</v>
      </c>
      <c r="C13" s="805"/>
      <c r="D13" s="805"/>
      <c r="E13" s="805"/>
      <c r="F13" s="805"/>
      <c r="G13" s="805"/>
      <c r="H13" s="645"/>
      <c r="I13" s="645"/>
      <c r="J13" s="706" t="s">
        <v>11</v>
      </c>
      <c r="K13">
        <f>IF(H11="Nem",2,3)</f>
        <v>3</v>
      </c>
      <c r="L13" t="s">
        <v>857</v>
      </c>
      <c r="M13" t="str">
        <f>CONCATENATE(J13,K13,L13)</f>
        <v>6.3.</v>
      </c>
    </row>
    <row r="14" spans="1:13" ht="14.25">
      <c r="A14" s="645"/>
      <c r="B14" s="704"/>
      <c r="C14" s="645"/>
      <c r="D14" s="645"/>
      <c r="E14" s="645"/>
      <c r="F14" s="645"/>
      <c r="G14" s="645"/>
      <c r="H14" s="645"/>
      <c r="I14" s="645"/>
    </row>
    <row r="15" spans="1:13" ht="14.25">
      <c r="A15" s="764" t="s">
        <v>493</v>
      </c>
      <c r="B15" s="804" t="s">
        <v>494</v>
      </c>
      <c r="C15" s="805"/>
      <c r="D15" s="805"/>
      <c r="E15" s="805"/>
      <c r="F15" s="805"/>
      <c r="G15" s="805"/>
      <c r="H15" s="645"/>
      <c r="I15" s="645"/>
      <c r="J15" s="706" t="s">
        <v>11</v>
      </c>
      <c r="K15">
        <f>K13+1</f>
        <v>4</v>
      </c>
      <c r="L15" t="s">
        <v>857</v>
      </c>
      <c r="M15" t="str">
        <f>CONCATENATE(J15,K15,L15)</f>
        <v>6.4.</v>
      </c>
    </row>
    <row r="16" spans="1:13" ht="14.25">
      <c r="A16" s="645"/>
      <c r="B16" s="704"/>
      <c r="C16" s="645"/>
      <c r="D16" s="645"/>
      <c r="E16" s="645"/>
      <c r="F16" s="645"/>
      <c r="G16" s="645"/>
      <c r="H16" s="645"/>
      <c r="I16" s="645"/>
    </row>
    <row r="17" spans="1:13" ht="14.25">
      <c r="A17" s="764" t="s">
        <v>495</v>
      </c>
      <c r="B17" s="804" t="s">
        <v>496</v>
      </c>
      <c r="C17" s="805"/>
      <c r="D17" s="805"/>
      <c r="E17" s="805"/>
      <c r="F17" s="805"/>
      <c r="G17" s="805"/>
      <c r="H17" s="645"/>
      <c r="I17" s="645"/>
      <c r="J17" s="706" t="s">
        <v>11</v>
      </c>
      <c r="K17">
        <f>K15+1</f>
        <v>5</v>
      </c>
      <c r="L17" t="s">
        <v>857</v>
      </c>
      <c r="M17" t="str">
        <f>CONCATENATE(J17,K17,L17)</f>
        <v>6.5.</v>
      </c>
    </row>
    <row r="18" spans="1:13" ht="14.25">
      <c r="A18" s="645"/>
      <c r="B18" s="704"/>
      <c r="C18" s="645"/>
      <c r="D18" s="645"/>
      <c r="E18" s="645"/>
      <c r="F18" s="645"/>
      <c r="G18" s="645"/>
      <c r="H18" s="645"/>
      <c r="I18" s="645"/>
    </row>
    <row r="19" spans="1:13" ht="14.25">
      <c r="A19" s="764" t="s">
        <v>497</v>
      </c>
      <c r="B19" s="804" t="s">
        <v>498</v>
      </c>
      <c r="C19" s="805"/>
      <c r="D19" s="805"/>
      <c r="E19" s="805"/>
      <c r="F19" s="805"/>
      <c r="G19" s="805"/>
      <c r="H19" s="645"/>
      <c r="I19" s="645"/>
      <c r="J19" s="706" t="s">
        <v>11</v>
      </c>
      <c r="K19">
        <f>K17+1</f>
        <v>6</v>
      </c>
      <c r="L19" t="s">
        <v>857</v>
      </c>
      <c r="M19" t="str">
        <f>CONCATENATE(J19,K19,L19)</f>
        <v>6.6.</v>
      </c>
    </row>
    <row r="20" spans="1:13" ht="14.25">
      <c r="A20" s="645"/>
      <c r="B20" s="704"/>
      <c r="C20" s="645"/>
      <c r="D20" s="645"/>
      <c r="E20" s="645"/>
      <c r="F20" s="645"/>
      <c r="G20" s="645"/>
      <c r="H20" s="645"/>
      <c r="I20" s="645"/>
    </row>
    <row r="21" spans="1:13" ht="14.25">
      <c r="A21" s="764" t="s">
        <v>499</v>
      </c>
      <c r="B21" s="804" t="s">
        <v>500</v>
      </c>
      <c r="C21" s="805"/>
      <c r="D21" s="805"/>
      <c r="E21" s="805"/>
      <c r="F21" s="805"/>
      <c r="G21" s="805"/>
      <c r="H21" s="645"/>
      <c r="I21" s="645"/>
      <c r="J21" s="706" t="s">
        <v>11</v>
      </c>
      <c r="K21">
        <f>K19+1</f>
        <v>7</v>
      </c>
      <c r="L21" t="s">
        <v>857</v>
      </c>
      <c r="M21" t="str">
        <f>CONCATENATE(J21,K21,L21)</f>
        <v>6.7.</v>
      </c>
    </row>
    <row r="22" spans="1:13" ht="14.25">
      <c r="A22" s="645"/>
      <c r="B22" s="704"/>
      <c r="C22" s="645"/>
      <c r="D22" s="645"/>
      <c r="E22" s="645"/>
      <c r="F22" s="645"/>
      <c r="G22" s="645"/>
      <c r="H22" s="645"/>
      <c r="I22" s="645"/>
    </row>
    <row r="23" spans="1:13" ht="14.25">
      <c r="A23" s="764" t="s">
        <v>501</v>
      </c>
      <c r="B23" s="804" t="s">
        <v>502</v>
      </c>
      <c r="C23" s="805"/>
      <c r="D23" s="805"/>
      <c r="E23" s="805"/>
      <c r="F23" s="805"/>
      <c r="G23" s="805"/>
      <c r="H23" s="645"/>
      <c r="I23" s="645"/>
      <c r="J23" s="706" t="s">
        <v>11</v>
      </c>
      <c r="K23">
        <f>K21+1</f>
        <v>8</v>
      </c>
      <c r="L23" t="s">
        <v>857</v>
      </c>
      <c r="M23" t="str">
        <f>CONCATENATE(J23,K23,L23)</f>
        <v>6.8.</v>
      </c>
    </row>
    <row r="24" spans="1:13" ht="14.25">
      <c r="A24" s="645"/>
      <c r="B24" s="704"/>
      <c r="C24" s="645"/>
      <c r="D24" s="645"/>
      <c r="E24" s="645"/>
      <c r="F24" s="645"/>
      <c r="G24" s="645"/>
      <c r="H24" s="645"/>
      <c r="I24" s="645"/>
    </row>
    <row r="25" spans="1:13" ht="14.25">
      <c r="A25" s="764" t="s">
        <v>503</v>
      </c>
      <c r="B25" s="804" t="s">
        <v>504</v>
      </c>
      <c r="C25" s="805"/>
      <c r="D25" s="805"/>
      <c r="E25" s="805"/>
      <c r="F25" s="805"/>
      <c r="G25" s="805"/>
      <c r="H25" s="645"/>
      <c r="I25" s="645"/>
      <c r="J25" s="706" t="s">
        <v>11</v>
      </c>
      <c r="K25">
        <f>K23+1</f>
        <v>9</v>
      </c>
      <c r="L25" t="s">
        <v>857</v>
      </c>
      <c r="M25" t="str">
        <f>CONCATENATE(J25,K25,L25)</f>
        <v>6.9.</v>
      </c>
    </row>
    <row r="26" spans="1:13" ht="14.25">
      <c r="A26" s="645"/>
      <c r="B26" s="704"/>
      <c r="C26" s="645"/>
      <c r="D26" s="645"/>
      <c r="E26" s="645"/>
      <c r="F26" s="645"/>
      <c r="G26" s="645"/>
      <c r="H26" s="645"/>
      <c r="I26" s="645"/>
    </row>
    <row r="27" spans="1:13" ht="14.25">
      <c r="A27" s="764" t="s">
        <v>505</v>
      </c>
      <c r="B27" s="804" t="s">
        <v>506</v>
      </c>
      <c r="C27" s="805"/>
      <c r="D27" s="805"/>
      <c r="E27" s="805"/>
      <c r="F27" s="805"/>
      <c r="G27" s="805"/>
      <c r="H27" s="645"/>
      <c r="I27" s="645"/>
      <c r="J27" s="706" t="s">
        <v>11</v>
      </c>
      <c r="K27">
        <f>K25+1</f>
        <v>10</v>
      </c>
      <c r="L27" t="s">
        <v>857</v>
      </c>
      <c r="M27" t="str">
        <f>CONCATENATE(J27,K27,L27)</f>
        <v>6.10.</v>
      </c>
    </row>
    <row r="28" spans="1:13" ht="14.25">
      <c r="A28" s="645"/>
      <c r="B28" s="704"/>
      <c r="C28" s="645"/>
      <c r="D28" s="645"/>
      <c r="E28" s="645"/>
      <c r="F28" s="645"/>
      <c r="G28" s="645"/>
      <c r="H28" s="645"/>
      <c r="I28" s="645"/>
    </row>
    <row r="29" spans="1:13" ht="14.25">
      <c r="A29" s="764" t="s">
        <v>505</v>
      </c>
      <c r="B29" s="804" t="s">
        <v>507</v>
      </c>
      <c r="C29" s="805"/>
      <c r="D29" s="805"/>
      <c r="E29" s="805"/>
      <c r="F29" s="805"/>
      <c r="G29" s="805"/>
      <c r="H29" s="645"/>
      <c r="I29" s="645"/>
      <c r="J29" s="706" t="s">
        <v>11</v>
      </c>
      <c r="K29">
        <f>K27+1</f>
        <v>11</v>
      </c>
      <c r="L29" t="s">
        <v>857</v>
      </c>
      <c r="M29" t="str">
        <f>CONCATENATE(J29,K29,L29)</f>
        <v>6.11.</v>
      </c>
    </row>
    <row r="30" spans="1:13" ht="14.25">
      <c r="A30" s="645"/>
      <c r="B30" s="704"/>
      <c r="C30" s="645"/>
      <c r="D30" s="645"/>
      <c r="E30" s="645"/>
      <c r="F30" s="645"/>
      <c r="G30" s="645"/>
      <c r="H30" s="645"/>
      <c r="I30" s="645"/>
    </row>
    <row r="31" spans="1:13" ht="14.25">
      <c r="A31" s="764" t="s">
        <v>508</v>
      </c>
      <c r="B31" s="804" t="s">
        <v>509</v>
      </c>
      <c r="C31" s="805"/>
      <c r="D31" s="805"/>
      <c r="E31" s="805"/>
      <c r="F31" s="805"/>
      <c r="G31" s="805"/>
      <c r="H31" s="645"/>
      <c r="I31" s="645"/>
      <c r="J31" s="706" t="s">
        <v>11</v>
      </c>
      <c r="K31">
        <f>K29+1</f>
        <v>12</v>
      </c>
      <c r="L31" t="s">
        <v>857</v>
      </c>
      <c r="M31" t="str">
        <f>CONCATENATE(J31,K31,L31)</f>
        <v>6.12.</v>
      </c>
    </row>
    <row r="32" spans="1:13">
      <c r="A32" s="645"/>
      <c r="B32" s="645"/>
      <c r="C32" s="645"/>
      <c r="D32" s="645"/>
      <c r="E32" s="645"/>
      <c r="F32" s="645"/>
      <c r="G32" s="645"/>
      <c r="H32" s="645"/>
      <c r="I32" s="645"/>
    </row>
    <row r="33" spans="1:9">
      <c r="A33" s="645"/>
      <c r="B33" s="645"/>
      <c r="C33" s="645"/>
      <c r="D33" s="645"/>
      <c r="E33" s="645"/>
      <c r="F33" s="645"/>
      <c r="G33" s="645"/>
      <c r="H33" s="645"/>
      <c r="I33" s="645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24" type="noConversion"/>
  <conditionalFormatting sqref="A11">
    <cfRule type="expression" dxfId="0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5"/>
  <sheetViews>
    <sheetView zoomScale="120" zoomScaleNormal="120" workbookViewId="0">
      <selection activeCell="F8" sqref="F8"/>
    </sheetView>
  </sheetViews>
  <sheetFormatPr defaultRowHeight="12.75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>
      <c r="A1" s="344"/>
      <c r="B1" s="807" t="str">
        <f>CONCATENATE("3. melléklet ",Z_ALAPADATOK!A7," ",Z_ALAPADATOK!B7," ",Z_ALAPADATOK!C7," ",Z_ALAPADATOK!D7," ",Z_ALAPADATOK!E7," ",Z_ALAPADATOK!F7," ",Z_ALAPADATOK!G7," ",Z_ALAPADATOK!H7)</f>
        <v>3. melléklet a … / 2021. ( … ) önkormányzati rendelethez</v>
      </c>
      <c r="C1" s="808"/>
      <c r="D1" s="808"/>
      <c r="E1" s="808"/>
      <c r="F1" s="808"/>
      <c r="G1" s="808"/>
    </row>
    <row r="2" spans="1:7">
      <c r="A2" s="344"/>
      <c r="B2" s="345"/>
      <c r="C2" s="345"/>
      <c r="D2" s="345"/>
      <c r="E2" s="345"/>
      <c r="F2" s="345"/>
      <c r="G2" s="345"/>
    </row>
    <row r="3" spans="1:7" ht="25.5" customHeight="1">
      <c r="A3" s="806" t="s">
        <v>522</v>
      </c>
      <c r="B3" s="806"/>
      <c r="C3" s="806"/>
      <c r="D3" s="806"/>
      <c r="E3" s="806"/>
      <c r="F3" s="806"/>
      <c r="G3" s="806"/>
    </row>
    <row r="4" spans="1:7" ht="22.5" customHeight="1" thickBot="1">
      <c r="A4" s="344"/>
      <c r="B4" s="345"/>
      <c r="C4" s="345"/>
      <c r="D4" s="345"/>
      <c r="E4" s="345"/>
      <c r="F4" s="345"/>
      <c r="G4" s="346" t="str">
        <f>Z_2.2.sz.mell!I2</f>
        <v xml:space="preserve"> Forintban!</v>
      </c>
    </row>
    <row r="5" spans="1:7" s="29" customFormat="1" ht="44.45" customHeight="1" thickBot="1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>
      <c r="A6" s="348" t="s">
        <v>382</v>
      </c>
      <c r="B6" s="349" t="s">
        <v>383</v>
      </c>
      <c r="C6" s="349" t="s">
        <v>384</v>
      </c>
      <c r="D6" s="349" t="s">
        <v>386</v>
      </c>
      <c r="E6" s="349" t="s">
        <v>385</v>
      </c>
      <c r="F6" s="349" t="s">
        <v>387</v>
      </c>
      <c r="G6" s="350" t="s">
        <v>440</v>
      </c>
    </row>
    <row r="7" spans="1:7" ht="15.95" customHeight="1">
      <c r="A7" s="771" t="s">
        <v>882</v>
      </c>
      <c r="B7" s="772">
        <v>1407820</v>
      </c>
      <c r="C7" s="229" t="s">
        <v>885</v>
      </c>
      <c r="D7" s="21"/>
      <c r="E7" s="21"/>
      <c r="F7" s="21">
        <v>1407820</v>
      </c>
      <c r="G7" s="34">
        <f>D7+F7</f>
        <v>1407820</v>
      </c>
    </row>
    <row r="8" spans="1:7" ht="15.95" customHeight="1">
      <c r="A8" s="771" t="s">
        <v>883</v>
      </c>
      <c r="B8" s="772">
        <v>12706968</v>
      </c>
      <c r="C8" s="229" t="s">
        <v>885</v>
      </c>
      <c r="D8" s="21"/>
      <c r="E8" s="21">
        <v>12706968</v>
      </c>
      <c r="F8" s="21">
        <v>12706968</v>
      </c>
      <c r="G8" s="34">
        <f t="shared" ref="G8:G24" si="0">D8+F8</f>
        <v>12706968</v>
      </c>
    </row>
    <row r="9" spans="1:7" ht="15.95" customHeight="1">
      <c r="A9" s="771" t="s">
        <v>884</v>
      </c>
      <c r="B9" s="772">
        <v>76874069</v>
      </c>
      <c r="C9" s="229" t="s">
        <v>885</v>
      </c>
      <c r="D9" s="21"/>
      <c r="E9" s="21"/>
      <c r="F9" s="21"/>
      <c r="G9" s="34">
        <f t="shared" si="0"/>
        <v>0</v>
      </c>
    </row>
    <row r="10" spans="1:7" ht="15.95" customHeight="1">
      <c r="A10" s="228"/>
      <c r="B10" s="21"/>
      <c r="C10" s="229"/>
      <c r="D10" s="21"/>
      <c r="E10" s="21"/>
      <c r="F10" s="21"/>
      <c r="G10" s="34">
        <f t="shared" si="0"/>
        <v>0</v>
      </c>
    </row>
    <row r="11" spans="1:7" ht="15.95" customHeight="1">
      <c r="A11" s="227"/>
      <c r="B11" s="21"/>
      <c r="C11" s="229"/>
      <c r="D11" s="21"/>
      <c r="E11" s="21"/>
      <c r="F11" s="21"/>
      <c r="G11" s="34">
        <f t="shared" si="0"/>
        <v>0</v>
      </c>
    </row>
    <row r="12" spans="1:7" ht="15.95" customHeight="1">
      <c r="A12" s="228"/>
      <c r="B12" s="21"/>
      <c r="C12" s="229"/>
      <c r="D12" s="21"/>
      <c r="E12" s="21"/>
      <c r="F12" s="21"/>
      <c r="G12" s="34">
        <f t="shared" si="0"/>
        <v>0</v>
      </c>
    </row>
    <row r="13" spans="1:7" ht="15.95" customHeight="1">
      <c r="A13" s="227"/>
      <c r="B13" s="21"/>
      <c r="C13" s="229"/>
      <c r="D13" s="21"/>
      <c r="E13" s="21"/>
      <c r="F13" s="21"/>
      <c r="G13" s="34">
        <f t="shared" si="0"/>
        <v>0</v>
      </c>
    </row>
    <row r="14" spans="1:7" ht="15.95" customHeight="1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5" customHeight="1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5" customHeight="1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>
      <c r="A25" s="75" t="s">
        <v>46</v>
      </c>
      <c r="B25" s="37">
        <f>SUM(B7:B24)</f>
        <v>90988857</v>
      </c>
      <c r="C25" s="56"/>
      <c r="D25" s="37">
        <f>SUM(D7:D24)</f>
        <v>0</v>
      </c>
      <c r="E25" s="37"/>
      <c r="F25" s="37">
        <f>SUM(F7:F24)</f>
        <v>14114788</v>
      </c>
      <c r="G25" s="38">
        <f>SUM(G7:G24)</f>
        <v>14114788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opLeftCell="A4" zoomScale="120" zoomScaleNormal="120" workbookViewId="0">
      <selection activeCell="E8" sqref="E8"/>
    </sheetView>
  </sheetViews>
  <sheetFormatPr defaultRowHeight="12.75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>
      <c r="A1" s="344"/>
      <c r="B1" s="807" t="str">
        <f>CONCATENATE("4. melléklet ",Z_ALAPADATOK!A7," ",Z_ALAPADATOK!B7," ",Z_ALAPADATOK!C7," ",Z_ALAPADATOK!D7," ",Z_ALAPADATOK!E7," ",Z_ALAPADATOK!F7," ",Z_ALAPADATOK!G7," ",Z_ALAPADATOK!H7)</f>
        <v>4. melléklet a … / 2021. ( … ) önkormányzati rendelethez</v>
      </c>
      <c r="C1" s="807"/>
      <c r="D1" s="807"/>
      <c r="E1" s="807"/>
      <c r="F1" s="807"/>
      <c r="G1" s="807"/>
    </row>
    <row r="2" spans="1:7">
      <c r="A2" s="344"/>
      <c r="B2" s="345"/>
      <c r="C2" s="345"/>
      <c r="D2" s="345"/>
      <c r="E2" s="345"/>
      <c r="F2" s="345"/>
      <c r="G2" s="345"/>
    </row>
    <row r="3" spans="1:7" ht="24.75" customHeight="1">
      <c r="A3" s="806" t="s">
        <v>523</v>
      </c>
      <c r="B3" s="806"/>
      <c r="C3" s="806"/>
      <c r="D3" s="806"/>
      <c r="E3" s="806"/>
      <c r="F3" s="806"/>
      <c r="G3" s="806"/>
    </row>
    <row r="4" spans="1:7" ht="23.25" customHeight="1" thickBot="1">
      <c r="A4" s="344"/>
      <c r="B4" s="345"/>
      <c r="C4" s="345"/>
      <c r="D4" s="345"/>
      <c r="E4" s="345"/>
      <c r="F4" s="345"/>
      <c r="G4" s="346" t="str">
        <f>Z_3.sz.mell.!G4</f>
        <v xml:space="preserve"> Forintban!</v>
      </c>
    </row>
    <row r="5" spans="1:7" s="29" customFormat="1" ht="48.75" customHeight="1" thickBot="1">
      <c r="A5" s="347" t="s">
        <v>50</v>
      </c>
      <c r="B5" s="317" t="s">
        <v>48</v>
      </c>
      <c r="C5" s="317" t="s">
        <v>49</v>
      </c>
      <c r="D5" s="317" t="str">
        <f>+Z_3.sz.mell.!D5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>
      <c r="A6" s="348" t="s">
        <v>382</v>
      </c>
      <c r="B6" s="349" t="s">
        <v>383</v>
      </c>
      <c r="C6" s="349" t="s">
        <v>384</v>
      </c>
      <c r="D6" s="349" t="s">
        <v>386</v>
      </c>
      <c r="E6" s="349" t="s">
        <v>385</v>
      </c>
      <c r="F6" s="349" t="s">
        <v>387</v>
      </c>
      <c r="G6" s="350" t="s">
        <v>440</v>
      </c>
    </row>
    <row r="7" spans="1:7" ht="15.95" customHeight="1">
      <c r="A7" s="773" t="s">
        <v>886</v>
      </c>
      <c r="B7" s="774">
        <v>1917099</v>
      </c>
      <c r="C7" s="231" t="s">
        <v>885</v>
      </c>
      <c r="D7" s="41"/>
      <c r="E7" s="41"/>
      <c r="F7" s="41">
        <v>1917099</v>
      </c>
      <c r="G7" s="42">
        <f>D7+F7</f>
        <v>1917099</v>
      </c>
    </row>
    <row r="8" spans="1:7" ht="15.95" customHeight="1">
      <c r="A8" s="40"/>
      <c r="B8" s="41"/>
      <c r="C8" s="231"/>
      <c r="D8" s="41"/>
      <c r="E8" s="41"/>
      <c r="F8" s="41"/>
      <c r="G8" s="42">
        <f t="shared" ref="G8:G25" si="0">D8+F8</f>
        <v>0</v>
      </c>
    </row>
    <row r="9" spans="1:7" ht="15.95" customHeight="1">
      <c r="A9" s="40"/>
      <c r="B9" s="41"/>
      <c r="C9" s="231"/>
      <c r="D9" s="41"/>
      <c r="E9" s="41"/>
      <c r="F9" s="41"/>
      <c r="G9" s="42">
        <f t="shared" si="0"/>
        <v>0</v>
      </c>
    </row>
    <row r="10" spans="1:7" ht="15.95" customHeight="1">
      <c r="A10" s="40"/>
      <c r="B10" s="41"/>
      <c r="C10" s="231"/>
      <c r="D10" s="41"/>
      <c r="E10" s="41"/>
      <c r="F10" s="41"/>
      <c r="G10" s="42">
        <f t="shared" si="0"/>
        <v>0</v>
      </c>
    </row>
    <row r="11" spans="1:7" ht="15.95" customHeight="1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5" customHeight="1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5" customHeight="1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>
      <c r="A26" s="75" t="s">
        <v>46</v>
      </c>
      <c r="B26" s="76">
        <f>SUM(B7:B25)</f>
        <v>1917099</v>
      </c>
      <c r="C26" s="57"/>
      <c r="D26" s="76">
        <f>SUM(D7:D25)</f>
        <v>0</v>
      </c>
      <c r="E26" s="76"/>
      <c r="F26" s="76">
        <f>SUM(F7:F25)</f>
        <v>1917099</v>
      </c>
      <c r="G26" s="46">
        <f>SUM(G7:G25)</f>
        <v>1917099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J231"/>
  <sheetViews>
    <sheetView topLeftCell="A70" zoomScale="120" zoomScaleNormal="120" zoomScaleSheetLayoutView="100" workbookViewId="0">
      <selection activeCell="K21" sqref="K21"/>
    </sheetView>
  </sheetViews>
  <sheetFormatPr defaultRowHeight="12.75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>
      <c r="A1" s="833"/>
      <c r="B1" s="833"/>
      <c r="C1" s="833"/>
      <c r="D1" s="833"/>
      <c r="E1" s="833"/>
      <c r="F1" s="833"/>
      <c r="G1" s="833"/>
      <c r="H1" s="833"/>
      <c r="I1" s="833"/>
      <c r="J1" s="809" t="str">
        <f>CONCATENATE("5. melléklet ",Z_ALAPADATOK!A7," ",Z_ALAPADATOK!B7," ",Z_ALAPADATOK!C7," ",Z_ALAPADATOK!D7," ",Z_ALAPADATOK!E7," ",Z_ALAPADATOK!F7," ",Z_ALAPADATOK!G7," ",Z_ALAPADATOK!H7)</f>
        <v>5. melléklet a … / 2021. ( … ) önkormányzati rendelethez</v>
      </c>
    </row>
    <row r="2" spans="1:10" ht="15.75">
      <c r="A2" s="836" t="s">
        <v>861</v>
      </c>
      <c r="B2" s="836"/>
      <c r="C2" s="836"/>
      <c r="D2" s="836"/>
      <c r="E2" s="836"/>
      <c r="F2" s="836"/>
      <c r="G2" s="836"/>
      <c r="H2" s="836"/>
      <c r="I2" s="836"/>
      <c r="J2" s="809"/>
    </row>
    <row r="3" spans="1:10" ht="14.25" thickBot="1">
      <c r="A3" s="709"/>
      <c r="B3" s="709"/>
      <c r="C3" s="709"/>
      <c r="D3" s="709"/>
      <c r="E3" s="709"/>
      <c r="F3" s="709"/>
      <c r="G3" s="709"/>
      <c r="H3" s="837" t="str">
        <f>H13</f>
        <v>Forintban!</v>
      </c>
      <c r="I3" s="837"/>
      <c r="J3" s="809"/>
    </row>
    <row r="4" spans="1:10" ht="42.75" thickBot="1">
      <c r="A4" s="838" t="s">
        <v>89</v>
      </c>
      <c r="B4" s="839"/>
      <c r="C4" s="839"/>
      <c r="D4" s="839"/>
      <c r="E4" s="839"/>
      <c r="F4" s="840"/>
      <c r="G4" s="710" t="s">
        <v>445</v>
      </c>
      <c r="H4" s="710" t="s">
        <v>444</v>
      </c>
      <c r="I4" s="710" t="str">
        <f>CONCATENATE("Összes teljesítés ",Z_TARTALOMJEGYZÉK!A1,". XII.31 -ig")</f>
        <v>Összes teljesítés 2020. XII.31 -ig</v>
      </c>
      <c r="J4" s="809"/>
    </row>
    <row r="5" spans="1:10">
      <c r="A5" s="841"/>
      <c r="B5" s="842"/>
      <c r="C5" s="842"/>
      <c r="D5" s="842"/>
      <c r="E5" s="842"/>
      <c r="F5" s="843"/>
      <c r="G5" s="711"/>
      <c r="H5" s="712"/>
      <c r="I5" s="712"/>
      <c r="J5" s="809"/>
    </row>
    <row r="6" spans="1:10" ht="13.5" thickBot="1">
      <c r="A6" s="844"/>
      <c r="B6" s="845"/>
      <c r="C6" s="845"/>
      <c r="D6" s="845"/>
      <c r="E6" s="845"/>
      <c r="F6" s="846"/>
      <c r="G6" s="713"/>
      <c r="H6" s="714"/>
      <c r="I6" s="714"/>
      <c r="J6" s="809"/>
    </row>
    <row r="7" spans="1:10" ht="13.5" thickBot="1">
      <c r="A7" s="847" t="s">
        <v>511</v>
      </c>
      <c r="B7" s="848"/>
      <c r="C7" s="848"/>
      <c r="D7" s="848"/>
      <c r="E7" s="848"/>
      <c r="F7" s="849"/>
      <c r="G7" s="715">
        <f>SUM(G5:G6)</f>
        <v>0</v>
      </c>
      <c r="H7" s="715">
        <f>SUM(H5:H6)</f>
        <v>0</v>
      </c>
      <c r="I7" s="715">
        <f>SUM(I5:I6)</f>
        <v>0</v>
      </c>
      <c r="J7" s="809"/>
    </row>
    <row r="8" spans="1:10">
      <c r="A8" s="734"/>
      <c r="B8" s="734"/>
      <c r="C8" s="734"/>
      <c r="D8" s="734"/>
      <c r="E8" s="734"/>
      <c r="F8" s="734"/>
      <c r="G8" s="735"/>
      <c r="H8" s="735"/>
      <c r="I8" s="735"/>
      <c r="J8" s="809"/>
    </row>
    <row r="9" spans="1:10" ht="15.75">
      <c r="A9" s="834" t="s">
        <v>524</v>
      </c>
      <c r="B9" s="834"/>
      <c r="C9" s="834"/>
      <c r="D9" s="834"/>
      <c r="E9" s="834"/>
      <c r="F9" s="834"/>
      <c r="G9" s="834"/>
      <c r="H9" s="834"/>
      <c r="I9" s="834"/>
      <c r="J9" s="809"/>
    </row>
    <row r="10" spans="1:10" ht="15.75">
      <c r="A10" s="835" t="s">
        <v>858</v>
      </c>
      <c r="B10" s="834"/>
      <c r="C10" s="834"/>
      <c r="D10" s="834"/>
      <c r="E10" s="834"/>
      <c r="F10" s="834"/>
      <c r="G10" s="834"/>
      <c r="H10" s="834"/>
      <c r="I10" s="834"/>
      <c r="J10" s="809"/>
    </row>
    <row r="11" spans="1:10" ht="15.75">
      <c r="A11" s="708"/>
      <c r="B11" s="707"/>
      <c r="C11" s="707"/>
      <c r="D11" s="707"/>
      <c r="E11" s="707"/>
      <c r="F11" s="707"/>
      <c r="G11" s="707"/>
      <c r="H11" s="707"/>
      <c r="I11" s="707"/>
      <c r="J11" s="809"/>
    </row>
    <row r="12" spans="1:10" ht="14.25">
      <c r="A12" s="830" t="s">
        <v>859</v>
      </c>
      <c r="B12" s="830"/>
      <c r="C12" s="831"/>
      <c r="D12" s="831"/>
      <c r="E12" s="831"/>
      <c r="F12" s="831"/>
      <c r="G12" s="831"/>
      <c r="H12" s="831"/>
      <c r="I12" s="831"/>
      <c r="J12" s="809"/>
    </row>
    <row r="13" spans="1:10" ht="15.75" thickBot="1">
      <c r="A13" s="716"/>
      <c r="B13" s="716"/>
      <c r="C13" s="716"/>
      <c r="D13" s="716"/>
      <c r="E13" s="716"/>
      <c r="F13" s="716"/>
      <c r="G13" s="716"/>
      <c r="H13" s="810" t="s">
        <v>846</v>
      </c>
      <c r="I13" s="810"/>
      <c r="J13" s="809"/>
    </row>
    <row r="14" spans="1:10" ht="13.5" thickBot="1">
      <c r="A14" s="811" t="s">
        <v>83</v>
      </c>
      <c r="B14" s="814" t="s">
        <v>441</v>
      </c>
      <c r="C14" s="815"/>
      <c r="D14" s="815"/>
      <c r="E14" s="815"/>
      <c r="F14" s="816"/>
      <c r="G14" s="816"/>
      <c r="H14" s="816"/>
      <c r="I14" s="817"/>
      <c r="J14" s="809"/>
    </row>
    <row r="15" spans="1:10" ht="13.5" thickBot="1">
      <c r="A15" s="812"/>
      <c r="B15" s="818" t="s">
        <v>866</v>
      </c>
      <c r="C15" s="821" t="s">
        <v>860</v>
      </c>
      <c r="D15" s="822"/>
      <c r="E15" s="822"/>
      <c r="F15" s="822"/>
      <c r="G15" s="822"/>
      <c r="H15" s="822"/>
      <c r="I15" s="823"/>
      <c r="J15" s="809"/>
    </row>
    <row r="16" spans="1:10" ht="48.75" thickBot="1">
      <c r="A16" s="812"/>
      <c r="B16" s="819"/>
      <c r="C16" s="824" t="str">
        <f>CONCATENATE(Z_TARTALOMJEGYZÉK!$A$1,".  előtti forrás, kiadás")</f>
        <v>2020.  előtti forrás, kiadás</v>
      </c>
      <c r="D16" s="717" t="s">
        <v>443</v>
      </c>
      <c r="E16" s="717" t="s">
        <v>444</v>
      </c>
      <c r="F16" s="718" t="str">
        <f>CONCATENATE("Összes teljesítés ",Z_TARTALOMJEGYZÉK!$A$1,". XII.31 -ig")</f>
        <v>Összes teljesítés 2020. XII.31 -ig</v>
      </c>
      <c r="G16" s="718" t="s">
        <v>443</v>
      </c>
      <c r="H16" s="718" t="s">
        <v>444</v>
      </c>
      <c r="I16" s="718" t="str">
        <f>CONCATENATE("Összes teljesítés ",Z_TARTALOMJEGYZÉK!$A$1,". XII.31 -ig")</f>
        <v>Összes teljesítés 2020. XII.31 -ig</v>
      </c>
      <c r="J16" s="809"/>
    </row>
    <row r="17" spans="1:10" ht="11.25" customHeight="1" thickBot="1">
      <c r="A17" s="813"/>
      <c r="B17" s="820"/>
      <c r="C17" s="825"/>
      <c r="D17" s="826" t="str">
        <f>CONCATENATE(Z_TARTALOMJEGYZÉK!$A$1,". évi")</f>
        <v>2020. évi</v>
      </c>
      <c r="E17" s="827"/>
      <c r="F17" s="828"/>
      <c r="G17" s="826" t="str">
        <f>CONCATENATE(Z_TARTALOMJEGYZÉK!$A$1,". után")</f>
        <v>2020. után</v>
      </c>
      <c r="H17" s="829"/>
      <c r="I17" s="828"/>
      <c r="J17" s="809"/>
    </row>
    <row r="18" spans="1:10" ht="13.5" thickBot="1">
      <c r="A18" s="719" t="s">
        <v>382</v>
      </c>
      <c r="B18" s="720" t="s">
        <v>865</v>
      </c>
      <c r="C18" s="721" t="s">
        <v>384</v>
      </c>
      <c r="D18" s="722" t="s">
        <v>386</v>
      </c>
      <c r="E18" s="722" t="s">
        <v>385</v>
      </c>
      <c r="F18" s="721" t="s">
        <v>387</v>
      </c>
      <c r="G18" s="721" t="s">
        <v>388</v>
      </c>
      <c r="H18" s="721" t="s">
        <v>389</v>
      </c>
      <c r="I18" s="723" t="s">
        <v>864</v>
      </c>
      <c r="J18" s="809"/>
    </row>
    <row r="19" spans="1:10">
      <c r="A19" s="724" t="s">
        <v>84</v>
      </c>
      <c r="B19" s="750">
        <f t="shared" ref="B19:B24" si="0">C19+E19+H19</f>
        <v>0</v>
      </c>
      <c r="C19" s="736"/>
      <c r="D19" s="737"/>
      <c r="E19" s="737"/>
      <c r="F19" s="747"/>
      <c r="G19" s="737"/>
      <c r="H19" s="738"/>
      <c r="I19" s="739">
        <f t="shared" ref="I19:I24" si="1">C19+F19</f>
        <v>0</v>
      </c>
      <c r="J19" s="809"/>
    </row>
    <row r="20" spans="1:10">
      <c r="A20" s="725" t="s">
        <v>95</v>
      </c>
      <c r="B20" s="751">
        <f t="shared" si="0"/>
        <v>0</v>
      </c>
      <c r="C20" s="740"/>
      <c r="D20" s="740"/>
      <c r="E20" s="741"/>
      <c r="F20" s="748"/>
      <c r="G20" s="740"/>
      <c r="H20" s="741"/>
      <c r="I20" s="742">
        <f t="shared" si="1"/>
        <v>0</v>
      </c>
      <c r="J20" s="809"/>
    </row>
    <row r="21" spans="1:10">
      <c r="A21" s="726" t="s">
        <v>85</v>
      </c>
      <c r="B21" s="752">
        <f t="shared" si="0"/>
        <v>0</v>
      </c>
      <c r="C21" s="741"/>
      <c r="D21" s="741"/>
      <c r="E21" s="741"/>
      <c r="F21" s="749"/>
      <c r="G21" s="741"/>
      <c r="H21" s="741"/>
      <c r="I21" s="742">
        <f t="shared" si="1"/>
        <v>0</v>
      </c>
      <c r="J21" s="809"/>
    </row>
    <row r="22" spans="1:10">
      <c r="A22" s="726" t="s">
        <v>96</v>
      </c>
      <c r="B22" s="752">
        <f t="shared" si="0"/>
        <v>0</v>
      </c>
      <c r="C22" s="741"/>
      <c r="D22" s="741"/>
      <c r="E22" s="741"/>
      <c r="F22" s="749"/>
      <c r="G22" s="741"/>
      <c r="H22" s="741"/>
      <c r="I22" s="742">
        <f t="shared" si="1"/>
        <v>0</v>
      </c>
      <c r="J22" s="809"/>
    </row>
    <row r="23" spans="1:10">
      <c r="A23" s="726" t="s">
        <v>86</v>
      </c>
      <c r="B23" s="752">
        <f t="shared" si="0"/>
        <v>0</v>
      </c>
      <c r="C23" s="741"/>
      <c r="D23" s="741"/>
      <c r="E23" s="741"/>
      <c r="F23" s="749"/>
      <c r="G23" s="741"/>
      <c r="H23" s="741"/>
      <c r="I23" s="742">
        <f t="shared" si="1"/>
        <v>0</v>
      </c>
      <c r="J23" s="809"/>
    </row>
    <row r="24" spans="1:10" ht="13.5" thickBot="1">
      <c r="A24" s="726" t="s">
        <v>87</v>
      </c>
      <c r="B24" s="752">
        <f t="shared" si="0"/>
        <v>0</v>
      </c>
      <c r="C24" s="741"/>
      <c r="D24" s="741"/>
      <c r="E24" s="741"/>
      <c r="F24" s="749"/>
      <c r="G24" s="741"/>
      <c r="H24" s="741"/>
      <c r="I24" s="742">
        <f t="shared" si="1"/>
        <v>0</v>
      </c>
      <c r="J24" s="809"/>
    </row>
    <row r="25" spans="1:10" ht="13.5" thickBot="1">
      <c r="A25" s="727" t="s">
        <v>88</v>
      </c>
      <c r="B25" s="753">
        <f t="shared" ref="B25:I25" si="2">B19+SUM(B21:B24)</f>
        <v>0</v>
      </c>
      <c r="C25" s="743">
        <f t="shared" si="2"/>
        <v>0</v>
      </c>
      <c r="D25" s="743">
        <f t="shared" si="2"/>
        <v>0</v>
      </c>
      <c r="E25" s="743">
        <f t="shared" si="2"/>
        <v>0</v>
      </c>
      <c r="F25" s="743">
        <f t="shared" si="2"/>
        <v>0</v>
      </c>
      <c r="G25" s="743">
        <f t="shared" si="2"/>
        <v>0</v>
      </c>
      <c r="H25" s="743">
        <f t="shared" si="2"/>
        <v>0</v>
      </c>
      <c r="I25" s="744">
        <f t="shared" si="2"/>
        <v>0</v>
      </c>
      <c r="J25" s="809"/>
    </row>
    <row r="26" spans="1:10">
      <c r="A26" s="728" t="s">
        <v>91</v>
      </c>
      <c r="B26" s="750">
        <f>C26+E26+H26</f>
        <v>0</v>
      </c>
      <c r="C26" s="737"/>
      <c r="D26" s="737"/>
      <c r="E26" s="737"/>
      <c r="F26" s="737"/>
      <c r="G26" s="737"/>
      <c r="H26" s="737"/>
      <c r="I26" s="739">
        <f>C26+F26</f>
        <v>0</v>
      </c>
      <c r="J26" s="809"/>
    </row>
    <row r="27" spans="1:10">
      <c r="A27" s="729" t="s">
        <v>92</v>
      </c>
      <c r="B27" s="752">
        <f>C27+E27+H27</f>
        <v>0</v>
      </c>
      <c r="C27" s="741"/>
      <c r="D27" s="741"/>
      <c r="E27" s="741"/>
      <c r="F27" s="741"/>
      <c r="G27" s="741"/>
      <c r="H27" s="741"/>
      <c r="I27" s="742">
        <f>C27+F27</f>
        <v>0</v>
      </c>
      <c r="J27" s="809"/>
    </row>
    <row r="28" spans="1:10">
      <c r="A28" s="729" t="s">
        <v>93</v>
      </c>
      <c r="B28" s="752">
        <f>C28+E28+H28</f>
        <v>0</v>
      </c>
      <c r="C28" s="741"/>
      <c r="D28" s="741"/>
      <c r="E28" s="741"/>
      <c r="F28" s="741"/>
      <c r="G28" s="741"/>
      <c r="H28" s="741"/>
      <c r="I28" s="742">
        <f>C28+F28</f>
        <v>0</v>
      </c>
      <c r="J28" s="809"/>
    </row>
    <row r="29" spans="1:10">
      <c r="A29" s="729" t="s">
        <v>94</v>
      </c>
      <c r="B29" s="752">
        <f>C29+E29+H29</f>
        <v>0</v>
      </c>
      <c r="C29" s="741"/>
      <c r="D29" s="741"/>
      <c r="E29" s="741"/>
      <c r="F29" s="741"/>
      <c r="G29" s="741"/>
      <c r="H29" s="741"/>
      <c r="I29" s="742">
        <f>C29+F29</f>
        <v>0</v>
      </c>
      <c r="J29" s="809"/>
    </row>
    <row r="30" spans="1:10" ht="13.5" thickBot="1">
      <c r="A30" s="730"/>
      <c r="B30" s="754">
        <f>C30+E30+H30</f>
        <v>0</v>
      </c>
      <c r="C30" s="745"/>
      <c r="D30" s="745"/>
      <c r="E30" s="741"/>
      <c r="F30" s="745"/>
      <c r="G30" s="745"/>
      <c r="H30" s="741"/>
      <c r="I30" s="746">
        <f>C30+F30</f>
        <v>0</v>
      </c>
      <c r="J30" s="809"/>
    </row>
    <row r="31" spans="1:10" ht="13.5" thickBot="1">
      <c r="A31" s="731" t="s">
        <v>74</v>
      </c>
      <c r="B31" s="753">
        <f t="shared" ref="B31:I31" si="3">SUM(B26:B30)</f>
        <v>0</v>
      </c>
      <c r="C31" s="743">
        <f t="shared" si="3"/>
        <v>0</v>
      </c>
      <c r="D31" s="743">
        <f t="shared" si="3"/>
        <v>0</v>
      </c>
      <c r="E31" s="743">
        <f t="shared" si="3"/>
        <v>0</v>
      </c>
      <c r="F31" s="743">
        <f t="shared" si="3"/>
        <v>0</v>
      </c>
      <c r="G31" s="743">
        <f t="shared" si="3"/>
        <v>0</v>
      </c>
      <c r="H31" s="743">
        <f t="shared" si="3"/>
        <v>0</v>
      </c>
      <c r="I31" s="744">
        <f t="shared" si="3"/>
        <v>0</v>
      </c>
      <c r="J31" s="809"/>
    </row>
    <row r="32" spans="1:10">
      <c r="A32" s="832" t="s">
        <v>512</v>
      </c>
      <c r="B32" s="832"/>
      <c r="C32" s="832"/>
      <c r="D32" s="832"/>
      <c r="E32" s="832"/>
      <c r="F32" s="832"/>
      <c r="G32" s="832"/>
      <c r="H32" s="832"/>
      <c r="I32" s="832"/>
      <c r="J32" s="809"/>
    </row>
    <row r="33" spans="1:10">
      <c r="A33" s="732"/>
      <c r="B33" s="732"/>
      <c r="C33" s="732"/>
      <c r="D33" s="732"/>
      <c r="E33" s="732"/>
      <c r="F33" s="732"/>
      <c r="G33" s="732"/>
      <c r="H33" s="732"/>
      <c r="I33" s="732"/>
      <c r="J33" s="809"/>
    </row>
    <row r="34" spans="1:10" ht="14.25" customHeight="1">
      <c r="A34" s="830" t="s">
        <v>862</v>
      </c>
      <c r="B34" s="830"/>
      <c r="C34" s="831"/>
      <c r="D34" s="831"/>
      <c r="E34" s="831"/>
      <c r="F34" s="831"/>
      <c r="G34" s="831"/>
      <c r="H34" s="831"/>
      <c r="I34" s="831"/>
      <c r="J34" s="809"/>
    </row>
    <row r="35" spans="1:10" ht="15.75" thickBot="1">
      <c r="A35" s="716"/>
      <c r="B35" s="716"/>
      <c r="C35" s="716"/>
      <c r="D35" s="716"/>
      <c r="E35" s="716"/>
      <c r="F35" s="716"/>
      <c r="G35" s="716"/>
      <c r="H35" s="810" t="s">
        <v>846</v>
      </c>
      <c r="I35" s="810"/>
      <c r="J35" s="809"/>
    </row>
    <row r="36" spans="1:10" ht="13.5" customHeight="1" thickBot="1">
      <c r="A36" s="811" t="s">
        <v>83</v>
      </c>
      <c r="B36" s="814" t="s">
        <v>441</v>
      </c>
      <c r="C36" s="815"/>
      <c r="D36" s="815"/>
      <c r="E36" s="815"/>
      <c r="F36" s="816"/>
      <c r="G36" s="816"/>
      <c r="H36" s="816"/>
      <c r="I36" s="817"/>
      <c r="J36" s="809"/>
    </row>
    <row r="37" spans="1:10" ht="13.5" customHeight="1" thickBot="1">
      <c r="A37" s="812"/>
      <c r="B37" s="818" t="str">
        <f>B15</f>
        <v>Módosítás utáni összes forrás, kiadás</v>
      </c>
      <c r="C37" s="821" t="s">
        <v>860</v>
      </c>
      <c r="D37" s="822"/>
      <c r="E37" s="822"/>
      <c r="F37" s="822"/>
      <c r="G37" s="822"/>
      <c r="H37" s="822"/>
      <c r="I37" s="823"/>
      <c r="J37" s="809"/>
    </row>
    <row r="38" spans="1:10" ht="48.75" thickBot="1">
      <c r="A38" s="812"/>
      <c r="B38" s="819"/>
      <c r="C38" s="824" t="str">
        <f>CONCATENATE(Z_TARTALOMJEGYZÉK!$A$1,".  előtti forrás, kiadás")</f>
        <v>2020.  előtti forrás, kiadás</v>
      </c>
      <c r="D38" s="717" t="s">
        <v>443</v>
      </c>
      <c r="E38" s="717" t="s">
        <v>444</v>
      </c>
      <c r="F38" s="718" t="str">
        <f>CONCATENATE("Összes teljesítés ",Z_TARTALOMJEGYZÉK!$A$1,". XII.31 -ig")</f>
        <v>Összes teljesítés 2020. XII.31 -ig</v>
      </c>
      <c r="G38" s="718" t="s">
        <v>443</v>
      </c>
      <c r="H38" s="718" t="s">
        <v>444</v>
      </c>
      <c r="I38" s="718" t="str">
        <f>CONCATENATE("Összes teljesítés ",Z_TARTALOMJEGYZÉK!$A$1,". XII.31 -ig")</f>
        <v>Összes teljesítés 2020. XII.31 -ig</v>
      </c>
      <c r="J38" s="809"/>
    </row>
    <row r="39" spans="1:10" ht="13.5" thickBot="1">
      <c r="A39" s="813"/>
      <c r="B39" s="820"/>
      <c r="C39" s="825"/>
      <c r="D39" s="826" t="str">
        <f>CONCATENATE(Z_TARTALOMJEGYZÉK!$A$1,". évi")</f>
        <v>2020. évi</v>
      </c>
      <c r="E39" s="827"/>
      <c r="F39" s="828"/>
      <c r="G39" s="826" t="str">
        <f>CONCATENATE(Z_TARTALOMJEGYZÉK!$A$1,". után")</f>
        <v>2020. után</v>
      </c>
      <c r="H39" s="829"/>
      <c r="I39" s="828"/>
      <c r="J39" s="809"/>
    </row>
    <row r="40" spans="1:10" ht="13.5" thickBot="1">
      <c r="A40" s="719" t="s">
        <v>382</v>
      </c>
      <c r="B40" s="720" t="s">
        <v>865</v>
      </c>
      <c r="C40" s="721" t="s">
        <v>384</v>
      </c>
      <c r="D40" s="722" t="s">
        <v>386</v>
      </c>
      <c r="E40" s="722" t="s">
        <v>385</v>
      </c>
      <c r="F40" s="721" t="s">
        <v>387</v>
      </c>
      <c r="G40" s="721" t="s">
        <v>388</v>
      </c>
      <c r="H40" s="721" t="s">
        <v>389</v>
      </c>
      <c r="I40" s="723" t="s">
        <v>864</v>
      </c>
      <c r="J40" s="809"/>
    </row>
    <row r="41" spans="1:10">
      <c r="A41" s="724" t="s">
        <v>84</v>
      </c>
      <c r="B41" s="750">
        <f t="shared" ref="B41:B46" si="4">C41+E41+H41</f>
        <v>0</v>
      </c>
      <c r="C41" s="736"/>
      <c r="D41" s="737"/>
      <c r="E41" s="737"/>
      <c r="F41" s="747"/>
      <c r="G41" s="737"/>
      <c r="H41" s="738"/>
      <c r="I41" s="739">
        <f t="shared" ref="I41:I46" si="5">C41+F41</f>
        <v>0</v>
      </c>
      <c r="J41" s="809"/>
    </row>
    <row r="42" spans="1:10">
      <c r="A42" s="725" t="s">
        <v>95</v>
      </c>
      <c r="B42" s="751">
        <f t="shared" si="4"/>
        <v>0</v>
      </c>
      <c r="C42" s="740"/>
      <c r="D42" s="740"/>
      <c r="E42" s="741"/>
      <c r="F42" s="748"/>
      <c r="G42" s="740"/>
      <c r="H42" s="741"/>
      <c r="I42" s="742">
        <f t="shared" si="5"/>
        <v>0</v>
      </c>
      <c r="J42" s="809"/>
    </row>
    <row r="43" spans="1:10">
      <c r="A43" s="726" t="s">
        <v>85</v>
      </c>
      <c r="B43" s="752">
        <f t="shared" si="4"/>
        <v>0</v>
      </c>
      <c r="C43" s="741"/>
      <c r="D43" s="741"/>
      <c r="E43" s="741"/>
      <c r="F43" s="749"/>
      <c r="G43" s="741"/>
      <c r="H43" s="741"/>
      <c r="I43" s="742">
        <f t="shared" si="5"/>
        <v>0</v>
      </c>
      <c r="J43" s="809"/>
    </row>
    <row r="44" spans="1:10">
      <c r="A44" s="726" t="s">
        <v>96</v>
      </c>
      <c r="B44" s="752">
        <f t="shared" si="4"/>
        <v>0</v>
      </c>
      <c r="C44" s="741"/>
      <c r="D44" s="741"/>
      <c r="E44" s="741"/>
      <c r="F44" s="749"/>
      <c r="G44" s="741"/>
      <c r="H44" s="741"/>
      <c r="I44" s="742">
        <f t="shared" si="5"/>
        <v>0</v>
      </c>
      <c r="J44" s="809"/>
    </row>
    <row r="45" spans="1:10">
      <c r="A45" s="726" t="s">
        <v>86</v>
      </c>
      <c r="B45" s="752">
        <f t="shared" si="4"/>
        <v>0</v>
      </c>
      <c r="C45" s="741"/>
      <c r="D45" s="741"/>
      <c r="E45" s="741"/>
      <c r="F45" s="749"/>
      <c r="G45" s="741"/>
      <c r="H45" s="741"/>
      <c r="I45" s="742">
        <f t="shared" si="5"/>
        <v>0</v>
      </c>
      <c r="J45" s="809"/>
    </row>
    <row r="46" spans="1:10" ht="13.5" thickBot="1">
      <c r="A46" s="726" t="s">
        <v>87</v>
      </c>
      <c r="B46" s="752">
        <f t="shared" si="4"/>
        <v>0</v>
      </c>
      <c r="C46" s="741"/>
      <c r="D46" s="741"/>
      <c r="E46" s="741"/>
      <c r="F46" s="749"/>
      <c r="G46" s="741"/>
      <c r="H46" s="741"/>
      <c r="I46" s="742">
        <f t="shared" si="5"/>
        <v>0</v>
      </c>
      <c r="J46" s="809"/>
    </row>
    <row r="47" spans="1:10" ht="13.5" thickBot="1">
      <c r="A47" s="727" t="s">
        <v>88</v>
      </c>
      <c r="B47" s="753">
        <f t="shared" ref="B47:I47" si="6">B41+SUM(B43:B46)</f>
        <v>0</v>
      </c>
      <c r="C47" s="743">
        <f t="shared" si="6"/>
        <v>0</v>
      </c>
      <c r="D47" s="743">
        <f t="shared" si="6"/>
        <v>0</v>
      </c>
      <c r="E47" s="743">
        <f t="shared" si="6"/>
        <v>0</v>
      </c>
      <c r="F47" s="743">
        <f t="shared" si="6"/>
        <v>0</v>
      </c>
      <c r="G47" s="743">
        <f t="shared" si="6"/>
        <v>0</v>
      </c>
      <c r="H47" s="743">
        <f t="shared" si="6"/>
        <v>0</v>
      </c>
      <c r="I47" s="744">
        <f t="shared" si="6"/>
        <v>0</v>
      </c>
      <c r="J47" s="809"/>
    </row>
    <row r="48" spans="1:10">
      <c r="A48" s="728" t="s">
        <v>91</v>
      </c>
      <c r="B48" s="750">
        <f>C48+E48+H48</f>
        <v>0</v>
      </c>
      <c r="C48" s="737"/>
      <c r="D48" s="737"/>
      <c r="E48" s="737"/>
      <c r="F48" s="737"/>
      <c r="G48" s="737"/>
      <c r="H48" s="737"/>
      <c r="I48" s="739">
        <f>C48+F48</f>
        <v>0</v>
      </c>
      <c r="J48" s="809"/>
    </row>
    <row r="49" spans="1:10">
      <c r="A49" s="729" t="s">
        <v>92</v>
      </c>
      <c r="B49" s="752">
        <f>C49+E49+H49</f>
        <v>0</v>
      </c>
      <c r="C49" s="741"/>
      <c r="D49" s="741"/>
      <c r="E49" s="741"/>
      <c r="F49" s="741"/>
      <c r="G49" s="741"/>
      <c r="H49" s="741"/>
      <c r="I49" s="742">
        <f>C49+F49</f>
        <v>0</v>
      </c>
      <c r="J49" s="809"/>
    </row>
    <row r="50" spans="1:10">
      <c r="A50" s="729" t="s">
        <v>93</v>
      </c>
      <c r="B50" s="752">
        <f>C50+E50+H50</f>
        <v>0</v>
      </c>
      <c r="C50" s="741"/>
      <c r="D50" s="741"/>
      <c r="E50" s="741"/>
      <c r="F50" s="741"/>
      <c r="G50" s="741"/>
      <c r="H50" s="741"/>
      <c r="I50" s="742">
        <f>C50+F50</f>
        <v>0</v>
      </c>
      <c r="J50" s="809"/>
    </row>
    <row r="51" spans="1:10">
      <c r="A51" s="729" t="s">
        <v>94</v>
      </c>
      <c r="B51" s="752">
        <f>C51+E51+H51</f>
        <v>0</v>
      </c>
      <c r="C51" s="741"/>
      <c r="D51" s="741"/>
      <c r="E51" s="741"/>
      <c r="F51" s="741"/>
      <c r="G51" s="741"/>
      <c r="H51" s="741"/>
      <c r="I51" s="742">
        <f>C51+F51</f>
        <v>0</v>
      </c>
      <c r="J51" s="809"/>
    </row>
    <row r="52" spans="1:10" ht="13.5" thickBot="1">
      <c r="A52" s="730"/>
      <c r="B52" s="754">
        <f>C52+E52+H52</f>
        <v>0</v>
      </c>
      <c r="C52" s="745"/>
      <c r="D52" s="745"/>
      <c r="E52" s="741"/>
      <c r="F52" s="745"/>
      <c r="G52" s="745"/>
      <c r="H52" s="741"/>
      <c r="I52" s="746">
        <f>C52+F52</f>
        <v>0</v>
      </c>
      <c r="J52" s="809"/>
    </row>
    <row r="53" spans="1:10" ht="13.5" thickBot="1">
      <c r="A53" s="731" t="s">
        <v>74</v>
      </c>
      <c r="B53" s="753">
        <f t="shared" ref="B53:I53" si="7">SUM(B48:B52)</f>
        <v>0</v>
      </c>
      <c r="C53" s="743">
        <f t="shared" si="7"/>
        <v>0</v>
      </c>
      <c r="D53" s="743">
        <f t="shared" si="7"/>
        <v>0</v>
      </c>
      <c r="E53" s="743">
        <f t="shared" si="7"/>
        <v>0</v>
      </c>
      <c r="F53" s="743">
        <f t="shared" si="7"/>
        <v>0</v>
      </c>
      <c r="G53" s="743">
        <f t="shared" si="7"/>
        <v>0</v>
      </c>
      <c r="H53" s="743">
        <f t="shared" si="7"/>
        <v>0</v>
      </c>
      <c r="I53" s="744">
        <f t="shared" si="7"/>
        <v>0</v>
      </c>
      <c r="J53" s="809"/>
    </row>
    <row r="54" spans="1:10">
      <c r="J54" s="809"/>
    </row>
    <row r="55" spans="1:10">
      <c r="J55" s="809"/>
    </row>
    <row r="56" spans="1:10" ht="14.25">
      <c r="A56" s="830" t="s">
        <v>862</v>
      </c>
      <c r="B56" s="830"/>
      <c r="C56" s="831"/>
      <c r="D56" s="831"/>
      <c r="E56" s="831"/>
      <c r="F56" s="831"/>
      <c r="G56" s="831"/>
      <c r="H56" s="831"/>
      <c r="I56" s="831"/>
      <c r="J56" s="809"/>
    </row>
    <row r="57" spans="1:10" ht="15.75" thickBot="1">
      <c r="A57" s="716"/>
      <c r="B57" s="716"/>
      <c r="C57" s="716"/>
      <c r="D57" s="716"/>
      <c r="E57" s="716"/>
      <c r="F57" s="716"/>
      <c r="G57" s="716"/>
      <c r="H57" s="810" t="s">
        <v>846</v>
      </c>
      <c r="I57" s="810"/>
      <c r="J57" s="809"/>
    </row>
    <row r="58" spans="1:10" ht="13.5" customHeight="1" thickBot="1">
      <c r="A58" s="811" t="s">
        <v>83</v>
      </c>
      <c r="B58" s="814" t="s">
        <v>441</v>
      </c>
      <c r="C58" s="815"/>
      <c r="D58" s="815"/>
      <c r="E58" s="815"/>
      <c r="F58" s="816"/>
      <c r="G58" s="816"/>
      <c r="H58" s="816"/>
      <c r="I58" s="817"/>
      <c r="J58" s="809"/>
    </row>
    <row r="59" spans="1:10" ht="13.5" customHeight="1" thickBot="1">
      <c r="A59" s="812"/>
      <c r="B59" s="818" t="str">
        <f>B37</f>
        <v>Módosítás utáni összes forrás, kiadás</v>
      </c>
      <c r="C59" s="821" t="s">
        <v>860</v>
      </c>
      <c r="D59" s="822"/>
      <c r="E59" s="822"/>
      <c r="F59" s="822"/>
      <c r="G59" s="822"/>
      <c r="H59" s="822"/>
      <c r="I59" s="823"/>
      <c r="J59" s="809"/>
    </row>
    <row r="60" spans="1:10" ht="48.75" customHeight="1" thickBot="1">
      <c r="A60" s="812"/>
      <c r="B60" s="819"/>
      <c r="C60" s="824" t="str">
        <f>CONCATENATE(Z_TARTALOMJEGYZÉK!$A$1,".  előtti forrás, kiadás")</f>
        <v>2020.  előtti forrás, kiadás</v>
      </c>
      <c r="D60" s="717" t="s">
        <v>443</v>
      </c>
      <c r="E60" s="717" t="s">
        <v>444</v>
      </c>
      <c r="F60" s="718" t="str">
        <f>CONCATENATE("Összes teljesítés ",Z_TARTALOMJEGYZÉK!$A$1,". XII.31 -ig")</f>
        <v>Összes teljesítés 2020. XII.31 -ig</v>
      </c>
      <c r="G60" s="718" t="s">
        <v>443</v>
      </c>
      <c r="H60" s="718" t="s">
        <v>444</v>
      </c>
      <c r="I60" s="718" t="str">
        <f>CONCATENATE("Összes teljesítés ",Z_TARTALOMJEGYZÉK!$A$1,". XII.31 -ig")</f>
        <v>Összes teljesítés 2020. XII.31 -ig</v>
      </c>
      <c r="J60" s="809"/>
    </row>
    <row r="61" spans="1:10" ht="13.5" thickBot="1">
      <c r="A61" s="813"/>
      <c r="B61" s="820"/>
      <c r="C61" s="825"/>
      <c r="D61" s="826" t="str">
        <f>CONCATENATE(Z_TARTALOMJEGYZÉK!$A$1,". évi")</f>
        <v>2020. évi</v>
      </c>
      <c r="E61" s="827"/>
      <c r="F61" s="828"/>
      <c r="G61" s="826" t="str">
        <f>CONCATENATE(Z_TARTALOMJEGYZÉK!$A$1,". után")</f>
        <v>2020. után</v>
      </c>
      <c r="H61" s="829"/>
      <c r="I61" s="828"/>
      <c r="J61" s="809"/>
    </row>
    <row r="62" spans="1:10" ht="13.5" thickBot="1">
      <c r="A62" s="719" t="s">
        <v>382</v>
      </c>
      <c r="B62" s="720" t="s">
        <v>865</v>
      </c>
      <c r="C62" s="721" t="s">
        <v>384</v>
      </c>
      <c r="D62" s="722" t="s">
        <v>386</v>
      </c>
      <c r="E62" s="722" t="s">
        <v>385</v>
      </c>
      <c r="F62" s="721" t="s">
        <v>387</v>
      </c>
      <c r="G62" s="721" t="s">
        <v>388</v>
      </c>
      <c r="H62" s="721" t="s">
        <v>389</v>
      </c>
      <c r="I62" s="723" t="s">
        <v>864</v>
      </c>
      <c r="J62" s="809"/>
    </row>
    <row r="63" spans="1:10">
      <c r="A63" s="724" t="s">
        <v>84</v>
      </c>
      <c r="B63" s="750">
        <f t="shared" ref="B63:B68" si="8">C63+E63+H63</f>
        <v>0</v>
      </c>
      <c r="C63" s="736"/>
      <c r="D63" s="737"/>
      <c r="E63" s="737"/>
      <c r="F63" s="747"/>
      <c r="G63" s="737"/>
      <c r="H63" s="738"/>
      <c r="I63" s="739">
        <f t="shared" ref="I63:I68" si="9">C63+F63</f>
        <v>0</v>
      </c>
      <c r="J63" s="809"/>
    </row>
    <row r="64" spans="1:10">
      <c r="A64" s="725" t="s">
        <v>95</v>
      </c>
      <c r="B64" s="751">
        <f t="shared" si="8"/>
        <v>0</v>
      </c>
      <c r="C64" s="740"/>
      <c r="D64" s="740"/>
      <c r="E64" s="741"/>
      <c r="F64" s="748"/>
      <c r="G64" s="740"/>
      <c r="H64" s="741"/>
      <c r="I64" s="742">
        <f t="shared" si="9"/>
        <v>0</v>
      </c>
      <c r="J64" s="809"/>
    </row>
    <row r="65" spans="1:10">
      <c r="A65" s="726" t="s">
        <v>85</v>
      </c>
      <c r="B65" s="752">
        <f t="shared" si="8"/>
        <v>0</v>
      </c>
      <c r="C65" s="741"/>
      <c r="D65" s="741"/>
      <c r="E65" s="741"/>
      <c r="F65" s="749"/>
      <c r="G65" s="741"/>
      <c r="H65" s="741"/>
      <c r="I65" s="742">
        <f t="shared" si="9"/>
        <v>0</v>
      </c>
      <c r="J65" s="809"/>
    </row>
    <row r="66" spans="1:10">
      <c r="A66" s="726" t="s">
        <v>96</v>
      </c>
      <c r="B66" s="752">
        <f t="shared" si="8"/>
        <v>0</v>
      </c>
      <c r="C66" s="741"/>
      <c r="D66" s="741"/>
      <c r="E66" s="741"/>
      <c r="F66" s="749"/>
      <c r="G66" s="741"/>
      <c r="H66" s="741"/>
      <c r="I66" s="742">
        <f t="shared" si="9"/>
        <v>0</v>
      </c>
      <c r="J66" s="809"/>
    </row>
    <row r="67" spans="1:10">
      <c r="A67" s="726" t="s">
        <v>86</v>
      </c>
      <c r="B67" s="752">
        <f t="shared" si="8"/>
        <v>0</v>
      </c>
      <c r="C67" s="741"/>
      <c r="D67" s="741"/>
      <c r="E67" s="741"/>
      <c r="F67" s="749"/>
      <c r="G67" s="741"/>
      <c r="H67" s="741"/>
      <c r="I67" s="742">
        <f t="shared" si="9"/>
        <v>0</v>
      </c>
      <c r="J67" s="809"/>
    </row>
    <row r="68" spans="1:10" ht="13.5" thickBot="1">
      <c r="A68" s="726" t="s">
        <v>87</v>
      </c>
      <c r="B68" s="752">
        <f t="shared" si="8"/>
        <v>0</v>
      </c>
      <c r="C68" s="741"/>
      <c r="D68" s="741"/>
      <c r="E68" s="741"/>
      <c r="F68" s="749"/>
      <c r="G68" s="741"/>
      <c r="H68" s="741"/>
      <c r="I68" s="742">
        <f t="shared" si="9"/>
        <v>0</v>
      </c>
      <c r="J68" s="809"/>
    </row>
    <row r="69" spans="1:10" ht="13.5" thickBot="1">
      <c r="A69" s="727" t="s">
        <v>88</v>
      </c>
      <c r="B69" s="753">
        <f t="shared" ref="B69:I69" si="10">B63+SUM(B65:B68)</f>
        <v>0</v>
      </c>
      <c r="C69" s="743">
        <f t="shared" si="10"/>
        <v>0</v>
      </c>
      <c r="D69" s="743">
        <f t="shared" si="10"/>
        <v>0</v>
      </c>
      <c r="E69" s="743">
        <f t="shared" si="10"/>
        <v>0</v>
      </c>
      <c r="F69" s="743">
        <f t="shared" si="10"/>
        <v>0</v>
      </c>
      <c r="G69" s="743">
        <f t="shared" si="10"/>
        <v>0</v>
      </c>
      <c r="H69" s="743">
        <f t="shared" si="10"/>
        <v>0</v>
      </c>
      <c r="I69" s="744">
        <f t="shared" si="10"/>
        <v>0</v>
      </c>
      <c r="J69" s="809"/>
    </row>
    <row r="70" spans="1:10">
      <c r="A70" s="728" t="s">
        <v>91</v>
      </c>
      <c r="B70" s="750">
        <f>C70+E70+H70</f>
        <v>0</v>
      </c>
      <c r="C70" s="737"/>
      <c r="D70" s="737"/>
      <c r="E70" s="737"/>
      <c r="F70" s="737"/>
      <c r="G70" s="737"/>
      <c r="H70" s="737"/>
      <c r="I70" s="739">
        <f>C70+F70</f>
        <v>0</v>
      </c>
      <c r="J70" s="809"/>
    </row>
    <row r="71" spans="1:10">
      <c r="A71" s="729" t="s">
        <v>92</v>
      </c>
      <c r="B71" s="752">
        <f>C71+E71+H71</f>
        <v>0</v>
      </c>
      <c r="C71" s="741"/>
      <c r="D71" s="741"/>
      <c r="E71" s="741"/>
      <c r="F71" s="741"/>
      <c r="G71" s="741"/>
      <c r="H71" s="741"/>
      <c r="I71" s="742">
        <f>C71+F71</f>
        <v>0</v>
      </c>
      <c r="J71" s="809"/>
    </row>
    <row r="72" spans="1:10">
      <c r="A72" s="729" t="s">
        <v>93</v>
      </c>
      <c r="B72" s="752">
        <f>C72+E72+H72</f>
        <v>0</v>
      </c>
      <c r="C72" s="741"/>
      <c r="D72" s="741"/>
      <c r="E72" s="741"/>
      <c r="F72" s="741"/>
      <c r="G72" s="741"/>
      <c r="H72" s="741"/>
      <c r="I72" s="742">
        <f>C72+F72</f>
        <v>0</v>
      </c>
      <c r="J72" s="809"/>
    </row>
    <row r="73" spans="1:10">
      <c r="A73" s="729" t="s">
        <v>94</v>
      </c>
      <c r="B73" s="752">
        <f>C73+E73+H73</f>
        <v>0</v>
      </c>
      <c r="C73" s="741"/>
      <c r="D73" s="741"/>
      <c r="E73" s="741"/>
      <c r="F73" s="741"/>
      <c r="G73" s="741"/>
      <c r="H73" s="741"/>
      <c r="I73" s="742">
        <f>C73+F73</f>
        <v>0</v>
      </c>
      <c r="J73" s="809"/>
    </row>
    <row r="74" spans="1:10" ht="13.5" thickBot="1">
      <c r="A74" s="730"/>
      <c r="B74" s="754">
        <f>C74+E74+H74</f>
        <v>0</v>
      </c>
      <c r="C74" s="745"/>
      <c r="D74" s="745"/>
      <c r="E74" s="741"/>
      <c r="F74" s="745"/>
      <c r="G74" s="745"/>
      <c r="H74" s="741"/>
      <c r="I74" s="746">
        <f>C74+F74</f>
        <v>0</v>
      </c>
      <c r="J74" s="809"/>
    </row>
    <row r="75" spans="1:10" ht="13.5" thickBot="1">
      <c r="A75" s="731" t="s">
        <v>74</v>
      </c>
      <c r="B75" s="753">
        <f t="shared" ref="B75:I75" si="11">SUM(B70:B74)</f>
        <v>0</v>
      </c>
      <c r="C75" s="743">
        <f t="shared" si="11"/>
        <v>0</v>
      </c>
      <c r="D75" s="743">
        <f t="shared" si="11"/>
        <v>0</v>
      </c>
      <c r="E75" s="743">
        <f t="shared" si="11"/>
        <v>0</v>
      </c>
      <c r="F75" s="743">
        <f t="shared" si="11"/>
        <v>0</v>
      </c>
      <c r="G75" s="743">
        <f t="shared" si="11"/>
        <v>0</v>
      </c>
      <c r="H75" s="743">
        <f t="shared" si="11"/>
        <v>0</v>
      </c>
      <c r="I75" s="744">
        <f t="shared" si="11"/>
        <v>0</v>
      </c>
      <c r="J75" s="809"/>
    </row>
    <row r="76" spans="1:10">
      <c r="J76" s="809"/>
    </row>
    <row r="77" spans="1:10">
      <c r="J77" s="809"/>
    </row>
    <row r="78" spans="1:10" ht="14.25">
      <c r="A78" s="830" t="s">
        <v>862</v>
      </c>
      <c r="B78" s="830"/>
      <c r="C78" s="831"/>
      <c r="D78" s="831"/>
      <c r="E78" s="831"/>
      <c r="F78" s="831"/>
      <c r="G78" s="831"/>
      <c r="H78" s="831"/>
      <c r="I78" s="831"/>
      <c r="J78" s="809"/>
    </row>
    <row r="79" spans="1:10" ht="15.75" thickBot="1">
      <c r="A79" s="716"/>
      <c r="B79" s="716"/>
      <c r="C79" s="716"/>
      <c r="D79" s="716"/>
      <c r="E79" s="716"/>
      <c r="F79" s="716"/>
      <c r="G79" s="716"/>
      <c r="H79" s="810" t="s">
        <v>846</v>
      </c>
      <c r="I79" s="810"/>
      <c r="J79" s="809"/>
    </row>
    <row r="80" spans="1:10" ht="13.5" customHeight="1" thickBot="1">
      <c r="A80" s="811" t="s">
        <v>83</v>
      </c>
      <c r="B80" s="814" t="s">
        <v>441</v>
      </c>
      <c r="C80" s="815"/>
      <c r="D80" s="815"/>
      <c r="E80" s="815"/>
      <c r="F80" s="816"/>
      <c r="G80" s="816"/>
      <c r="H80" s="816"/>
      <c r="I80" s="817"/>
      <c r="J80" s="809"/>
    </row>
    <row r="81" spans="1:10" ht="13.5" customHeight="1" thickBot="1">
      <c r="A81" s="812"/>
      <c r="B81" s="818" t="str">
        <f>B59</f>
        <v>Módosítás utáni összes forrás, kiadás</v>
      </c>
      <c r="C81" s="821" t="s">
        <v>860</v>
      </c>
      <c r="D81" s="822"/>
      <c r="E81" s="822"/>
      <c r="F81" s="822"/>
      <c r="G81" s="822"/>
      <c r="H81" s="822"/>
      <c r="I81" s="823"/>
      <c r="J81" s="809"/>
    </row>
    <row r="82" spans="1:10" ht="48.75" thickBot="1">
      <c r="A82" s="812"/>
      <c r="B82" s="819"/>
      <c r="C82" s="824" t="str">
        <f>CONCATENATE(Z_TARTALOMJEGYZÉK!$A$1,".  előtti forrás, kiadás")</f>
        <v>2020.  előtti forrás, kiadás</v>
      </c>
      <c r="D82" s="717" t="s">
        <v>443</v>
      </c>
      <c r="E82" s="717" t="s">
        <v>444</v>
      </c>
      <c r="F82" s="718" t="str">
        <f>CONCATENATE("Összes teljesítés ",Z_TARTALOMJEGYZÉK!$A$1,". XII.31 -ig")</f>
        <v>Összes teljesítés 2020. XII.31 -ig</v>
      </c>
      <c r="G82" s="718" t="s">
        <v>443</v>
      </c>
      <c r="H82" s="718" t="s">
        <v>444</v>
      </c>
      <c r="I82" s="718" t="str">
        <f>CONCATENATE("Összes teljesítés ",Z_TARTALOMJEGYZÉK!$A$1,". XII.31 -ig")</f>
        <v>Összes teljesítés 2020. XII.31 -ig</v>
      </c>
      <c r="J82" s="809"/>
    </row>
    <row r="83" spans="1:10" ht="13.5" thickBot="1">
      <c r="A83" s="813"/>
      <c r="B83" s="820"/>
      <c r="C83" s="825"/>
      <c r="D83" s="826" t="str">
        <f>CONCATENATE(Z_TARTALOMJEGYZÉK!$A$1,". évi")</f>
        <v>2020. évi</v>
      </c>
      <c r="E83" s="827"/>
      <c r="F83" s="828"/>
      <c r="G83" s="826" t="str">
        <f>CONCATENATE(Z_TARTALOMJEGYZÉK!$A$1,". után")</f>
        <v>2020. után</v>
      </c>
      <c r="H83" s="829"/>
      <c r="I83" s="828"/>
      <c r="J83" s="809"/>
    </row>
    <row r="84" spans="1:10" ht="13.5" thickBot="1">
      <c r="A84" s="719" t="s">
        <v>382</v>
      </c>
      <c r="B84" s="720" t="s">
        <v>865</v>
      </c>
      <c r="C84" s="721" t="s">
        <v>384</v>
      </c>
      <c r="D84" s="722" t="s">
        <v>386</v>
      </c>
      <c r="E84" s="722" t="s">
        <v>385</v>
      </c>
      <c r="F84" s="721" t="s">
        <v>387</v>
      </c>
      <c r="G84" s="721" t="s">
        <v>388</v>
      </c>
      <c r="H84" s="721" t="s">
        <v>389</v>
      </c>
      <c r="I84" s="723" t="s">
        <v>864</v>
      </c>
      <c r="J84" s="809"/>
    </row>
    <row r="85" spans="1:10">
      <c r="A85" s="724" t="s">
        <v>84</v>
      </c>
      <c r="B85" s="750">
        <f t="shared" ref="B85:B90" si="12">C85+E85+H85</f>
        <v>0</v>
      </c>
      <c r="C85" s="736"/>
      <c r="D85" s="737"/>
      <c r="E85" s="737"/>
      <c r="F85" s="747"/>
      <c r="G85" s="737"/>
      <c r="H85" s="738"/>
      <c r="I85" s="739">
        <f t="shared" ref="I85:I90" si="13">C85+F85</f>
        <v>0</v>
      </c>
      <c r="J85" s="809"/>
    </row>
    <row r="86" spans="1:10">
      <c r="A86" s="725" t="s">
        <v>95</v>
      </c>
      <c r="B86" s="751">
        <f t="shared" si="12"/>
        <v>0</v>
      </c>
      <c r="C86" s="740"/>
      <c r="D86" s="740"/>
      <c r="E86" s="741"/>
      <c r="F86" s="748"/>
      <c r="G86" s="740"/>
      <c r="H86" s="741"/>
      <c r="I86" s="742">
        <f t="shared" si="13"/>
        <v>0</v>
      </c>
      <c r="J86" s="809"/>
    </row>
    <row r="87" spans="1:10">
      <c r="A87" s="726" t="s">
        <v>85</v>
      </c>
      <c r="B87" s="752">
        <f t="shared" si="12"/>
        <v>0</v>
      </c>
      <c r="C87" s="741"/>
      <c r="D87" s="741"/>
      <c r="E87" s="741"/>
      <c r="F87" s="749"/>
      <c r="G87" s="741"/>
      <c r="H87" s="741"/>
      <c r="I87" s="742">
        <f t="shared" si="13"/>
        <v>0</v>
      </c>
      <c r="J87" s="809"/>
    </row>
    <row r="88" spans="1:10">
      <c r="A88" s="726" t="s">
        <v>96</v>
      </c>
      <c r="B88" s="752">
        <f t="shared" si="12"/>
        <v>0</v>
      </c>
      <c r="C88" s="741"/>
      <c r="D88" s="741"/>
      <c r="E88" s="741"/>
      <c r="F88" s="749"/>
      <c r="G88" s="741"/>
      <c r="H88" s="741"/>
      <c r="I88" s="742">
        <f t="shared" si="13"/>
        <v>0</v>
      </c>
      <c r="J88" s="809"/>
    </row>
    <row r="89" spans="1:10">
      <c r="A89" s="726" t="s">
        <v>86</v>
      </c>
      <c r="B89" s="752">
        <f t="shared" si="12"/>
        <v>0</v>
      </c>
      <c r="C89" s="741"/>
      <c r="D89" s="741"/>
      <c r="E89" s="741"/>
      <c r="F89" s="749"/>
      <c r="G89" s="741"/>
      <c r="H89" s="741"/>
      <c r="I89" s="742">
        <f t="shared" si="13"/>
        <v>0</v>
      </c>
      <c r="J89" s="809"/>
    </row>
    <row r="90" spans="1:10" ht="13.5" thickBot="1">
      <c r="A90" s="726" t="s">
        <v>87</v>
      </c>
      <c r="B90" s="752">
        <f t="shared" si="12"/>
        <v>0</v>
      </c>
      <c r="C90" s="741"/>
      <c r="D90" s="741"/>
      <c r="E90" s="741"/>
      <c r="F90" s="749"/>
      <c r="G90" s="741"/>
      <c r="H90" s="741"/>
      <c r="I90" s="742">
        <f t="shared" si="13"/>
        <v>0</v>
      </c>
      <c r="J90" s="809"/>
    </row>
    <row r="91" spans="1:10" ht="13.5" thickBot="1">
      <c r="A91" s="727" t="s">
        <v>88</v>
      </c>
      <c r="B91" s="753">
        <f t="shared" ref="B91:I91" si="14">B85+SUM(B87:B90)</f>
        <v>0</v>
      </c>
      <c r="C91" s="743">
        <f t="shared" si="14"/>
        <v>0</v>
      </c>
      <c r="D91" s="743">
        <f t="shared" si="14"/>
        <v>0</v>
      </c>
      <c r="E91" s="743">
        <f t="shared" si="14"/>
        <v>0</v>
      </c>
      <c r="F91" s="743">
        <f t="shared" si="14"/>
        <v>0</v>
      </c>
      <c r="G91" s="743">
        <f t="shared" si="14"/>
        <v>0</v>
      </c>
      <c r="H91" s="743">
        <f t="shared" si="14"/>
        <v>0</v>
      </c>
      <c r="I91" s="744">
        <f t="shared" si="14"/>
        <v>0</v>
      </c>
      <c r="J91" s="809"/>
    </row>
    <row r="92" spans="1:10">
      <c r="A92" s="728" t="s">
        <v>91</v>
      </c>
      <c r="B92" s="750">
        <f>C92+E92+H92</f>
        <v>0</v>
      </c>
      <c r="C92" s="737"/>
      <c r="D92" s="737"/>
      <c r="E92" s="737"/>
      <c r="F92" s="737"/>
      <c r="G92" s="737"/>
      <c r="H92" s="737"/>
      <c r="I92" s="739">
        <f>C92+F92</f>
        <v>0</v>
      </c>
      <c r="J92" s="809"/>
    </row>
    <row r="93" spans="1:10">
      <c r="A93" s="729" t="s">
        <v>92</v>
      </c>
      <c r="B93" s="752">
        <f>C93+E93+H93</f>
        <v>0</v>
      </c>
      <c r="C93" s="741"/>
      <c r="D93" s="741"/>
      <c r="E93" s="741"/>
      <c r="F93" s="741"/>
      <c r="G93" s="741"/>
      <c r="H93" s="741"/>
      <c r="I93" s="742">
        <f>C93+F93</f>
        <v>0</v>
      </c>
      <c r="J93" s="809"/>
    </row>
    <row r="94" spans="1:10">
      <c r="A94" s="729" t="s">
        <v>93</v>
      </c>
      <c r="B94" s="752">
        <f>C94+E94+H94</f>
        <v>0</v>
      </c>
      <c r="C94" s="741"/>
      <c r="D94" s="741"/>
      <c r="E94" s="741"/>
      <c r="F94" s="741"/>
      <c r="G94" s="741"/>
      <c r="H94" s="741"/>
      <c r="I94" s="742">
        <f>C94+F94</f>
        <v>0</v>
      </c>
      <c r="J94" s="809"/>
    </row>
    <row r="95" spans="1:10">
      <c r="A95" s="729" t="s">
        <v>94</v>
      </c>
      <c r="B95" s="752">
        <f>C95+E95+H95</f>
        <v>0</v>
      </c>
      <c r="C95" s="741"/>
      <c r="D95" s="741"/>
      <c r="E95" s="741"/>
      <c r="F95" s="741"/>
      <c r="G95" s="741"/>
      <c r="H95" s="741"/>
      <c r="I95" s="742">
        <f>C95+F95</f>
        <v>0</v>
      </c>
      <c r="J95" s="809"/>
    </row>
    <row r="96" spans="1:10" ht="13.5" thickBot="1">
      <c r="A96" s="730"/>
      <c r="B96" s="754">
        <f>C96+E96+H96</f>
        <v>0</v>
      </c>
      <c r="C96" s="745"/>
      <c r="D96" s="745"/>
      <c r="E96" s="741"/>
      <c r="F96" s="745"/>
      <c r="G96" s="745"/>
      <c r="H96" s="741"/>
      <c r="I96" s="746">
        <f>C96+F96</f>
        <v>0</v>
      </c>
      <c r="J96" s="809"/>
    </row>
    <row r="97" spans="1:10" ht="13.5" thickBot="1">
      <c r="A97" s="731" t="s">
        <v>74</v>
      </c>
      <c r="B97" s="753">
        <f t="shared" ref="B97:I97" si="15">SUM(B92:B96)</f>
        <v>0</v>
      </c>
      <c r="C97" s="743">
        <f t="shared" si="15"/>
        <v>0</v>
      </c>
      <c r="D97" s="743">
        <f t="shared" si="15"/>
        <v>0</v>
      </c>
      <c r="E97" s="743">
        <f t="shared" si="15"/>
        <v>0</v>
      </c>
      <c r="F97" s="743">
        <f t="shared" si="15"/>
        <v>0</v>
      </c>
      <c r="G97" s="743">
        <f t="shared" si="15"/>
        <v>0</v>
      </c>
      <c r="H97" s="743">
        <f t="shared" si="15"/>
        <v>0</v>
      </c>
      <c r="I97" s="744">
        <f t="shared" si="15"/>
        <v>0</v>
      </c>
      <c r="J97" s="809"/>
    </row>
    <row r="98" spans="1:10">
      <c r="J98" s="809"/>
    </row>
    <row r="99" spans="1:10">
      <c r="J99" s="809"/>
    </row>
    <row r="100" spans="1:10" ht="14.25">
      <c r="A100" s="830" t="s">
        <v>862</v>
      </c>
      <c r="B100" s="830"/>
      <c r="C100" s="831"/>
      <c r="D100" s="831"/>
      <c r="E100" s="831"/>
      <c r="F100" s="831"/>
      <c r="G100" s="831"/>
      <c r="H100" s="831"/>
      <c r="I100" s="831"/>
      <c r="J100" s="809"/>
    </row>
    <row r="101" spans="1:10" ht="15.75" thickBot="1">
      <c r="A101" s="716"/>
      <c r="B101" s="716"/>
      <c r="C101" s="716"/>
      <c r="D101" s="716"/>
      <c r="E101" s="716"/>
      <c r="F101" s="716"/>
      <c r="G101" s="716"/>
      <c r="H101" s="810" t="s">
        <v>846</v>
      </c>
      <c r="I101" s="810"/>
      <c r="J101" s="809"/>
    </row>
    <row r="102" spans="1:10" ht="13.5" customHeight="1" thickBot="1">
      <c r="A102" s="811" t="s">
        <v>83</v>
      </c>
      <c r="B102" s="814" t="s">
        <v>441</v>
      </c>
      <c r="C102" s="815"/>
      <c r="D102" s="815"/>
      <c r="E102" s="815"/>
      <c r="F102" s="816"/>
      <c r="G102" s="816"/>
      <c r="H102" s="816"/>
      <c r="I102" s="817"/>
      <c r="J102" s="809"/>
    </row>
    <row r="103" spans="1:10" ht="13.5" customHeight="1" thickBot="1">
      <c r="A103" s="812"/>
      <c r="B103" s="818" t="str">
        <f>B81</f>
        <v>Módosítás utáni összes forrás, kiadás</v>
      </c>
      <c r="C103" s="821" t="s">
        <v>860</v>
      </c>
      <c r="D103" s="822"/>
      <c r="E103" s="822"/>
      <c r="F103" s="822"/>
      <c r="G103" s="822"/>
      <c r="H103" s="822"/>
      <c r="I103" s="823"/>
      <c r="J103" s="809"/>
    </row>
    <row r="104" spans="1:10" ht="48.75" customHeight="1" thickBot="1">
      <c r="A104" s="812"/>
      <c r="B104" s="819"/>
      <c r="C104" s="824" t="str">
        <f>CONCATENATE(Z_TARTALOMJEGYZÉK!$A$1,".  előtti forrás, kiadás")</f>
        <v>2020.  előtti forrás, kiadás</v>
      </c>
      <c r="D104" s="717" t="s">
        <v>443</v>
      </c>
      <c r="E104" s="717" t="s">
        <v>444</v>
      </c>
      <c r="F104" s="718" t="str">
        <f>CONCATENATE("Összes teljesítés ",Z_TARTALOMJEGYZÉK!$A$1,". XII.31 -ig")</f>
        <v>Összes teljesítés 2020. XII.31 -ig</v>
      </c>
      <c r="G104" s="718" t="s">
        <v>443</v>
      </c>
      <c r="H104" s="718" t="s">
        <v>444</v>
      </c>
      <c r="I104" s="718" t="str">
        <f>CONCATENATE("Összes teljesítés ",Z_TARTALOMJEGYZÉK!$A$1,". XII.31 -ig")</f>
        <v>Összes teljesítés 2020. XII.31 -ig</v>
      </c>
      <c r="J104" s="809"/>
    </row>
    <row r="105" spans="1:10" ht="13.5" thickBot="1">
      <c r="A105" s="813"/>
      <c r="B105" s="820"/>
      <c r="C105" s="825"/>
      <c r="D105" s="826" t="str">
        <f>CONCATENATE(Z_TARTALOMJEGYZÉK!$A$1,". évi")</f>
        <v>2020. évi</v>
      </c>
      <c r="E105" s="827"/>
      <c r="F105" s="828"/>
      <c r="G105" s="826" t="str">
        <f>CONCATENATE(Z_TARTALOMJEGYZÉK!$A$1,". után")</f>
        <v>2020. után</v>
      </c>
      <c r="H105" s="829"/>
      <c r="I105" s="828"/>
      <c r="J105" s="809"/>
    </row>
    <row r="106" spans="1:10" ht="13.5" thickBot="1">
      <c r="A106" s="719" t="s">
        <v>382</v>
      </c>
      <c r="B106" s="720" t="s">
        <v>865</v>
      </c>
      <c r="C106" s="721" t="s">
        <v>384</v>
      </c>
      <c r="D106" s="722" t="s">
        <v>386</v>
      </c>
      <c r="E106" s="722" t="s">
        <v>385</v>
      </c>
      <c r="F106" s="721" t="s">
        <v>387</v>
      </c>
      <c r="G106" s="721" t="s">
        <v>388</v>
      </c>
      <c r="H106" s="721" t="s">
        <v>389</v>
      </c>
      <c r="I106" s="723" t="s">
        <v>864</v>
      </c>
      <c r="J106" s="809"/>
    </row>
    <row r="107" spans="1:10">
      <c r="A107" s="724" t="s">
        <v>84</v>
      </c>
      <c r="B107" s="750">
        <f t="shared" ref="B107:B112" si="16">C107+E107+H107</f>
        <v>0</v>
      </c>
      <c r="C107" s="736"/>
      <c r="D107" s="737"/>
      <c r="E107" s="737"/>
      <c r="F107" s="747"/>
      <c r="G107" s="737"/>
      <c r="H107" s="738"/>
      <c r="I107" s="739">
        <f t="shared" ref="I107:I112" si="17">C107+F107</f>
        <v>0</v>
      </c>
      <c r="J107" s="809"/>
    </row>
    <row r="108" spans="1:10">
      <c r="A108" s="725" t="s">
        <v>95</v>
      </c>
      <c r="B108" s="751">
        <f t="shared" si="16"/>
        <v>0</v>
      </c>
      <c r="C108" s="740"/>
      <c r="D108" s="740"/>
      <c r="E108" s="741"/>
      <c r="F108" s="748"/>
      <c r="G108" s="740"/>
      <c r="H108" s="741"/>
      <c r="I108" s="742">
        <f t="shared" si="17"/>
        <v>0</v>
      </c>
      <c r="J108" s="809"/>
    </row>
    <row r="109" spans="1:10">
      <c r="A109" s="726" t="s">
        <v>85</v>
      </c>
      <c r="B109" s="752">
        <f t="shared" si="16"/>
        <v>0</v>
      </c>
      <c r="C109" s="741"/>
      <c r="D109" s="741"/>
      <c r="E109" s="741"/>
      <c r="F109" s="749"/>
      <c r="G109" s="741"/>
      <c r="H109" s="741"/>
      <c r="I109" s="742">
        <f t="shared" si="17"/>
        <v>0</v>
      </c>
      <c r="J109" s="809"/>
    </row>
    <row r="110" spans="1:10">
      <c r="A110" s="726" t="s">
        <v>96</v>
      </c>
      <c r="B110" s="752">
        <f t="shared" si="16"/>
        <v>0</v>
      </c>
      <c r="C110" s="741"/>
      <c r="D110" s="741"/>
      <c r="E110" s="741"/>
      <c r="F110" s="749"/>
      <c r="G110" s="741"/>
      <c r="H110" s="741"/>
      <c r="I110" s="742">
        <f t="shared" si="17"/>
        <v>0</v>
      </c>
      <c r="J110" s="809"/>
    </row>
    <row r="111" spans="1:10">
      <c r="A111" s="726" t="s">
        <v>86</v>
      </c>
      <c r="B111" s="752">
        <f t="shared" si="16"/>
        <v>0</v>
      </c>
      <c r="C111" s="741"/>
      <c r="D111" s="741"/>
      <c r="E111" s="741"/>
      <c r="F111" s="749"/>
      <c r="G111" s="741"/>
      <c r="H111" s="741"/>
      <c r="I111" s="742">
        <f t="shared" si="17"/>
        <v>0</v>
      </c>
      <c r="J111" s="809"/>
    </row>
    <row r="112" spans="1:10" ht="13.5" thickBot="1">
      <c r="A112" s="726" t="s">
        <v>87</v>
      </c>
      <c r="B112" s="752">
        <f t="shared" si="16"/>
        <v>0</v>
      </c>
      <c r="C112" s="741"/>
      <c r="D112" s="741"/>
      <c r="E112" s="741"/>
      <c r="F112" s="749"/>
      <c r="G112" s="741"/>
      <c r="H112" s="741"/>
      <c r="I112" s="742">
        <f t="shared" si="17"/>
        <v>0</v>
      </c>
      <c r="J112" s="809"/>
    </row>
    <row r="113" spans="1:10" ht="13.5" thickBot="1">
      <c r="A113" s="727" t="s">
        <v>88</v>
      </c>
      <c r="B113" s="753">
        <f t="shared" ref="B113:I113" si="18">B107+SUM(B109:B112)</f>
        <v>0</v>
      </c>
      <c r="C113" s="743">
        <f t="shared" si="18"/>
        <v>0</v>
      </c>
      <c r="D113" s="743">
        <f t="shared" si="18"/>
        <v>0</v>
      </c>
      <c r="E113" s="743">
        <f t="shared" si="18"/>
        <v>0</v>
      </c>
      <c r="F113" s="743">
        <f t="shared" si="18"/>
        <v>0</v>
      </c>
      <c r="G113" s="743">
        <f t="shared" si="18"/>
        <v>0</v>
      </c>
      <c r="H113" s="743">
        <f t="shared" si="18"/>
        <v>0</v>
      </c>
      <c r="I113" s="744">
        <f t="shared" si="18"/>
        <v>0</v>
      </c>
      <c r="J113" s="809"/>
    </row>
    <row r="114" spans="1:10">
      <c r="A114" s="728" t="s">
        <v>91</v>
      </c>
      <c r="B114" s="750">
        <f>C114+E114+H114</f>
        <v>0</v>
      </c>
      <c r="C114" s="737"/>
      <c r="D114" s="737"/>
      <c r="E114" s="737"/>
      <c r="F114" s="737"/>
      <c r="G114" s="737"/>
      <c r="H114" s="737"/>
      <c r="I114" s="739">
        <f>C114+F114</f>
        <v>0</v>
      </c>
      <c r="J114" s="809"/>
    </row>
    <row r="115" spans="1:10">
      <c r="A115" s="729" t="s">
        <v>92</v>
      </c>
      <c r="B115" s="752">
        <f>C115+E115+H115</f>
        <v>0</v>
      </c>
      <c r="C115" s="741"/>
      <c r="D115" s="741"/>
      <c r="E115" s="741"/>
      <c r="F115" s="741"/>
      <c r="G115" s="741"/>
      <c r="H115" s="741"/>
      <c r="I115" s="742">
        <f>C115+F115</f>
        <v>0</v>
      </c>
      <c r="J115" s="809"/>
    </row>
    <row r="116" spans="1:10">
      <c r="A116" s="729" t="s">
        <v>93</v>
      </c>
      <c r="B116" s="752">
        <f>C116+E116+H116</f>
        <v>0</v>
      </c>
      <c r="C116" s="741"/>
      <c r="D116" s="741"/>
      <c r="E116" s="741"/>
      <c r="F116" s="741"/>
      <c r="G116" s="741"/>
      <c r="H116" s="741"/>
      <c r="I116" s="742">
        <f>C116+F116</f>
        <v>0</v>
      </c>
      <c r="J116" s="809"/>
    </row>
    <row r="117" spans="1:10">
      <c r="A117" s="729" t="s">
        <v>94</v>
      </c>
      <c r="B117" s="752">
        <f>C117+E117+H117</f>
        <v>0</v>
      </c>
      <c r="C117" s="741"/>
      <c r="D117" s="741"/>
      <c r="E117" s="741"/>
      <c r="F117" s="741"/>
      <c r="G117" s="741"/>
      <c r="H117" s="741"/>
      <c r="I117" s="742">
        <f>C117+F117</f>
        <v>0</v>
      </c>
      <c r="J117" s="809"/>
    </row>
    <row r="118" spans="1:10" ht="13.5" thickBot="1">
      <c r="A118" s="730"/>
      <c r="B118" s="754">
        <f>C118+E118+H118</f>
        <v>0</v>
      </c>
      <c r="C118" s="745"/>
      <c r="D118" s="745"/>
      <c r="E118" s="741"/>
      <c r="F118" s="745"/>
      <c r="G118" s="745"/>
      <c r="H118" s="741"/>
      <c r="I118" s="746">
        <f>C118+F118</f>
        <v>0</v>
      </c>
      <c r="J118" s="809"/>
    </row>
    <row r="119" spans="1:10" ht="13.5" thickBot="1">
      <c r="A119" s="731" t="s">
        <v>74</v>
      </c>
      <c r="B119" s="753">
        <f t="shared" ref="B119:I119" si="19">SUM(B114:B118)</f>
        <v>0</v>
      </c>
      <c r="C119" s="743">
        <f t="shared" si="19"/>
        <v>0</v>
      </c>
      <c r="D119" s="743">
        <f t="shared" si="19"/>
        <v>0</v>
      </c>
      <c r="E119" s="743">
        <f t="shared" si="19"/>
        <v>0</v>
      </c>
      <c r="F119" s="743">
        <f t="shared" si="19"/>
        <v>0</v>
      </c>
      <c r="G119" s="743">
        <f t="shared" si="19"/>
        <v>0</v>
      </c>
      <c r="H119" s="743">
        <f t="shared" si="19"/>
        <v>0</v>
      </c>
      <c r="I119" s="744">
        <f t="shared" si="19"/>
        <v>0</v>
      </c>
      <c r="J119" s="809"/>
    </row>
    <row r="120" spans="1:10">
      <c r="J120" s="809"/>
    </row>
    <row r="121" spans="1:10">
      <c r="J121" s="809"/>
    </row>
    <row r="122" spans="1:10" ht="14.25">
      <c r="A122" s="830" t="s">
        <v>862</v>
      </c>
      <c r="B122" s="830"/>
      <c r="C122" s="831"/>
      <c r="D122" s="831"/>
      <c r="E122" s="831"/>
      <c r="F122" s="831"/>
      <c r="G122" s="831"/>
      <c r="H122" s="831"/>
      <c r="I122" s="831"/>
      <c r="J122" s="809"/>
    </row>
    <row r="123" spans="1:10" ht="15.75" thickBot="1">
      <c r="A123" s="716"/>
      <c r="B123" s="716"/>
      <c r="C123" s="716"/>
      <c r="D123" s="716"/>
      <c r="E123" s="716"/>
      <c r="F123" s="716"/>
      <c r="G123" s="716"/>
      <c r="H123" s="810" t="s">
        <v>846</v>
      </c>
      <c r="I123" s="810"/>
      <c r="J123" s="809"/>
    </row>
    <row r="124" spans="1:10" ht="13.5" customHeight="1" thickBot="1">
      <c r="A124" s="811" t="s">
        <v>83</v>
      </c>
      <c r="B124" s="814" t="s">
        <v>441</v>
      </c>
      <c r="C124" s="815"/>
      <c r="D124" s="815"/>
      <c r="E124" s="815"/>
      <c r="F124" s="816"/>
      <c r="G124" s="816"/>
      <c r="H124" s="816"/>
      <c r="I124" s="817"/>
      <c r="J124" s="809"/>
    </row>
    <row r="125" spans="1:10" ht="13.5" customHeight="1" thickBot="1">
      <c r="A125" s="812"/>
      <c r="B125" s="818" t="str">
        <f>B103</f>
        <v>Módosítás utáni összes forrás, kiadás</v>
      </c>
      <c r="C125" s="821" t="s">
        <v>860</v>
      </c>
      <c r="D125" s="822"/>
      <c r="E125" s="822"/>
      <c r="F125" s="822"/>
      <c r="G125" s="822"/>
      <c r="H125" s="822"/>
      <c r="I125" s="823"/>
      <c r="J125" s="809"/>
    </row>
    <row r="126" spans="1:10" ht="48.75" thickBot="1">
      <c r="A126" s="812"/>
      <c r="B126" s="819"/>
      <c r="C126" s="824" t="str">
        <f>CONCATENATE(Z_TARTALOMJEGYZÉK!$A$1,".  előtti forrás, kiadás")</f>
        <v>2020.  előtti forrás, kiadás</v>
      </c>
      <c r="D126" s="717" t="s">
        <v>443</v>
      </c>
      <c r="E126" s="717" t="s">
        <v>444</v>
      </c>
      <c r="F126" s="718" t="str">
        <f>CONCATENATE("Összes teljesítés ",Z_TARTALOMJEGYZÉK!$A$1,". XII.31 -ig")</f>
        <v>Összes teljesítés 2020. XII.31 -ig</v>
      </c>
      <c r="G126" s="718" t="s">
        <v>443</v>
      </c>
      <c r="H126" s="718" t="s">
        <v>444</v>
      </c>
      <c r="I126" s="718" t="str">
        <f>CONCATENATE("Összes teljesítés ",Z_TARTALOMJEGYZÉK!$A$1,". XII.31 -ig")</f>
        <v>Összes teljesítés 2020. XII.31 -ig</v>
      </c>
      <c r="J126" s="809"/>
    </row>
    <row r="127" spans="1:10" ht="13.5" thickBot="1">
      <c r="A127" s="813"/>
      <c r="B127" s="820"/>
      <c r="C127" s="825"/>
      <c r="D127" s="826" t="str">
        <f>CONCATENATE(Z_TARTALOMJEGYZÉK!$A$1,". évi")</f>
        <v>2020. évi</v>
      </c>
      <c r="E127" s="827"/>
      <c r="F127" s="828"/>
      <c r="G127" s="826" t="str">
        <f>CONCATENATE(Z_TARTALOMJEGYZÉK!$A$1,". után")</f>
        <v>2020. után</v>
      </c>
      <c r="H127" s="829"/>
      <c r="I127" s="828"/>
      <c r="J127" s="809"/>
    </row>
    <row r="128" spans="1:10" ht="13.5" thickBot="1">
      <c r="A128" s="719" t="s">
        <v>382</v>
      </c>
      <c r="B128" s="720" t="s">
        <v>865</v>
      </c>
      <c r="C128" s="721" t="s">
        <v>384</v>
      </c>
      <c r="D128" s="722" t="s">
        <v>386</v>
      </c>
      <c r="E128" s="722" t="s">
        <v>385</v>
      </c>
      <c r="F128" s="721" t="s">
        <v>387</v>
      </c>
      <c r="G128" s="721" t="s">
        <v>388</v>
      </c>
      <c r="H128" s="721" t="s">
        <v>389</v>
      </c>
      <c r="I128" s="723" t="s">
        <v>864</v>
      </c>
      <c r="J128" s="809"/>
    </row>
    <row r="129" spans="1:10">
      <c r="A129" s="724" t="s">
        <v>84</v>
      </c>
      <c r="B129" s="750">
        <f t="shared" ref="B129:B134" si="20">C129+E129+H129</f>
        <v>0</v>
      </c>
      <c r="C129" s="736"/>
      <c r="D129" s="737"/>
      <c r="E129" s="737"/>
      <c r="F129" s="747"/>
      <c r="G129" s="737"/>
      <c r="H129" s="738"/>
      <c r="I129" s="739">
        <f t="shared" ref="I129:I134" si="21">C129+F129</f>
        <v>0</v>
      </c>
      <c r="J129" s="809"/>
    </row>
    <row r="130" spans="1:10">
      <c r="A130" s="725" t="s">
        <v>95</v>
      </c>
      <c r="B130" s="751">
        <f t="shared" si="20"/>
        <v>0</v>
      </c>
      <c r="C130" s="740"/>
      <c r="D130" s="740"/>
      <c r="E130" s="741"/>
      <c r="F130" s="748"/>
      <c r="G130" s="740"/>
      <c r="H130" s="741"/>
      <c r="I130" s="742">
        <f t="shared" si="21"/>
        <v>0</v>
      </c>
      <c r="J130" s="809"/>
    </row>
    <row r="131" spans="1:10">
      <c r="A131" s="726" t="s">
        <v>85</v>
      </c>
      <c r="B131" s="752">
        <f t="shared" si="20"/>
        <v>0</v>
      </c>
      <c r="C131" s="741"/>
      <c r="D131" s="741"/>
      <c r="E131" s="741"/>
      <c r="F131" s="749"/>
      <c r="G131" s="741"/>
      <c r="H131" s="741"/>
      <c r="I131" s="742">
        <f t="shared" si="21"/>
        <v>0</v>
      </c>
      <c r="J131" s="809"/>
    </row>
    <row r="132" spans="1:10">
      <c r="A132" s="726" t="s">
        <v>96</v>
      </c>
      <c r="B132" s="752">
        <f t="shared" si="20"/>
        <v>0</v>
      </c>
      <c r="C132" s="741"/>
      <c r="D132" s="741"/>
      <c r="E132" s="741"/>
      <c r="F132" s="749"/>
      <c r="G132" s="741"/>
      <c r="H132" s="741"/>
      <c r="I132" s="742">
        <f t="shared" si="21"/>
        <v>0</v>
      </c>
      <c r="J132" s="809"/>
    </row>
    <row r="133" spans="1:10">
      <c r="A133" s="726" t="s">
        <v>86</v>
      </c>
      <c r="B133" s="752">
        <f t="shared" si="20"/>
        <v>0</v>
      </c>
      <c r="C133" s="741"/>
      <c r="D133" s="741"/>
      <c r="E133" s="741"/>
      <c r="F133" s="749"/>
      <c r="G133" s="741"/>
      <c r="H133" s="741"/>
      <c r="I133" s="742">
        <f t="shared" si="21"/>
        <v>0</v>
      </c>
      <c r="J133" s="809"/>
    </row>
    <row r="134" spans="1:10" ht="13.5" thickBot="1">
      <c r="A134" s="726" t="s">
        <v>87</v>
      </c>
      <c r="B134" s="752">
        <f t="shared" si="20"/>
        <v>0</v>
      </c>
      <c r="C134" s="741"/>
      <c r="D134" s="741"/>
      <c r="E134" s="741"/>
      <c r="F134" s="749"/>
      <c r="G134" s="741"/>
      <c r="H134" s="741"/>
      <c r="I134" s="742">
        <f t="shared" si="21"/>
        <v>0</v>
      </c>
      <c r="J134" s="809"/>
    </row>
    <row r="135" spans="1:10" ht="13.5" thickBot="1">
      <c r="A135" s="727" t="s">
        <v>88</v>
      </c>
      <c r="B135" s="753">
        <f t="shared" ref="B135:I135" si="22">B129+SUM(B131:B134)</f>
        <v>0</v>
      </c>
      <c r="C135" s="743">
        <f t="shared" si="22"/>
        <v>0</v>
      </c>
      <c r="D135" s="743">
        <f t="shared" si="22"/>
        <v>0</v>
      </c>
      <c r="E135" s="743">
        <f t="shared" si="22"/>
        <v>0</v>
      </c>
      <c r="F135" s="743">
        <f t="shared" si="22"/>
        <v>0</v>
      </c>
      <c r="G135" s="743">
        <f t="shared" si="22"/>
        <v>0</v>
      </c>
      <c r="H135" s="743">
        <f t="shared" si="22"/>
        <v>0</v>
      </c>
      <c r="I135" s="744">
        <f t="shared" si="22"/>
        <v>0</v>
      </c>
      <c r="J135" s="809"/>
    </row>
    <row r="136" spans="1:10">
      <c r="A136" s="728" t="s">
        <v>91</v>
      </c>
      <c r="B136" s="750">
        <f>C136+E136+H136</f>
        <v>0</v>
      </c>
      <c r="C136" s="737"/>
      <c r="D136" s="737"/>
      <c r="E136" s="737"/>
      <c r="F136" s="737"/>
      <c r="G136" s="737"/>
      <c r="H136" s="737"/>
      <c r="I136" s="739">
        <f>C136+F136</f>
        <v>0</v>
      </c>
      <c r="J136" s="809"/>
    </row>
    <row r="137" spans="1:10">
      <c r="A137" s="729" t="s">
        <v>92</v>
      </c>
      <c r="B137" s="752">
        <f>C137+E137+H137</f>
        <v>0</v>
      </c>
      <c r="C137" s="741"/>
      <c r="D137" s="741"/>
      <c r="E137" s="741"/>
      <c r="F137" s="741"/>
      <c r="G137" s="741"/>
      <c r="H137" s="741"/>
      <c r="I137" s="742">
        <f>C137+F137</f>
        <v>0</v>
      </c>
      <c r="J137" s="809"/>
    </row>
    <row r="138" spans="1:10">
      <c r="A138" s="729" t="s">
        <v>93</v>
      </c>
      <c r="B138" s="752">
        <f>C138+E138+H138</f>
        <v>0</v>
      </c>
      <c r="C138" s="741"/>
      <c r="D138" s="741"/>
      <c r="E138" s="741"/>
      <c r="F138" s="741"/>
      <c r="G138" s="741"/>
      <c r="H138" s="741"/>
      <c r="I138" s="742">
        <f>C138+F138</f>
        <v>0</v>
      </c>
      <c r="J138" s="809"/>
    </row>
    <row r="139" spans="1:10">
      <c r="A139" s="729" t="s">
        <v>94</v>
      </c>
      <c r="B139" s="752">
        <f>C139+E139+H139</f>
        <v>0</v>
      </c>
      <c r="C139" s="741"/>
      <c r="D139" s="741"/>
      <c r="E139" s="741"/>
      <c r="F139" s="741"/>
      <c r="G139" s="741"/>
      <c r="H139" s="741"/>
      <c r="I139" s="742">
        <f>C139+F139</f>
        <v>0</v>
      </c>
      <c r="J139" s="809"/>
    </row>
    <row r="140" spans="1:10" ht="13.5" thickBot="1">
      <c r="A140" s="730"/>
      <c r="B140" s="754">
        <f>C140+E140+H140</f>
        <v>0</v>
      </c>
      <c r="C140" s="745"/>
      <c r="D140" s="745"/>
      <c r="E140" s="741"/>
      <c r="F140" s="745"/>
      <c r="G140" s="745"/>
      <c r="H140" s="741"/>
      <c r="I140" s="746">
        <f>C140+F140</f>
        <v>0</v>
      </c>
      <c r="J140" s="809"/>
    </row>
    <row r="141" spans="1:10" ht="13.5" thickBot="1">
      <c r="A141" s="731" t="s">
        <v>74</v>
      </c>
      <c r="B141" s="753">
        <f t="shared" ref="B141:I141" si="23">SUM(B136:B140)</f>
        <v>0</v>
      </c>
      <c r="C141" s="743">
        <f t="shared" si="23"/>
        <v>0</v>
      </c>
      <c r="D141" s="743">
        <f t="shared" si="23"/>
        <v>0</v>
      </c>
      <c r="E141" s="743">
        <f t="shared" si="23"/>
        <v>0</v>
      </c>
      <c r="F141" s="743">
        <f t="shared" si="23"/>
        <v>0</v>
      </c>
      <c r="G141" s="743">
        <f t="shared" si="23"/>
        <v>0</v>
      </c>
      <c r="H141" s="743">
        <f t="shared" si="23"/>
        <v>0</v>
      </c>
      <c r="I141" s="744">
        <f t="shared" si="23"/>
        <v>0</v>
      </c>
      <c r="J141" s="809"/>
    </row>
    <row r="142" spans="1:10">
      <c r="J142" s="809"/>
    </row>
    <row r="143" spans="1:10">
      <c r="J143" s="809"/>
    </row>
    <row r="144" spans="1:10" ht="14.25">
      <c r="A144" s="830" t="s">
        <v>862</v>
      </c>
      <c r="B144" s="830"/>
      <c r="C144" s="831"/>
      <c r="D144" s="831"/>
      <c r="E144" s="831"/>
      <c r="F144" s="831"/>
      <c r="G144" s="831"/>
      <c r="H144" s="831"/>
      <c r="I144" s="831"/>
      <c r="J144" s="809"/>
    </row>
    <row r="145" spans="1:10" ht="15.75" thickBot="1">
      <c r="A145" s="716"/>
      <c r="B145" s="716"/>
      <c r="C145" s="716"/>
      <c r="D145" s="716"/>
      <c r="E145" s="716"/>
      <c r="F145" s="716"/>
      <c r="G145" s="716"/>
      <c r="H145" s="810" t="s">
        <v>846</v>
      </c>
      <c r="I145" s="810"/>
      <c r="J145" s="809"/>
    </row>
    <row r="146" spans="1:10" ht="13.5" customHeight="1" thickBot="1">
      <c r="A146" s="811" t="s">
        <v>83</v>
      </c>
      <c r="B146" s="814" t="s">
        <v>441</v>
      </c>
      <c r="C146" s="815"/>
      <c r="D146" s="815"/>
      <c r="E146" s="815"/>
      <c r="F146" s="816"/>
      <c r="G146" s="816"/>
      <c r="H146" s="816"/>
      <c r="I146" s="817"/>
      <c r="J146" s="809"/>
    </row>
    <row r="147" spans="1:10" ht="13.5" customHeight="1" thickBot="1">
      <c r="A147" s="812"/>
      <c r="B147" s="818" t="str">
        <f>B125</f>
        <v>Módosítás utáni összes forrás, kiadás</v>
      </c>
      <c r="C147" s="821" t="s">
        <v>860</v>
      </c>
      <c r="D147" s="822"/>
      <c r="E147" s="822"/>
      <c r="F147" s="822"/>
      <c r="G147" s="822"/>
      <c r="H147" s="822"/>
      <c r="I147" s="823"/>
      <c r="J147" s="809"/>
    </row>
    <row r="148" spans="1:10" ht="48.75" thickBot="1">
      <c r="A148" s="812"/>
      <c r="B148" s="819"/>
      <c r="C148" s="824" t="str">
        <f>CONCATENATE(Z_TARTALOMJEGYZÉK!$A$1,".  előtti forrás, kiadás")</f>
        <v>2020.  előtti forrás, kiadás</v>
      </c>
      <c r="D148" s="717" t="s">
        <v>443</v>
      </c>
      <c r="E148" s="717" t="s">
        <v>444</v>
      </c>
      <c r="F148" s="718" t="str">
        <f>CONCATENATE("Összes teljesítés ",Z_TARTALOMJEGYZÉK!$A$1,". XII.31 -ig")</f>
        <v>Összes teljesítés 2020. XII.31 -ig</v>
      </c>
      <c r="G148" s="718" t="s">
        <v>443</v>
      </c>
      <c r="H148" s="718" t="s">
        <v>444</v>
      </c>
      <c r="I148" s="718" t="str">
        <f>CONCATENATE("Összes teljesítés ",Z_TARTALOMJEGYZÉK!$A$1,". XII.31 -ig")</f>
        <v>Összes teljesítés 2020. XII.31 -ig</v>
      </c>
      <c r="J148" s="809"/>
    </row>
    <row r="149" spans="1:10" ht="13.5" thickBot="1">
      <c r="A149" s="813"/>
      <c r="B149" s="820"/>
      <c r="C149" s="825"/>
      <c r="D149" s="826" t="str">
        <f>CONCATENATE(Z_TARTALOMJEGYZÉK!$A$1,". évi")</f>
        <v>2020. évi</v>
      </c>
      <c r="E149" s="827"/>
      <c r="F149" s="828"/>
      <c r="G149" s="826" t="str">
        <f>CONCATENATE(Z_TARTALOMJEGYZÉK!$A$1,". után")</f>
        <v>2020. után</v>
      </c>
      <c r="H149" s="829"/>
      <c r="I149" s="828"/>
      <c r="J149" s="809"/>
    </row>
    <row r="150" spans="1:10" ht="13.5" thickBot="1">
      <c r="A150" s="719" t="s">
        <v>382</v>
      </c>
      <c r="B150" s="720" t="s">
        <v>865</v>
      </c>
      <c r="C150" s="721" t="s">
        <v>384</v>
      </c>
      <c r="D150" s="722" t="s">
        <v>386</v>
      </c>
      <c r="E150" s="722" t="s">
        <v>385</v>
      </c>
      <c r="F150" s="721" t="s">
        <v>387</v>
      </c>
      <c r="G150" s="721" t="s">
        <v>388</v>
      </c>
      <c r="H150" s="721" t="s">
        <v>389</v>
      </c>
      <c r="I150" s="723" t="s">
        <v>864</v>
      </c>
      <c r="J150" s="809"/>
    </row>
    <row r="151" spans="1:10">
      <c r="A151" s="724" t="s">
        <v>84</v>
      </c>
      <c r="B151" s="750">
        <f t="shared" ref="B151:B156" si="24">C151+E151+H151</f>
        <v>0</v>
      </c>
      <c r="C151" s="736"/>
      <c r="D151" s="737"/>
      <c r="E151" s="737"/>
      <c r="F151" s="747"/>
      <c r="G151" s="737"/>
      <c r="H151" s="738"/>
      <c r="I151" s="739">
        <f t="shared" ref="I151:I156" si="25">C151+F151</f>
        <v>0</v>
      </c>
      <c r="J151" s="809"/>
    </row>
    <row r="152" spans="1:10">
      <c r="A152" s="725" t="s">
        <v>95</v>
      </c>
      <c r="B152" s="751">
        <f t="shared" si="24"/>
        <v>0</v>
      </c>
      <c r="C152" s="740"/>
      <c r="D152" s="740"/>
      <c r="E152" s="741"/>
      <c r="F152" s="748"/>
      <c r="G152" s="740"/>
      <c r="H152" s="741"/>
      <c r="I152" s="742">
        <f t="shared" si="25"/>
        <v>0</v>
      </c>
      <c r="J152" s="809"/>
    </row>
    <row r="153" spans="1:10">
      <c r="A153" s="726" t="s">
        <v>85</v>
      </c>
      <c r="B153" s="752">
        <f t="shared" si="24"/>
        <v>0</v>
      </c>
      <c r="C153" s="741"/>
      <c r="D153" s="741"/>
      <c r="E153" s="741"/>
      <c r="F153" s="749"/>
      <c r="G153" s="741"/>
      <c r="H153" s="741"/>
      <c r="I153" s="742">
        <f t="shared" si="25"/>
        <v>0</v>
      </c>
      <c r="J153" s="809"/>
    </row>
    <row r="154" spans="1:10">
      <c r="A154" s="726" t="s">
        <v>96</v>
      </c>
      <c r="B154" s="752">
        <f t="shared" si="24"/>
        <v>0</v>
      </c>
      <c r="C154" s="741"/>
      <c r="D154" s="741"/>
      <c r="E154" s="741"/>
      <c r="F154" s="749"/>
      <c r="G154" s="741"/>
      <c r="H154" s="741"/>
      <c r="I154" s="742">
        <f t="shared" si="25"/>
        <v>0</v>
      </c>
      <c r="J154" s="809"/>
    </row>
    <row r="155" spans="1:10">
      <c r="A155" s="726" t="s">
        <v>86</v>
      </c>
      <c r="B155" s="752">
        <f t="shared" si="24"/>
        <v>0</v>
      </c>
      <c r="C155" s="741"/>
      <c r="D155" s="741"/>
      <c r="E155" s="741"/>
      <c r="F155" s="749"/>
      <c r="G155" s="741"/>
      <c r="H155" s="741"/>
      <c r="I155" s="742">
        <f t="shared" si="25"/>
        <v>0</v>
      </c>
      <c r="J155" s="809"/>
    </row>
    <row r="156" spans="1:10" ht="13.5" thickBot="1">
      <c r="A156" s="726" t="s">
        <v>87</v>
      </c>
      <c r="B156" s="752">
        <f t="shared" si="24"/>
        <v>0</v>
      </c>
      <c r="C156" s="741"/>
      <c r="D156" s="741"/>
      <c r="E156" s="741"/>
      <c r="F156" s="749"/>
      <c r="G156" s="741"/>
      <c r="H156" s="741"/>
      <c r="I156" s="742">
        <f t="shared" si="25"/>
        <v>0</v>
      </c>
      <c r="J156" s="809"/>
    </row>
    <row r="157" spans="1:10" ht="13.5" thickBot="1">
      <c r="A157" s="727" t="s">
        <v>88</v>
      </c>
      <c r="B157" s="753">
        <f t="shared" ref="B157:I157" si="26">B151+SUM(B153:B156)</f>
        <v>0</v>
      </c>
      <c r="C157" s="743">
        <f t="shared" si="26"/>
        <v>0</v>
      </c>
      <c r="D157" s="743">
        <f t="shared" si="26"/>
        <v>0</v>
      </c>
      <c r="E157" s="743">
        <f t="shared" si="26"/>
        <v>0</v>
      </c>
      <c r="F157" s="743">
        <f t="shared" si="26"/>
        <v>0</v>
      </c>
      <c r="G157" s="743">
        <f t="shared" si="26"/>
        <v>0</v>
      </c>
      <c r="H157" s="743">
        <f t="shared" si="26"/>
        <v>0</v>
      </c>
      <c r="I157" s="744">
        <f t="shared" si="26"/>
        <v>0</v>
      </c>
      <c r="J157" s="809"/>
    </row>
    <row r="158" spans="1:10">
      <c r="A158" s="728" t="s">
        <v>91</v>
      </c>
      <c r="B158" s="750">
        <f>C158+E158+H158</f>
        <v>0</v>
      </c>
      <c r="C158" s="737"/>
      <c r="D158" s="737"/>
      <c r="E158" s="737"/>
      <c r="F158" s="737"/>
      <c r="G158" s="737"/>
      <c r="H158" s="737"/>
      <c r="I158" s="739">
        <f>C158+F158</f>
        <v>0</v>
      </c>
      <c r="J158" s="809"/>
    </row>
    <row r="159" spans="1:10">
      <c r="A159" s="729" t="s">
        <v>92</v>
      </c>
      <c r="B159" s="752">
        <f>C159+E159+H159</f>
        <v>0</v>
      </c>
      <c r="C159" s="741"/>
      <c r="D159" s="741"/>
      <c r="E159" s="741"/>
      <c r="F159" s="741"/>
      <c r="G159" s="741"/>
      <c r="H159" s="741"/>
      <c r="I159" s="742">
        <f>C159+F159</f>
        <v>0</v>
      </c>
      <c r="J159" s="809"/>
    </row>
    <row r="160" spans="1:10">
      <c r="A160" s="729" t="s">
        <v>93</v>
      </c>
      <c r="B160" s="752">
        <f>C160+E160+H160</f>
        <v>0</v>
      </c>
      <c r="C160" s="741"/>
      <c r="D160" s="741"/>
      <c r="E160" s="741"/>
      <c r="F160" s="741"/>
      <c r="G160" s="741"/>
      <c r="H160" s="741"/>
      <c r="I160" s="742">
        <f>C160+F160</f>
        <v>0</v>
      </c>
      <c r="J160" s="809"/>
    </row>
    <row r="161" spans="1:10">
      <c r="A161" s="729" t="s">
        <v>94</v>
      </c>
      <c r="B161" s="752">
        <f>C161+E161+H161</f>
        <v>0</v>
      </c>
      <c r="C161" s="741"/>
      <c r="D161" s="741"/>
      <c r="E161" s="741"/>
      <c r="F161" s="741"/>
      <c r="G161" s="741"/>
      <c r="H161" s="741"/>
      <c r="I161" s="742">
        <f>C161+F161</f>
        <v>0</v>
      </c>
      <c r="J161" s="809"/>
    </row>
    <row r="162" spans="1:10" ht="13.5" thickBot="1">
      <c r="A162" s="730"/>
      <c r="B162" s="754">
        <f>C162+E162+H162</f>
        <v>0</v>
      </c>
      <c r="C162" s="745"/>
      <c r="D162" s="745"/>
      <c r="E162" s="741"/>
      <c r="F162" s="745"/>
      <c r="G162" s="745"/>
      <c r="H162" s="741"/>
      <c r="I162" s="746">
        <f>C162+F162</f>
        <v>0</v>
      </c>
      <c r="J162" s="809"/>
    </row>
    <row r="163" spans="1:10" ht="13.5" thickBot="1">
      <c r="A163" s="731" t="s">
        <v>74</v>
      </c>
      <c r="B163" s="753">
        <f t="shared" ref="B163:I163" si="27">SUM(B158:B162)</f>
        <v>0</v>
      </c>
      <c r="C163" s="743">
        <f t="shared" si="27"/>
        <v>0</v>
      </c>
      <c r="D163" s="743">
        <f t="shared" si="27"/>
        <v>0</v>
      </c>
      <c r="E163" s="743">
        <f t="shared" si="27"/>
        <v>0</v>
      </c>
      <c r="F163" s="743">
        <f t="shared" si="27"/>
        <v>0</v>
      </c>
      <c r="G163" s="743">
        <f t="shared" si="27"/>
        <v>0</v>
      </c>
      <c r="H163" s="743">
        <f t="shared" si="27"/>
        <v>0</v>
      </c>
      <c r="I163" s="744">
        <f t="shared" si="27"/>
        <v>0</v>
      </c>
      <c r="J163" s="809"/>
    </row>
    <row r="164" spans="1:10">
      <c r="J164" s="809"/>
    </row>
    <row r="165" spans="1:10">
      <c r="J165" s="809"/>
    </row>
    <row r="166" spans="1:10" ht="14.25">
      <c r="A166" s="830" t="s">
        <v>862</v>
      </c>
      <c r="B166" s="830"/>
      <c r="C166" s="831"/>
      <c r="D166" s="831"/>
      <c r="E166" s="831"/>
      <c r="F166" s="831"/>
      <c r="G166" s="831"/>
      <c r="H166" s="831"/>
      <c r="I166" s="831"/>
      <c r="J166" s="809"/>
    </row>
    <row r="167" spans="1:10" ht="15.75" thickBot="1">
      <c r="A167" s="716"/>
      <c r="B167" s="716"/>
      <c r="C167" s="716"/>
      <c r="D167" s="716"/>
      <c r="E167" s="716"/>
      <c r="F167" s="716"/>
      <c r="G167" s="716"/>
      <c r="H167" s="810" t="s">
        <v>846</v>
      </c>
      <c r="I167" s="810"/>
      <c r="J167" s="809"/>
    </row>
    <row r="168" spans="1:10" ht="13.5" customHeight="1" thickBot="1">
      <c r="A168" s="811" t="s">
        <v>83</v>
      </c>
      <c r="B168" s="814" t="s">
        <v>441</v>
      </c>
      <c r="C168" s="815"/>
      <c r="D168" s="815"/>
      <c r="E168" s="815"/>
      <c r="F168" s="816"/>
      <c r="G168" s="816"/>
      <c r="H168" s="816"/>
      <c r="I168" s="817"/>
      <c r="J168" s="809"/>
    </row>
    <row r="169" spans="1:10" ht="13.5" customHeight="1" thickBot="1">
      <c r="A169" s="812"/>
      <c r="B169" s="818" t="str">
        <f>B147</f>
        <v>Módosítás utáni összes forrás, kiadás</v>
      </c>
      <c r="C169" s="821" t="s">
        <v>860</v>
      </c>
      <c r="D169" s="822"/>
      <c r="E169" s="822"/>
      <c r="F169" s="822"/>
      <c r="G169" s="822"/>
      <c r="H169" s="822"/>
      <c r="I169" s="823"/>
      <c r="J169" s="809"/>
    </row>
    <row r="170" spans="1:10" ht="48.75" thickBot="1">
      <c r="A170" s="812"/>
      <c r="B170" s="819"/>
      <c r="C170" s="824" t="str">
        <f>CONCATENATE(Z_TARTALOMJEGYZÉK!$A$1,".  előtti forrás, kiadás")</f>
        <v>2020.  előtti forrás, kiadás</v>
      </c>
      <c r="D170" s="717" t="s">
        <v>443</v>
      </c>
      <c r="E170" s="717" t="s">
        <v>444</v>
      </c>
      <c r="F170" s="718" t="str">
        <f>CONCATENATE("Összes teljesítés ",Z_TARTALOMJEGYZÉK!$A$1,". XII.31 -ig")</f>
        <v>Összes teljesítés 2020. XII.31 -ig</v>
      </c>
      <c r="G170" s="718" t="s">
        <v>443</v>
      </c>
      <c r="H170" s="718" t="s">
        <v>444</v>
      </c>
      <c r="I170" s="718" t="str">
        <f>CONCATENATE("Összes teljesítés ",Z_TARTALOMJEGYZÉK!$A$1,". XII.31 -ig")</f>
        <v>Összes teljesítés 2020. XII.31 -ig</v>
      </c>
      <c r="J170" s="809"/>
    </row>
    <row r="171" spans="1:10" ht="13.5" thickBot="1">
      <c r="A171" s="813"/>
      <c r="B171" s="820"/>
      <c r="C171" s="825"/>
      <c r="D171" s="826" t="str">
        <f>CONCATENATE(Z_TARTALOMJEGYZÉK!$A$1,". évi")</f>
        <v>2020. évi</v>
      </c>
      <c r="E171" s="827"/>
      <c r="F171" s="828"/>
      <c r="G171" s="826" t="str">
        <f>CONCATENATE(Z_TARTALOMJEGYZÉK!$A$1,". után")</f>
        <v>2020. után</v>
      </c>
      <c r="H171" s="829"/>
      <c r="I171" s="828"/>
      <c r="J171" s="809"/>
    </row>
    <row r="172" spans="1:10" ht="13.5" thickBot="1">
      <c r="A172" s="719" t="s">
        <v>382</v>
      </c>
      <c r="B172" s="720" t="s">
        <v>865</v>
      </c>
      <c r="C172" s="721" t="s">
        <v>384</v>
      </c>
      <c r="D172" s="722" t="s">
        <v>386</v>
      </c>
      <c r="E172" s="722" t="s">
        <v>385</v>
      </c>
      <c r="F172" s="721" t="s">
        <v>387</v>
      </c>
      <c r="G172" s="721" t="s">
        <v>388</v>
      </c>
      <c r="H172" s="721" t="s">
        <v>389</v>
      </c>
      <c r="I172" s="723" t="s">
        <v>864</v>
      </c>
      <c r="J172" s="809"/>
    </row>
    <row r="173" spans="1:10">
      <c r="A173" s="724" t="s">
        <v>84</v>
      </c>
      <c r="B173" s="750">
        <f t="shared" ref="B173:B178" si="28">C173+E173+H173</f>
        <v>0</v>
      </c>
      <c r="C173" s="736"/>
      <c r="D173" s="737"/>
      <c r="E173" s="737"/>
      <c r="F173" s="747"/>
      <c r="G173" s="737"/>
      <c r="H173" s="738"/>
      <c r="I173" s="739">
        <f t="shared" ref="I173:I178" si="29">C173+F173</f>
        <v>0</v>
      </c>
      <c r="J173" s="809"/>
    </row>
    <row r="174" spans="1:10">
      <c r="A174" s="725" t="s">
        <v>95</v>
      </c>
      <c r="B174" s="751">
        <f t="shared" si="28"/>
        <v>0</v>
      </c>
      <c r="C174" s="740"/>
      <c r="D174" s="740"/>
      <c r="E174" s="741"/>
      <c r="F174" s="748"/>
      <c r="G174" s="740"/>
      <c r="H174" s="741"/>
      <c r="I174" s="742">
        <f t="shared" si="29"/>
        <v>0</v>
      </c>
      <c r="J174" s="809"/>
    </row>
    <row r="175" spans="1:10">
      <c r="A175" s="726" t="s">
        <v>85</v>
      </c>
      <c r="B175" s="752">
        <f t="shared" si="28"/>
        <v>0</v>
      </c>
      <c r="C175" s="741"/>
      <c r="D175" s="741"/>
      <c r="E175" s="741"/>
      <c r="F175" s="749"/>
      <c r="G175" s="741"/>
      <c r="H175" s="741"/>
      <c r="I175" s="742">
        <f t="shared" si="29"/>
        <v>0</v>
      </c>
      <c r="J175" s="809"/>
    </row>
    <row r="176" spans="1:10">
      <c r="A176" s="726" t="s">
        <v>96</v>
      </c>
      <c r="B176" s="752">
        <f t="shared" si="28"/>
        <v>0</v>
      </c>
      <c r="C176" s="741"/>
      <c r="D176" s="741"/>
      <c r="E176" s="741"/>
      <c r="F176" s="749"/>
      <c r="G176" s="741"/>
      <c r="H176" s="741"/>
      <c r="I176" s="742">
        <f t="shared" si="29"/>
        <v>0</v>
      </c>
      <c r="J176" s="809"/>
    </row>
    <row r="177" spans="1:10">
      <c r="A177" s="726" t="s">
        <v>86</v>
      </c>
      <c r="B177" s="752">
        <f t="shared" si="28"/>
        <v>0</v>
      </c>
      <c r="C177" s="741"/>
      <c r="D177" s="741"/>
      <c r="E177" s="741"/>
      <c r="F177" s="749"/>
      <c r="G177" s="741"/>
      <c r="H177" s="741"/>
      <c r="I177" s="742">
        <f t="shared" si="29"/>
        <v>0</v>
      </c>
      <c r="J177" s="809"/>
    </row>
    <row r="178" spans="1:10" ht="13.5" thickBot="1">
      <c r="A178" s="726" t="s">
        <v>87</v>
      </c>
      <c r="B178" s="752">
        <f t="shared" si="28"/>
        <v>0</v>
      </c>
      <c r="C178" s="741"/>
      <c r="D178" s="741"/>
      <c r="E178" s="741"/>
      <c r="F178" s="749"/>
      <c r="G178" s="741"/>
      <c r="H178" s="741"/>
      <c r="I178" s="742">
        <f t="shared" si="29"/>
        <v>0</v>
      </c>
      <c r="J178" s="809"/>
    </row>
    <row r="179" spans="1:10" ht="13.5" thickBot="1">
      <c r="A179" s="727" t="s">
        <v>88</v>
      </c>
      <c r="B179" s="753">
        <f t="shared" ref="B179:I179" si="30">B173+SUM(B175:B178)</f>
        <v>0</v>
      </c>
      <c r="C179" s="743">
        <f t="shared" si="30"/>
        <v>0</v>
      </c>
      <c r="D179" s="743">
        <f t="shared" si="30"/>
        <v>0</v>
      </c>
      <c r="E179" s="743">
        <f t="shared" si="30"/>
        <v>0</v>
      </c>
      <c r="F179" s="743">
        <f t="shared" si="30"/>
        <v>0</v>
      </c>
      <c r="G179" s="743">
        <f t="shared" si="30"/>
        <v>0</v>
      </c>
      <c r="H179" s="743">
        <f t="shared" si="30"/>
        <v>0</v>
      </c>
      <c r="I179" s="744">
        <f t="shared" si="30"/>
        <v>0</v>
      </c>
      <c r="J179" s="809"/>
    </row>
    <row r="180" spans="1:10">
      <c r="A180" s="728" t="s">
        <v>91</v>
      </c>
      <c r="B180" s="750">
        <f>C180+E180+H180</f>
        <v>0</v>
      </c>
      <c r="C180" s="737"/>
      <c r="D180" s="737"/>
      <c r="E180" s="737"/>
      <c r="F180" s="737"/>
      <c r="G180" s="737"/>
      <c r="H180" s="737"/>
      <c r="I180" s="739">
        <f>C180+F180</f>
        <v>0</v>
      </c>
      <c r="J180" s="809"/>
    </row>
    <row r="181" spans="1:10">
      <c r="A181" s="729" t="s">
        <v>92</v>
      </c>
      <c r="B181" s="752">
        <f>C181+E181+H181</f>
        <v>0</v>
      </c>
      <c r="C181" s="741"/>
      <c r="D181" s="741"/>
      <c r="E181" s="741"/>
      <c r="F181" s="741"/>
      <c r="G181" s="741"/>
      <c r="H181" s="741"/>
      <c r="I181" s="742">
        <f>C181+F181</f>
        <v>0</v>
      </c>
      <c r="J181" s="809"/>
    </row>
    <row r="182" spans="1:10">
      <c r="A182" s="729" t="s">
        <v>93</v>
      </c>
      <c r="B182" s="752">
        <f>C182+E182+H182</f>
        <v>0</v>
      </c>
      <c r="C182" s="741"/>
      <c r="D182" s="741"/>
      <c r="E182" s="741"/>
      <c r="F182" s="741"/>
      <c r="G182" s="741"/>
      <c r="H182" s="741"/>
      <c r="I182" s="742">
        <f>C182+F182</f>
        <v>0</v>
      </c>
      <c r="J182" s="809"/>
    </row>
    <row r="183" spans="1:10">
      <c r="A183" s="729" t="s">
        <v>94</v>
      </c>
      <c r="B183" s="752">
        <f>C183+E183+H183</f>
        <v>0</v>
      </c>
      <c r="C183" s="741"/>
      <c r="D183" s="741"/>
      <c r="E183" s="741"/>
      <c r="F183" s="741"/>
      <c r="G183" s="741"/>
      <c r="H183" s="741"/>
      <c r="I183" s="742">
        <f>C183+F183</f>
        <v>0</v>
      </c>
      <c r="J183" s="809"/>
    </row>
    <row r="184" spans="1:10" ht="13.5" thickBot="1">
      <c r="A184" s="730"/>
      <c r="B184" s="754">
        <f>C184+E184+H184</f>
        <v>0</v>
      </c>
      <c r="C184" s="745"/>
      <c r="D184" s="745"/>
      <c r="E184" s="741"/>
      <c r="F184" s="745"/>
      <c r="G184" s="745"/>
      <c r="H184" s="741"/>
      <c r="I184" s="746">
        <f>C184+F184</f>
        <v>0</v>
      </c>
      <c r="J184" s="809"/>
    </row>
    <row r="185" spans="1:10" ht="13.5" thickBot="1">
      <c r="A185" s="731" t="s">
        <v>74</v>
      </c>
      <c r="B185" s="753">
        <f t="shared" ref="B185:I185" si="31">SUM(B180:B184)</f>
        <v>0</v>
      </c>
      <c r="C185" s="743">
        <f t="shared" si="31"/>
        <v>0</v>
      </c>
      <c r="D185" s="743">
        <f t="shared" si="31"/>
        <v>0</v>
      </c>
      <c r="E185" s="743">
        <f t="shared" si="31"/>
        <v>0</v>
      </c>
      <c r="F185" s="743">
        <f t="shared" si="31"/>
        <v>0</v>
      </c>
      <c r="G185" s="743">
        <f t="shared" si="31"/>
        <v>0</v>
      </c>
      <c r="H185" s="743">
        <f t="shared" si="31"/>
        <v>0</v>
      </c>
      <c r="I185" s="744">
        <f t="shared" si="31"/>
        <v>0</v>
      </c>
      <c r="J185" s="809"/>
    </row>
    <row r="186" spans="1:10">
      <c r="J186" s="809"/>
    </row>
    <row r="187" spans="1:10">
      <c r="J187" s="809"/>
    </row>
    <row r="188" spans="1:10" ht="14.25">
      <c r="A188" s="830" t="s">
        <v>862</v>
      </c>
      <c r="B188" s="830"/>
      <c r="C188" s="831"/>
      <c r="D188" s="831"/>
      <c r="E188" s="831"/>
      <c r="F188" s="831"/>
      <c r="G188" s="831"/>
      <c r="H188" s="831"/>
      <c r="I188" s="831"/>
      <c r="J188" s="809"/>
    </row>
    <row r="189" spans="1:10" ht="15.75" thickBot="1">
      <c r="A189" s="716"/>
      <c r="B189" s="716"/>
      <c r="C189" s="716"/>
      <c r="D189" s="716"/>
      <c r="E189" s="716"/>
      <c r="F189" s="716"/>
      <c r="G189" s="716"/>
      <c r="H189" s="810" t="s">
        <v>846</v>
      </c>
      <c r="I189" s="810"/>
      <c r="J189" s="809"/>
    </row>
    <row r="190" spans="1:10" ht="13.5" customHeight="1" thickBot="1">
      <c r="A190" s="811" t="s">
        <v>83</v>
      </c>
      <c r="B190" s="814" t="s">
        <v>441</v>
      </c>
      <c r="C190" s="815"/>
      <c r="D190" s="815"/>
      <c r="E190" s="815"/>
      <c r="F190" s="816"/>
      <c r="G190" s="816"/>
      <c r="H190" s="816"/>
      <c r="I190" s="817"/>
      <c r="J190" s="809"/>
    </row>
    <row r="191" spans="1:10" ht="13.5" customHeight="1" thickBot="1">
      <c r="A191" s="812"/>
      <c r="B191" s="818" t="str">
        <f>B169</f>
        <v>Módosítás utáni összes forrás, kiadás</v>
      </c>
      <c r="C191" s="821" t="s">
        <v>860</v>
      </c>
      <c r="D191" s="822"/>
      <c r="E191" s="822"/>
      <c r="F191" s="822"/>
      <c r="G191" s="822"/>
      <c r="H191" s="822"/>
      <c r="I191" s="823"/>
      <c r="J191" s="809"/>
    </row>
    <row r="192" spans="1:10" ht="48.75" thickBot="1">
      <c r="A192" s="812"/>
      <c r="B192" s="819"/>
      <c r="C192" s="824" t="str">
        <f>CONCATENATE(Z_TARTALOMJEGYZÉK!$A$1,".  előtti forrás, kiadás")</f>
        <v>2020.  előtti forrás, kiadás</v>
      </c>
      <c r="D192" s="717" t="s">
        <v>443</v>
      </c>
      <c r="E192" s="717" t="s">
        <v>444</v>
      </c>
      <c r="F192" s="718" t="str">
        <f>CONCATENATE("Összes teljesítés ",Z_TARTALOMJEGYZÉK!$A$1,". XII.31 -ig")</f>
        <v>Összes teljesítés 2020. XII.31 -ig</v>
      </c>
      <c r="G192" s="718" t="s">
        <v>443</v>
      </c>
      <c r="H192" s="718" t="s">
        <v>444</v>
      </c>
      <c r="I192" s="718" t="str">
        <f>CONCATENATE("Összes teljesítés ",Z_TARTALOMJEGYZÉK!$A$1,". XII.31 -ig")</f>
        <v>Összes teljesítés 2020. XII.31 -ig</v>
      </c>
      <c r="J192" s="809"/>
    </row>
    <row r="193" spans="1:10" ht="13.5" thickBot="1">
      <c r="A193" s="813"/>
      <c r="B193" s="820"/>
      <c r="C193" s="825"/>
      <c r="D193" s="826" t="str">
        <f>CONCATENATE(Z_TARTALOMJEGYZÉK!$A$1,". évi")</f>
        <v>2020. évi</v>
      </c>
      <c r="E193" s="827"/>
      <c r="F193" s="828"/>
      <c r="G193" s="826" t="str">
        <f>CONCATENATE(Z_TARTALOMJEGYZÉK!$A$1,". után")</f>
        <v>2020. után</v>
      </c>
      <c r="H193" s="829"/>
      <c r="I193" s="828"/>
      <c r="J193" s="809"/>
    </row>
    <row r="194" spans="1:10" ht="13.5" thickBot="1">
      <c r="A194" s="719" t="s">
        <v>382</v>
      </c>
      <c r="B194" s="720" t="s">
        <v>865</v>
      </c>
      <c r="C194" s="721" t="s">
        <v>384</v>
      </c>
      <c r="D194" s="722" t="s">
        <v>386</v>
      </c>
      <c r="E194" s="722" t="s">
        <v>385</v>
      </c>
      <c r="F194" s="721" t="s">
        <v>387</v>
      </c>
      <c r="G194" s="721" t="s">
        <v>388</v>
      </c>
      <c r="H194" s="721" t="s">
        <v>389</v>
      </c>
      <c r="I194" s="723" t="s">
        <v>864</v>
      </c>
      <c r="J194" s="809"/>
    </row>
    <row r="195" spans="1:10">
      <c r="A195" s="724" t="s">
        <v>84</v>
      </c>
      <c r="B195" s="750">
        <f t="shared" ref="B195:B200" si="32">C195+E195+H195</f>
        <v>0</v>
      </c>
      <c r="C195" s="736"/>
      <c r="D195" s="737"/>
      <c r="E195" s="737"/>
      <c r="F195" s="747"/>
      <c r="G195" s="737"/>
      <c r="H195" s="738"/>
      <c r="I195" s="739">
        <f t="shared" ref="I195:I200" si="33">C195+F195</f>
        <v>0</v>
      </c>
      <c r="J195" s="809"/>
    </row>
    <row r="196" spans="1:10">
      <c r="A196" s="725" t="s">
        <v>95</v>
      </c>
      <c r="B196" s="751">
        <f t="shared" si="32"/>
        <v>0</v>
      </c>
      <c r="C196" s="740"/>
      <c r="D196" s="740"/>
      <c r="E196" s="741"/>
      <c r="F196" s="748"/>
      <c r="G196" s="740"/>
      <c r="H196" s="741"/>
      <c r="I196" s="742">
        <f t="shared" si="33"/>
        <v>0</v>
      </c>
      <c r="J196" s="809"/>
    </row>
    <row r="197" spans="1:10">
      <c r="A197" s="726" t="s">
        <v>85</v>
      </c>
      <c r="B197" s="752">
        <f t="shared" si="32"/>
        <v>0</v>
      </c>
      <c r="C197" s="741"/>
      <c r="D197" s="741"/>
      <c r="E197" s="741"/>
      <c r="F197" s="749"/>
      <c r="G197" s="741"/>
      <c r="H197" s="741"/>
      <c r="I197" s="742">
        <f t="shared" si="33"/>
        <v>0</v>
      </c>
      <c r="J197" s="809"/>
    </row>
    <row r="198" spans="1:10">
      <c r="A198" s="726" t="s">
        <v>96</v>
      </c>
      <c r="B198" s="752">
        <f t="shared" si="32"/>
        <v>0</v>
      </c>
      <c r="C198" s="741"/>
      <c r="D198" s="741"/>
      <c r="E198" s="741"/>
      <c r="F198" s="749"/>
      <c r="G198" s="741"/>
      <c r="H198" s="741"/>
      <c r="I198" s="742">
        <f t="shared" si="33"/>
        <v>0</v>
      </c>
      <c r="J198" s="809"/>
    </row>
    <row r="199" spans="1:10">
      <c r="A199" s="726" t="s">
        <v>86</v>
      </c>
      <c r="B199" s="752">
        <f t="shared" si="32"/>
        <v>0</v>
      </c>
      <c r="C199" s="741"/>
      <c r="D199" s="741"/>
      <c r="E199" s="741"/>
      <c r="F199" s="749"/>
      <c r="G199" s="741"/>
      <c r="H199" s="741"/>
      <c r="I199" s="742">
        <f t="shared" si="33"/>
        <v>0</v>
      </c>
      <c r="J199" s="809"/>
    </row>
    <row r="200" spans="1:10" ht="13.5" thickBot="1">
      <c r="A200" s="726" t="s">
        <v>87</v>
      </c>
      <c r="B200" s="752">
        <f t="shared" si="32"/>
        <v>0</v>
      </c>
      <c r="C200" s="741"/>
      <c r="D200" s="741"/>
      <c r="E200" s="741"/>
      <c r="F200" s="749"/>
      <c r="G200" s="741"/>
      <c r="H200" s="741"/>
      <c r="I200" s="742">
        <f t="shared" si="33"/>
        <v>0</v>
      </c>
      <c r="J200" s="809"/>
    </row>
    <row r="201" spans="1:10" ht="13.5" thickBot="1">
      <c r="A201" s="727" t="s">
        <v>88</v>
      </c>
      <c r="B201" s="753">
        <f t="shared" ref="B201:I201" si="34">B195+SUM(B197:B200)</f>
        <v>0</v>
      </c>
      <c r="C201" s="743">
        <f t="shared" si="34"/>
        <v>0</v>
      </c>
      <c r="D201" s="743">
        <f t="shared" si="34"/>
        <v>0</v>
      </c>
      <c r="E201" s="743">
        <f t="shared" si="34"/>
        <v>0</v>
      </c>
      <c r="F201" s="743">
        <f t="shared" si="34"/>
        <v>0</v>
      </c>
      <c r="G201" s="743">
        <f t="shared" si="34"/>
        <v>0</v>
      </c>
      <c r="H201" s="743">
        <f t="shared" si="34"/>
        <v>0</v>
      </c>
      <c r="I201" s="744">
        <f t="shared" si="34"/>
        <v>0</v>
      </c>
      <c r="J201" s="809"/>
    </row>
    <row r="202" spans="1:10">
      <c r="A202" s="728" t="s">
        <v>91</v>
      </c>
      <c r="B202" s="750">
        <f>C202+E202+H202</f>
        <v>0</v>
      </c>
      <c r="C202" s="737"/>
      <c r="D202" s="737"/>
      <c r="E202" s="737"/>
      <c r="F202" s="737"/>
      <c r="G202" s="737"/>
      <c r="H202" s="737"/>
      <c r="I202" s="739">
        <f>C202+F202</f>
        <v>0</v>
      </c>
      <c r="J202" s="809"/>
    </row>
    <row r="203" spans="1:10">
      <c r="A203" s="729" t="s">
        <v>92</v>
      </c>
      <c r="B203" s="752">
        <f>C203+E203+H203</f>
        <v>0</v>
      </c>
      <c r="C203" s="741"/>
      <c r="D203" s="741"/>
      <c r="E203" s="741"/>
      <c r="F203" s="741"/>
      <c r="G203" s="741"/>
      <c r="H203" s="741"/>
      <c r="I203" s="742">
        <f>C203+F203</f>
        <v>0</v>
      </c>
      <c r="J203" s="809"/>
    </row>
    <row r="204" spans="1:10">
      <c r="A204" s="729" t="s">
        <v>93</v>
      </c>
      <c r="B204" s="752">
        <f>C204+E204+H204</f>
        <v>0</v>
      </c>
      <c r="C204" s="741"/>
      <c r="D204" s="741"/>
      <c r="E204" s="741"/>
      <c r="F204" s="741"/>
      <c r="G204" s="741"/>
      <c r="H204" s="741"/>
      <c r="I204" s="742">
        <f>C204+F204</f>
        <v>0</v>
      </c>
      <c r="J204" s="809"/>
    </row>
    <row r="205" spans="1:10">
      <c r="A205" s="729" t="s">
        <v>94</v>
      </c>
      <c r="B205" s="752">
        <f>C205+E205+H205</f>
        <v>0</v>
      </c>
      <c r="C205" s="741"/>
      <c r="D205" s="741"/>
      <c r="E205" s="741"/>
      <c r="F205" s="741"/>
      <c r="G205" s="741"/>
      <c r="H205" s="741"/>
      <c r="I205" s="742">
        <f>C205+F205</f>
        <v>0</v>
      </c>
      <c r="J205" s="809"/>
    </row>
    <row r="206" spans="1:10" ht="13.5" thickBot="1">
      <c r="A206" s="730"/>
      <c r="B206" s="754">
        <f>C206+E206+H206</f>
        <v>0</v>
      </c>
      <c r="C206" s="745"/>
      <c r="D206" s="745"/>
      <c r="E206" s="741"/>
      <c r="F206" s="745"/>
      <c r="G206" s="745"/>
      <c r="H206" s="741"/>
      <c r="I206" s="746">
        <f>C206+F206</f>
        <v>0</v>
      </c>
      <c r="J206" s="809"/>
    </row>
    <row r="207" spans="1:10" ht="13.5" thickBot="1">
      <c r="A207" s="731" t="s">
        <v>74</v>
      </c>
      <c r="B207" s="753">
        <f t="shared" ref="B207:I207" si="35">SUM(B202:B206)</f>
        <v>0</v>
      </c>
      <c r="C207" s="743">
        <f t="shared" si="35"/>
        <v>0</v>
      </c>
      <c r="D207" s="743">
        <f t="shared" si="35"/>
        <v>0</v>
      </c>
      <c r="E207" s="743">
        <f t="shared" si="35"/>
        <v>0</v>
      </c>
      <c r="F207" s="743">
        <f t="shared" si="35"/>
        <v>0</v>
      </c>
      <c r="G207" s="743">
        <f t="shared" si="35"/>
        <v>0</v>
      </c>
      <c r="H207" s="743">
        <f t="shared" si="35"/>
        <v>0</v>
      </c>
      <c r="I207" s="744">
        <f t="shared" si="35"/>
        <v>0</v>
      </c>
      <c r="J207" s="809"/>
    </row>
    <row r="208" spans="1:10">
      <c r="J208" s="809"/>
    </row>
    <row r="209" spans="1:10">
      <c r="J209" s="809"/>
    </row>
    <row r="210" spans="1:10" ht="14.25">
      <c r="A210" s="830" t="s">
        <v>862</v>
      </c>
      <c r="B210" s="830"/>
      <c r="C210" s="831"/>
      <c r="D210" s="831"/>
      <c r="E210" s="831"/>
      <c r="F210" s="831"/>
      <c r="G210" s="831"/>
      <c r="H210" s="831"/>
      <c r="I210" s="831"/>
      <c r="J210" s="809"/>
    </row>
    <row r="211" spans="1:10" ht="15.75" thickBot="1">
      <c r="A211" s="716"/>
      <c r="B211" s="716"/>
      <c r="C211" s="716"/>
      <c r="D211" s="716"/>
      <c r="E211" s="716"/>
      <c r="F211" s="716"/>
      <c r="G211" s="716"/>
      <c r="H211" s="810" t="s">
        <v>846</v>
      </c>
      <c r="I211" s="810"/>
      <c r="J211" s="809"/>
    </row>
    <row r="212" spans="1:10" ht="13.5" customHeight="1" thickBot="1">
      <c r="A212" s="811" t="s">
        <v>83</v>
      </c>
      <c r="B212" s="814" t="s">
        <v>441</v>
      </c>
      <c r="C212" s="815"/>
      <c r="D212" s="815"/>
      <c r="E212" s="815"/>
      <c r="F212" s="816"/>
      <c r="G212" s="816"/>
      <c r="H212" s="816"/>
      <c r="I212" s="817"/>
      <c r="J212" s="809"/>
    </row>
    <row r="213" spans="1:10" ht="13.5" customHeight="1" thickBot="1">
      <c r="A213" s="812"/>
      <c r="B213" s="818" t="str">
        <f>B191</f>
        <v>Módosítás utáni összes forrás, kiadás</v>
      </c>
      <c r="C213" s="821" t="s">
        <v>860</v>
      </c>
      <c r="D213" s="822"/>
      <c r="E213" s="822"/>
      <c r="F213" s="822"/>
      <c r="G213" s="822"/>
      <c r="H213" s="822"/>
      <c r="I213" s="823"/>
      <c r="J213" s="809"/>
    </row>
    <row r="214" spans="1:10" ht="48.75" thickBot="1">
      <c r="A214" s="812"/>
      <c r="B214" s="819"/>
      <c r="C214" s="824" t="str">
        <f>CONCATENATE(Z_TARTALOMJEGYZÉK!$A$1,".  előtti forrás, kiadás")</f>
        <v>2020.  előtti forrás, kiadás</v>
      </c>
      <c r="D214" s="717" t="s">
        <v>443</v>
      </c>
      <c r="E214" s="717" t="s">
        <v>444</v>
      </c>
      <c r="F214" s="718" t="str">
        <f>CONCATENATE("Összes teljesítés ",Z_TARTALOMJEGYZÉK!$A$1,". XII.31 -ig")</f>
        <v>Összes teljesítés 2020. XII.31 -ig</v>
      </c>
      <c r="G214" s="718" t="s">
        <v>443</v>
      </c>
      <c r="H214" s="718" t="s">
        <v>444</v>
      </c>
      <c r="I214" s="718" t="str">
        <f>CONCATENATE("Összes teljesítés ",Z_TARTALOMJEGYZÉK!$A$1,". XII.31 -ig")</f>
        <v>Összes teljesítés 2020. XII.31 -ig</v>
      </c>
      <c r="J214" s="809"/>
    </row>
    <row r="215" spans="1:10" ht="13.5" thickBot="1">
      <c r="A215" s="813"/>
      <c r="B215" s="820"/>
      <c r="C215" s="825"/>
      <c r="D215" s="826" t="str">
        <f>CONCATENATE(Z_TARTALOMJEGYZÉK!$A$1,". évi")</f>
        <v>2020. évi</v>
      </c>
      <c r="E215" s="827"/>
      <c r="F215" s="828"/>
      <c r="G215" s="826" t="str">
        <f>CONCATENATE(Z_TARTALOMJEGYZÉK!$A$1,". után")</f>
        <v>2020. után</v>
      </c>
      <c r="H215" s="829"/>
      <c r="I215" s="828"/>
      <c r="J215" s="809"/>
    </row>
    <row r="216" spans="1:10" ht="13.5" thickBot="1">
      <c r="A216" s="719" t="s">
        <v>382</v>
      </c>
      <c r="B216" s="720" t="s">
        <v>865</v>
      </c>
      <c r="C216" s="721" t="s">
        <v>384</v>
      </c>
      <c r="D216" s="722" t="s">
        <v>386</v>
      </c>
      <c r="E216" s="722" t="s">
        <v>385</v>
      </c>
      <c r="F216" s="721" t="s">
        <v>387</v>
      </c>
      <c r="G216" s="721" t="s">
        <v>388</v>
      </c>
      <c r="H216" s="721" t="s">
        <v>389</v>
      </c>
      <c r="I216" s="723" t="s">
        <v>864</v>
      </c>
      <c r="J216" s="809"/>
    </row>
    <row r="217" spans="1:10">
      <c r="A217" s="724" t="s">
        <v>84</v>
      </c>
      <c r="B217" s="750">
        <f t="shared" ref="B217:B222" si="36">C217+E217+H217</f>
        <v>0</v>
      </c>
      <c r="C217" s="736"/>
      <c r="D217" s="737"/>
      <c r="E217" s="737"/>
      <c r="F217" s="747"/>
      <c r="G217" s="737"/>
      <c r="H217" s="738"/>
      <c r="I217" s="739">
        <f t="shared" ref="I217:I222" si="37">C217+F217</f>
        <v>0</v>
      </c>
      <c r="J217" s="809"/>
    </row>
    <row r="218" spans="1:10">
      <c r="A218" s="725" t="s">
        <v>95</v>
      </c>
      <c r="B218" s="751">
        <f t="shared" si="36"/>
        <v>0</v>
      </c>
      <c r="C218" s="740"/>
      <c r="D218" s="740"/>
      <c r="E218" s="741"/>
      <c r="F218" s="748"/>
      <c r="G218" s="740"/>
      <c r="H218" s="741"/>
      <c r="I218" s="742">
        <f t="shared" si="37"/>
        <v>0</v>
      </c>
      <c r="J218" s="809"/>
    </row>
    <row r="219" spans="1:10">
      <c r="A219" s="726" t="s">
        <v>85</v>
      </c>
      <c r="B219" s="752">
        <f t="shared" si="36"/>
        <v>0</v>
      </c>
      <c r="C219" s="741"/>
      <c r="D219" s="741"/>
      <c r="E219" s="741"/>
      <c r="F219" s="749"/>
      <c r="G219" s="741"/>
      <c r="H219" s="741"/>
      <c r="I219" s="742">
        <f t="shared" si="37"/>
        <v>0</v>
      </c>
      <c r="J219" s="809"/>
    </row>
    <row r="220" spans="1:10">
      <c r="A220" s="726" t="s">
        <v>96</v>
      </c>
      <c r="B220" s="752">
        <f t="shared" si="36"/>
        <v>0</v>
      </c>
      <c r="C220" s="741"/>
      <c r="D220" s="741"/>
      <c r="E220" s="741"/>
      <c r="F220" s="749"/>
      <c r="G220" s="741"/>
      <c r="H220" s="741"/>
      <c r="I220" s="742">
        <f t="shared" si="37"/>
        <v>0</v>
      </c>
      <c r="J220" s="809"/>
    </row>
    <row r="221" spans="1:10">
      <c r="A221" s="726" t="s">
        <v>86</v>
      </c>
      <c r="B221" s="752">
        <f t="shared" si="36"/>
        <v>0</v>
      </c>
      <c r="C221" s="741"/>
      <c r="D221" s="741"/>
      <c r="E221" s="741"/>
      <c r="F221" s="749"/>
      <c r="G221" s="741"/>
      <c r="H221" s="741"/>
      <c r="I221" s="742">
        <f t="shared" si="37"/>
        <v>0</v>
      </c>
      <c r="J221" s="809"/>
    </row>
    <row r="222" spans="1:10" ht="13.5" thickBot="1">
      <c r="A222" s="726" t="s">
        <v>87</v>
      </c>
      <c r="B222" s="752">
        <f t="shared" si="36"/>
        <v>0</v>
      </c>
      <c r="C222" s="741"/>
      <c r="D222" s="741"/>
      <c r="E222" s="741"/>
      <c r="F222" s="749"/>
      <c r="G222" s="741"/>
      <c r="H222" s="741"/>
      <c r="I222" s="742">
        <f t="shared" si="37"/>
        <v>0</v>
      </c>
      <c r="J222" s="809"/>
    </row>
    <row r="223" spans="1:10" ht="13.5" thickBot="1">
      <c r="A223" s="727" t="s">
        <v>88</v>
      </c>
      <c r="B223" s="753">
        <f t="shared" ref="B223:I223" si="38">B217+SUM(B219:B222)</f>
        <v>0</v>
      </c>
      <c r="C223" s="743">
        <f t="shared" si="38"/>
        <v>0</v>
      </c>
      <c r="D223" s="743">
        <f t="shared" si="38"/>
        <v>0</v>
      </c>
      <c r="E223" s="743">
        <f t="shared" si="38"/>
        <v>0</v>
      </c>
      <c r="F223" s="743">
        <f t="shared" si="38"/>
        <v>0</v>
      </c>
      <c r="G223" s="743">
        <f t="shared" si="38"/>
        <v>0</v>
      </c>
      <c r="H223" s="743">
        <f t="shared" si="38"/>
        <v>0</v>
      </c>
      <c r="I223" s="744">
        <f t="shared" si="38"/>
        <v>0</v>
      </c>
      <c r="J223" s="809"/>
    </row>
    <row r="224" spans="1:10">
      <c r="A224" s="728" t="s">
        <v>91</v>
      </c>
      <c r="B224" s="750">
        <f>C224+E224+H224</f>
        <v>0</v>
      </c>
      <c r="C224" s="737"/>
      <c r="D224" s="737"/>
      <c r="E224" s="737"/>
      <c r="F224" s="737"/>
      <c r="G224" s="737"/>
      <c r="H224" s="737"/>
      <c r="I224" s="739">
        <f>C224+F224</f>
        <v>0</v>
      </c>
      <c r="J224" s="809"/>
    </row>
    <row r="225" spans="1:10">
      <c r="A225" s="729" t="s">
        <v>92</v>
      </c>
      <c r="B225" s="752">
        <f>C225+E225+H225</f>
        <v>0</v>
      </c>
      <c r="C225" s="741"/>
      <c r="D225" s="741"/>
      <c r="E225" s="741"/>
      <c r="F225" s="741"/>
      <c r="G225" s="741"/>
      <c r="H225" s="741"/>
      <c r="I225" s="742">
        <f>C225+F225</f>
        <v>0</v>
      </c>
      <c r="J225" s="809"/>
    </row>
    <row r="226" spans="1:10">
      <c r="A226" s="729" t="s">
        <v>93</v>
      </c>
      <c r="B226" s="752">
        <f>C226+E226+H226</f>
        <v>0</v>
      </c>
      <c r="C226" s="741"/>
      <c r="D226" s="741"/>
      <c r="E226" s="741"/>
      <c r="F226" s="741"/>
      <c r="G226" s="741"/>
      <c r="H226" s="741"/>
      <c r="I226" s="742">
        <f>C226+F226</f>
        <v>0</v>
      </c>
      <c r="J226" s="809"/>
    </row>
    <row r="227" spans="1:10">
      <c r="A227" s="729" t="s">
        <v>94</v>
      </c>
      <c r="B227" s="752">
        <f>C227+E227+H227</f>
        <v>0</v>
      </c>
      <c r="C227" s="741"/>
      <c r="D227" s="741"/>
      <c r="E227" s="741"/>
      <c r="F227" s="741"/>
      <c r="G227" s="741"/>
      <c r="H227" s="741"/>
      <c r="I227" s="742">
        <f>C227+F227</f>
        <v>0</v>
      </c>
      <c r="J227" s="809"/>
    </row>
    <row r="228" spans="1:10" ht="13.5" thickBot="1">
      <c r="A228" s="730"/>
      <c r="B228" s="754">
        <f>C228+E228+H228</f>
        <v>0</v>
      </c>
      <c r="C228" s="745"/>
      <c r="D228" s="745"/>
      <c r="E228" s="741"/>
      <c r="F228" s="745"/>
      <c r="G228" s="745"/>
      <c r="H228" s="741"/>
      <c r="I228" s="746">
        <f>C228+F228</f>
        <v>0</v>
      </c>
      <c r="J228" s="809"/>
    </row>
    <row r="229" spans="1:10" ht="13.5" thickBot="1">
      <c r="A229" s="731" t="s">
        <v>74</v>
      </c>
      <c r="B229" s="753">
        <f t="shared" ref="B229:I229" si="39">SUM(B224:B228)</f>
        <v>0</v>
      </c>
      <c r="C229" s="743">
        <f t="shared" si="39"/>
        <v>0</v>
      </c>
      <c r="D229" s="743">
        <f t="shared" si="39"/>
        <v>0</v>
      </c>
      <c r="E229" s="743">
        <f t="shared" si="39"/>
        <v>0</v>
      </c>
      <c r="F229" s="743">
        <f t="shared" si="39"/>
        <v>0</v>
      </c>
      <c r="G229" s="743">
        <f t="shared" si="39"/>
        <v>0</v>
      </c>
      <c r="H229" s="743">
        <f t="shared" si="39"/>
        <v>0</v>
      </c>
      <c r="I229" s="744">
        <f t="shared" si="39"/>
        <v>0</v>
      </c>
      <c r="J229" s="809"/>
    </row>
    <row r="230" spans="1:10">
      <c r="J230" s="809"/>
    </row>
    <row r="231" spans="1:10">
      <c r="J231" s="809"/>
    </row>
  </sheetData>
  <sheetProtection sheet="1"/>
  <mergeCells count="120"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opLeftCell="D25" zoomScale="120" zoomScaleNormal="120" zoomScaleSheetLayoutView="100" workbookViewId="0">
      <selection activeCell="E37" sqref="E37"/>
    </sheetView>
  </sheetViews>
  <sheetFormatPr defaultRowHeight="12.75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328"/>
      <c r="B1" s="854" t="str">
        <f>CONCATENATE("6.1. melléklet ",Z_ALAPADATOK!A7," ",Z_ALAPADATOK!B7," ",Z_ALAPADATOK!C7," ",Z_ALAPADATOK!D7," ",Z_ALAPADATOK!E7," ",Z_ALAPADATOK!F7," ",Z_ALAPADATOK!G7," ",Z_ALAPADATOK!H7)</f>
        <v>6.1. melléklet a … / 2021. ( … ) önkormányzati rendelethez</v>
      </c>
      <c r="C1" s="855"/>
      <c r="D1" s="855"/>
      <c r="E1" s="855"/>
    </row>
    <row r="2" spans="1:5" s="51" customFormat="1" ht="21.2" customHeight="1" thickBot="1">
      <c r="A2" s="337" t="s">
        <v>44</v>
      </c>
      <c r="B2" s="853" t="str">
        <f>CONCATENATE(Z_ALAPADATOK!A3)</f>
        <v>Borsodivánka Község Önkormányzata</v>
      </c>
      <c r="C2" s="853"/>
      <c r="D2" s="853"/>
      <c r="E2" s="338" t="s">
        <v>38</v>
      </c>
    </row>
    <row r="3" spans="1:5" s="51" customFormat="1" ht="24.75" thickBot="1">
      <c r="A3" s="337" t="s">
        <v>134</v>
      </c>
      <c r="B3" s="853" t="s">
        <v>301</v>
      </c>
      <c r="C3" s="853"/>
      <c r="D3" s="853"/>
      <c r="E3" s="339" t="s">
        <v>38</v>
      </c>
    </row>
    <row r="4" spans="1:5" s="52" customFormat="1" ht="15.95" customHeight="1" thickBot="1">
      <c r="A4" s="331"/>
      <c r="B4" s="331"/>
      <c r="C4" s="332"/>
      <c r="D4" s="333"/>
      <c r="E4" s="342" t="str">
        <f>Z_4.sz.mell.!G4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+CONCATENATE("Teljesítés",CHAR(10),LEFT(Z_ÖSSZEFÜGGÉSEK!A6,4),". XII. 31.")</f>
        <v>Teljesítés
2020. XII. 31.</v>
      </c>
    </row>
    <row r="6" spans="1:5" s="47" customFormat="1" ht="12.95" customHeight="1" thickBot="1">
      <c r="A6" s="77" t="s">
        <v>382</v>
      </c>
      <c r="B6" s="78" t="s">
        <v>383</v>
      </c>
      <c r="C6" s="78" t="s">
        <v>384</v>
      </c>
      <c r="D6" s="290" t="s">
        <v>386</v>
      </c>
      <c r="E6" s="79" t="s">
        <v>385</v>
      </c>
    </row>
    <row r="7" spans="1:5" s="47" customFormat="1" ht="15.95" customHeight="1" thickBot="1">
      <c r="A7" s="850" t="s">
        <v>39</v>
      </c>
      <c r="B7" s="851"/>
      <c r="C7" s="851"/>
      <c r="D7" s="851"/>
      <c r="E7" s="852"/>
    </row>
    <row r="8" spans="1:5" s="47" customFormat="1" ht="12" customHeight="1" thickBot="1">
      <c r="A8" s="25" t="s">
        <v>6</v>
      </c>
      <c r="B8" s="19" t="s">
        <v>161</v>
      </c>
      <c r="C8" s="169">
        <f>+C9+C10+C11+C12+C13+C14</f>
        <v>11589426</v>
      </c>
      <c r="D8" s="257">
        <f>+D9+D10+D11+D12+D13+D14</f>
        <v>18642576</v>
      </c>
      <c r="E8" s="105">
        <f>+E9+E10+E11+E12+E13+E14</f>
        <v>18642576</v>
      </c>
    </row>
    <row r="9" spans="1:5" s="53" customFormat="1" ht="12" customHeight="1">
      <c r="A9" s="199" t="s">
        <v>63</v>
      </c>
      <c r="B9" s="182" t="s">
        <v>162</v>
      </c>
      <c r="C9" s="171">
        <v>1883804</v>
      </c>
      <c r="D9" s="258">
        <v>1901292</v>
      </c>
      <c r="E9" s="107">
        <v>1901292</v>
      </c>
    </row>
    <row r="10" spans="1:5" s="54" customFormat="1" ht="12" customHeight="1">
      <c r="A10" s="200" t="s">
        <v>64</v>
      </c>
      <c r="B10" s="183" t="s">
        <v>163</v>
      </c>
      <c r="C10" s="170"/>
      <c r="D10" s="259"/>
      <c r="E10" s="106"/>
    </row>
    <row r="11" spans="1:5" s="54" customFormat="1" ht="12" customHeight="1">
      <c r="A11" s="200" t="s">
        <v>65</v>
      </c>
      <c r="B11" s="183" t="s">
        <v>164</v>
      </c>
      <c r="C11" s="170">
        <v>7905622</v>
      </c>
      <c r="D11" s="259">
        <v>14073614</v>
      </c>
      <c r="E11" s="106">
        <v>14073614</v>
      </c>
    </row>
    <row r="12" spans="1:5" s="54" customFormat="1" ht="12" customHeight="1">
      <c r="A12" s="200" t="s">
        <v>66</v>
      </c>
      <c r="B12" s="183" t="s">
        <v>165</v>
      </c>
      <c r="C12" s="170">
        <v>1800000</v>
      </c>
      <c r="D12" s="259">
        <v>2089820</v>
      </c>
      <c r="E12" s="106">
        <v>2089820</v>
      </c>
    </row>
    <row r="13" spans="1:5" s="54" customFormat="1" ht="12" customHeight="1">
      <c r="A13" s="200" t="s">
        <v>97</v>
      </c>
      <c r="B13" s="183" t="s">
        <v>390</v>
      </c>
      <c r="C13" s="170"/>
      <c r="D13" s="259">
        <v>577850</v>
      </c>
      <c r="E13" s="106">
        <v>577850</v>
      </c>
    </row>
    <row r="14" spans="1:5" s="53" customFormat="1" ht="12" customHeight="1" thickBot="1">
      <c r="A14" s="201" t="s">
        <v>67</v>
      </c>
      <c r="B14" s="184" t="s">
        <v>332</v>
      </c>
      <c r="C14" s="170"/>
      <c r="D14" s="259"/>
      <c r="E14" s="106"/>
    </row>
    <row r="15" spans="1:5" s="53" customFormat="1" ht="12" customHeight="1" thickBot="1">
      <c r="A15" s="25" t="s">
        <v>7</v>
      </c>
      <c r="B15" s="112" t="s">
        <v>166</v>
      </c>
      <c r="C15" s="169">
        <f>+C16+C17+C18+C19+C20</f>
        <v>13592850</v>
      </c>
      <c r="D15" s="257">
        <f>+D16+D17+D18+D19+D20</f>
        <v>20641962</v>
      </c>
      <c r="E15" s="105">
        <f>+E16+E17+E18+E19+E20</f>
        <v>31211511</v>
      </c>
    </row>
    <row r="16" spans="1:5" s="53" customFormat="1" ht="12" customHeight="1">
      <c r="A16" s="199" t="s">
        <v>69</v>
      </c>
      <c r="B16" s="182" t="s">
        <v>167</v>
      </c>
      <c r="C16" s="171"/>
      <c r="D16" s="258"/>
      <c r="E16" s="107"/>
    </row>
    <row r="17" spans="1:5" s="53" customFormat="1" ht="12" customHeight="1">
      <c r="A17" s="200" t="s">
        <v>70</v>
      </c>
      <c r="B17" s="183" t="s">
        <v>168</v>
      </c>
      <c r="C17" s="170"/>
      <c r="D17" s="259"/>
      <c r="E17" s="106"/>
    </row>
    <row r="18" spans="1:5" s="53" customFormat="1" ht="12" customHeight="1">
      <c r="A18" s="200" t="s">
        <v>71</v>
      </c>
      <c r="B18" s="183" t="s">
        <v>323</v>
      </c>
      <c r="C18" s="170"/>
      <c r="D18" s="259"/>
      <c r="E18" s="106"/>
    </row>
    <row r="19" spans="1:5" s="53" customFormat="1" ht="12" customHeight="1">
      <c r="A19" s="200" t="s">
        <v>72</v>
      </c>
      <c r="B19" s="183" t="s">
        <v>324</v>
      </c>
      <c r="C19" s="170"/>
      <c r="D19" s="259"/>
      <c r="E19" s="106"/>
    </row>
    <row r="20" spans="1:5" s="53" customFormat="1" ht="12" customHeight="1">
      <c r="A20" s="200" t="s">
        <v>73</v>
      </c>
      <c r="B20" s="183" t="s">
        <v>169</v>
      </c>
      <c r="C20" s="170">
        <v>13592850</v>
      </c>
      <c r="D20" s="259">
        <v>20641962</v>
      </c>
      <c r="E20" s="106">
        <v>31211511</v>
      </c>
    </row>
    <row r="21" spans="1:5" s="54" customFormat="1" ht="12" customHeight="1" thickBot="1">
      <c r="A21" s="201" t="s">
        <v>80</v>
      </c>
      <c r="B21" s="184" t="s">
        <v>170</v>
      </c>
      <c r="C21" s="172"/>
      <c r="D21" s="260"/>
      <c r="E21" s="108"/>
    </row>
    <row r="22" spans="1:5" s="54" customFormat="1" ht="12" customHeight="1" thickBot="1">
      <c r="A22" s="25" t="s">
        <v>8</v>
      </c>
      <c r="B22" s="19" t="s">
        <v>171</v>
      </c>
      <c r="C22" s="169">
        <f>+C23+C24+C25+C26+C27</f>
        <v>0</v>
      </c>
      <c r="D22" s="257">
        <f>+D23+D24+D25+D26+D27</f>
        <v>1602874</v>
      </c>
      <c r="E22" s="105">
        <f>+E23+E24+E25+E26+E27</f>
        <v>7907940</v>
      </c>
    </row>
    <row r="23" spans="1:5" s="54" customFormat="1" ht="12" customHeight="1">
      <c r="A23" s="199" t="s">
        <v>52</v>
      </c>
      <c r="B23" s="182" t="s">
        <v>172</v>
      </c>
      <c r="C23" s="171"/>
      <c r="D23" s="258"/>
      <c r="E23" s="107"/>
    </row>
    <row r="24" spans="1:5" s="53" customFormat="1" ht="12" customHeight="1">
      <c r="A24" s="200" t="s">
        <v>53</v>
      </c>
      <c r="B24" s="183" t="s">
        <v>173</v>
      </c>
      <c r="C24" s="170"/>
      <c r="D24" s="259"/>
      <c r="E24" s="106"/>
    </row>
    <row r="25" spans="1:5" s="54" customFormat="1" ht="12" customHeight="1">
      <c r="A25" s="200" t="s">
        <v>54</v>
      </c>
      <c r="B25" s="183" t="s">
        <v>325</v>
      </c>
      <c r="C25" s="170"/>
      <c r="D25" s="259"/>
      <c r="E25" s="106"/>
    </row>
    <row r="26" spans="1:5" s="54" customFormat="1" ht="12" customHeight="1">
      <c r="A26" s="200" t="s">
        <v>55</v>
      </c>
      <c r="B26" s="183" t="s">
        <v>326</v>
      </c>
      <c r="C26" s="170"/>
      <c r="D26" s="259"/>
      <c r="E26" s="106"/>
    </row>
    <row r="27" spans="1:5" s="54" customFormat="1" ht="12" customHeight="1">
      <c r="A27" s="200" t="s">
        <v>110</v>
      </c>
      <c r="B27" s="183" t="s">
        <v>174</v>
      </c>
      <c r="C27" s="170"/>
      <c r="D27" s="259">
        <v>1602874</v>
      </c>
      <c r="E27" s="106">
        <v>7907940</v>
      </c>
    </row>
    <row r="28" spans="1:5" s="54" customFormat="1" ht="12" customHeight="1" thickBot="1">
      <c r="A28" s="201" t="s">
        <v>111</v>
      </c>
      <c r="B28" s="184" t="s">
        <v>175</v>
      </c>
      <c r="C28" s="172"/>
      <c r="D28" s="260"/>
      <c r="E28" s="108"/>
    </row>
    <row r="29" spans="1:5" s="54" customFormat="1" ht="12" customHeight="1" thickBot="1">
      <c r="A29" s="25" t="s">
        <v>112</v>
      </c>
      <c r="B29" s="19" t="s">
        <v>473</v>
      </c>
      <c r="C29" s="175">
        <f>SUM(C30:C36)</f>
        <v>37017000</v>
      </c>
      <c r="D29" s="175">
        <f>SUM(D30:D36)</f>
        <v>35981813</v>
      </c>
      <c r="E29" s="211">
        <f>SUM(E30:E36)</f>
        <v>33235878</v>
      </c>
    </row>
    <row r="30" spans="1:5" s="54" customFormat="1" ht="12" customHeight="1">
      <c r="A30" s="199" t="s">
        <v>176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>
      <c r="A31" s="200" t="s">
        <v>177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>
      <c r="A32" s="200" t="s">
        <v>178</v>
      </c>
      <c r="B32" s="182" t="str">
        <f>Z_1.1.sz.mell.!B35</f>
        <v>Iparűzési adó</v>
      </c>
      <c r="C32" s="170">
        <v>34000000</v>
      </c>
      <c r="D32" s="170">
        <v>34000000</v>
      </c>
      <c r="E32" s="106">
        <v>33107383</v>
      </c>
    </row>
    <row r="33" spans="1:5" s="54" customFormat="1" ht="12" customHeight="1">
      <c r="A33" s="200" t="s">
        <v>179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>
      <c r="A34" s="200" t="s">
        <v>477</v>
      </c>
      <c r="B34" s="182" t="str">
        <f>Z_1.1.sz.mell.!B37</f>
        <v>Gépjárműadó</v>
      </c>
      <c r="C34" s="170">
        <v>1500000</v>
      </c>
      <c r="D34" s="170">
        <v>877072</v>
      </c>
      <c r="E34" s="106"/>
    </row>
    <row r="35" spans="1:5" s="54" customFormat="1" ht="12" customHeight="1">
      <c r="A35" s="200" t="s">
        <v>478</v>
      </c>
      <c r="B35" s="182" t="str">
        <f>Z_1.1.sz.mell.!B38</f>
        <v>Egyéb közhatalmi bevételek</v>
      </c>
      <c r="C35" s="170">
        <v>1517000</v>
      </c>
      <c r="D35" s="170">
        <v>1104741</v>
      </c>
      <c r="E35" s="106">
        <v>128495</v>
      </c>
    </row>
    <row r="36" spans="1:5" s="54" customFormat="1" ht="12" customHeight="1" thickBot="1">
      <c r="A36" s="201" t="s">
        <v>479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>
      <c r="A37" s="25" t="s">
        <v>10</v>
      </c>
      <c r="B37" s="19" t="s">
        <v>333</v>
      </c>
      <c r="C37" s="169">
        <f>SUM(C38:C48)</f>
        <v>5356573</v>
      </c>
      <c r="D37" s="257">
        <f>SUM(D38:D48)</f>
        <v>5356573</v>
      </c>
      <c r="E37" s="105">
        <f>SUM(E38:E48)</f>
        <v>7036452</v>
      </c>
    </row>
    <row r="38" spans="1:5" s="54" customFormat="1" ht="12" customHeight="1">
      <c r="A38" s="199" t="s">
        <v>56</v>
      </c>
      <c r="B38" s="182" t="s">
        <v>183</v>
      </c>
      <c r="C38" s="171"/>
      <c r="D38" s="258"/>
      <c r="E38" s="107">
        <v>9800</v>
      </c>
    </row>
    <row r="39" spans="1:5" s="54" customFormat="1" ht="12" customHeight="1">
      <c r="A39" s="200" t="s">
        <v>57</v>
      </c>
      <c r="B39" s="183" t="s">
        <v>184</v>
      </c>
      <c r="C39" s="170">
        <v>4650000</v>
      </c>
      <c r="D39" s="259">
        <v>4650000</v>
      </c>
      <c r="E39" s="106">
        <v>4845149</v>
      </c>
    </row>
    <row r="40" spans="1:5" s="54" customFormat="1" ht="12" customHeight="1">
      <c r="A40" s="200" t="s">
        <v>58</v>
      </c>
      <c r="B40" s="183" t="s">
        <v>185</v>
      </c>
      <c r="C40" s="170">
        <v>706573</v>
      </c>
      <c r="D40" s="259">
        <v>706573</v>
      </c>
      <c r="E40" s="106">
        <v>1620533</v>
      </c>
    </row>
    <row r="41" spans="1:5" s="54" customFormat="1" ht="12" customHeight="1">
      <c r="A41" s="200" t="s">
        <v>114</v>
      </c>
      <c r="B41" s="183" t="s">
        <v>186</v>
      </c>
      <c r="C41" s="170"/>
      <c r="D41" s="259"/>
      <c r="E41" s="106"/>
    </row>
    <row r="42" spans="1:5" s="54" customFormat="1" ht="12" customHeight="1">
      <c r="A42" s="200" t="s">
        <v>115</v>
      </c>
      <c r="B42" s="183" t="s">
        <v>187</v>
      </c>
      <c r="C42" s="170"/>
      <c r="D42" s="259"/>
      <c r="E42" s="106">
        <v>181883</v>
      </c>
    </row>
    <row r="43" spans="1:5" s="54" customFormat="1" ht="12" customHeight="1">
      <c r="A43" s="200" t="s">
        <v>116</v>
      </c>
      <c r="B43" s="183" t="s">
        <v>188</v>
      </c>
      <c r="C43" s="170"/>
      <c r="D43" s="259"/>
      <c r="E43" s="106"/>
    </row>
    <row r="44" spans="1:5" s="54" customFormat="1" ht="12" customHeight="1">
      <c r="A44" s="200" t="s">
        <v>117</v>
      </c>
      <c r="B44" s="183" t="s">
        <v>189</v>
      </c>
      <c r="C44" s="170"/>
      <c r="D44" s="259"/>
      <c r="E44" s="106"/>
    </row>
    <row r="45" spans="1:5" s="54" customFormat="1" ht="12" customHeight="1">
      <c r="A45" s="200" t="s">
        <v>118</v>
      </c>
      <c r="B45" s="183" t="s">
        <v>480</v>
      </c>
      <c r="C45" s="170"/>
      <c r="D45" s="259"/>
      <c r="E45" s="106"/>
    </row>
    <row r="46" spans="1:5" s="54" customFormat="1" ht="12" customHeight="1">
      <c r="A46" s="200" t="s">
        <v>181</v>
      </c>
      <c r="B46" s="183" t="s">
        <v>191</v>
      </c>
      <c r="C46" s="173"/>
      <c r="D46" s="291"/>
      <c r="E46" s="109"/>
    </row>
    <row r="47" spans="1:5" s="54" customFormat="1" ht="12" customHeight="1">
      <c r="A47" s="201" t="s">
        <v>182</v>
      </c>
      <c r="B47" s="184" t="s">
        <v>335</v>
      </c>
      <c r="C47" s="174"/>
      <c r="D47" s="292"/>
      <c r="E47" s="110"/>
    </row>
    <row r="48" spans="1:5" s="54" customFormat="1" ht="12" customHeight="1" thickBot="1">
      <c r="A48" s="201" t="s">
        <v>334</v>
      </c>
      <c r="B48" s="184" t="s">
        <v>192</v>
      </c>
      <c r="C48" s="174"/>
      <c r="D48" s="292"/>
      <c r="E48" s="110">
        <v>379087</v>
      </c>
    </row>
    <row r="49" spans="1:5" s="54" customFormat="1" ht="12" customHeight="1" thickBot="1">
      <c r="A49" s="25" t="s">
        <v>11</v>
      </c>
      <c r="B49" s="19" t="s">
        <v>193</v>
      </c>
      <c r="C49" s="169">
        <f>SUM(C50:C54)</f>
        <v>0</v>
      </c>
      <c r="D49" s="257">
        <f>SUM(D50:D54)</f>
        <v>0</v>
      </c>
      <c r="E49" s="105">
        <f>SUM(E50:E54)</f>
        <v>4000000</v>
      </c>
    </row>
    <row r="50" spans="1:5" s="54" customFormat="1" ht="12" customHeight="1">
      <c r="A50" s="199" t="s">
        <v>59</v>
      </c>
      <c r="B50" s="182" t="s">
        <v>197</v>
      </c>
      <c r="C50" s="222"/>
      <c r="D50" s="293"/>
      <c r="E50" s="111"/>
    </row>
    <row r="51" spans="1:5" s="54" customFormat="1" ht="12" customHeight="1">
      <c r="A51" s="200" t="s">
        <v>60</v>
      </c>
      <c r="B51" s="183" t="s">
        <v>198</v>
      </c>
      <c r="C51" s="173"/>
      <c r="D51" s="291"/>
      <c r="E51" s="109">
        <v>4000000</v>
      </c>
    </row>
    <row r="52" spans="1:5" s="54" customFormat="1" ht="12" customHeight="1">
      <c r="A52" s="200" t="s">
        <v>194</v>
      </c>
      <c r="B52" s="183" t="s">
        <v>199</v>
      </c>
      <c r="C52" s="173"/>
      <c r="D52" s="291"/>
      <c r="E52" s="109"/>
    </row>
    <row r="53" spans="1:5" s="54" customFormat="1" ht="12" customHeight="1">
      <c r="A53" s="200" t="s">
        <v>195</v>
      </c>
      <c r="B53" s="183" t="s">
        <v>200</v>
      </c>
      <c r="C53" s="173"/>
      <c r="D53" s="291"/>
      <c r="E53" s="109"/>
    </row>
    <row r="54" spans="1:5" s="54" customFormat="1" ht="12" customHeight="1" thickBot="1">
      <c r="A54" s="201" t="s">
        <v>196</v>
      </c>
      <c r="B54" s="184" t="s">
        <v>201</v>
      </c>
      <c r="C54" s="174"/>
      <c r="D54" s="292"/>
      <c r="E54" s="110"/>
    </row>
    <row r="55" spans="1:5" s="54" customFormat="1" ht="12" customHeight="1" thickBot="1">
      <c r="A55" s="25" t="s">
        <v>119</v>
      </c>
      <c r="B55" s="19" t="s">
        <v>202</v>
      </c>
      <c r="C55" s="169">
        <f>SUM(C56:C58)</f>
        <v>0</v>
      </c>
      <c r="D55" s="257">
        <f>SUM(D56:D58)</f>
        <v>0</v>
      </c>
      <c r="E55" s="105">
        <f>SUM(E56:E58)</f>
        <v>100000</v>
      </c>
    </row>
    <row r="56" spans="1:5" s="54" customFormat="1" ht="12" customHeight="1">
      <c r="A56" s="199" t="s">
        <v>61</v>
      </c>
      <c r="B56" s="182" t="s">
        <v>203</v>
      </c>
      <c r="C56" s="171"/>
      <c r="D56" s="258"/>
      <c r="E56" s="107"/>
    </row>
    <row r="57" spans="1:5" s="54" customFormat="1" ht="12" customHeight="1">
      <c r="A57" s="200" t="s">
        <v>62</v>
      </c>
      <c r="B57" s="183" t="s">
        <v>327</v>
      </c>
      <c r="C57" s="170"/>
      <c r="D57" s="259"/>
      <c r="E57" s="106"/>
    </row>
    <row r="58" spans="1:5" s="54" customFormat="1" ht="12" customHeight="1">
      <c r="A58" s="200" t="s">
        <v>206</v>
      </c>
      <c r="B58" s="183" t="s">
        <v>204</v>
      </c>
      <c r="C58" s="170"/>
      <c r="D58" s="259"/>
      <c r="E58" s="106">
        <v>100000</v>
      </c>
    </row>
    <row r="59" spans="1:5" s="54" customFormat="1" ht="12" customHeight="1" thickBot="1">
      <c r="A59" s="201" t="s">
        <v>207</v>
      </c>
      <c r="B59" s="184" t="s">
        <v>205</v>
      </c>
      <c r="C59" s="172"/>
      <c r="D59" s="260"/>
      <c r="E59" s="108"/>
    </row>
    <row r="60" spans="1:5" s="54" customFormat="1" ht="12" customHeight="1" thickBot="1">
      <c r="A60" s="25" t="s">
        <v>13</v>
      </c>
      <c r="B60" s="112" t="s">
        <v>208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>
      <c r="A61" s="199" t="s">
        <v>120</v>
      </c>
      <c r="B61" s="182" t="s">
        <v>210</v>
      </c>
      <c r="C61" s="173"/>
      <c r="D61" s="291"/>
      <c r="E61" s="109"/>
    </row>
    <row r="62" spans="1:5" s="54" customFormat="1" ht="12" customHeight="1">
      <c r="A62" s="200" t="s">
        <v>121</v>
      </c>
      <c r="B62" s="183" t="s">
        <v>328</v>
      </c>
      <c r="C62" s="173"/>
      <c r="D62" s="291"/>
      <c r="E62" s="109"/>
    </row>
    <row r="63" spans="1:5" s="54" customFormat="1" ht="12" customHeight="1">
      <c r="A63" s="200" t="s">
        <v>143</v>
      </c>
      <c r="B63" s="183" t="s">
        <v>211</v>
      </c>
      <c r="C63" s="173"/>
      <c r="D63" s="291"/>
      <c r="E63" s="109"/>
    </row>
    <row r="64" spans="1:5" s="54" customFormat="1" ht="12" customHeight="1" thickBot="1">
      <c r="A64" s="201" t="s">
        <v>209</v>
      </c>
      <c r="B64" s="184" t="s">
        <v>212</v>
      </c>
      <c r="C64" s="173"/>
      <c r="D64" s="291"/>
      <c r="E64" s="109"/>
    </row>
    <row r="65" spans="1:5" s="54" customFormat="1" ht="12" customHeight="1" thickBot="1">
      <c r="A65" s="25" t="s">
        <v>14</v>
      </c>
      <c r="B65" s="19" t="s">
        <v>213</v>
      </c>
      <c r="C65" s="175">
        <f>+C8+C15+C22+C29+C37+C49+C55+C60</f>
        <v>67555849</v>
      </c>
      <c r="D65" s="261">
        <f>+D8+D15+D22+D29+D37+D49+D55+D60</f>
        <v>82225798</v>
      </c>
      <c r="E65" s="211">
        <f>+E8+E15+E22+E29+E37+E49+E55+E60</f>
        <v>102134357</v>
      </c>
    </row>
    <row r="66" spans="1:5" s="54" customFormat="1" ht="12" customHeight="1" thickBot="1">
      <c r="A66" s="202" t="s">
        <v>297</v>
      </c>
      <c r="B66" s="112" t="s">
        <v>215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>
      <c r="A67" s="199" t="s">
        <v>243</v>
      </c>
      <c r="B67" s="182" t="s">
        <v>216</v>
      </c>
      <c r="C67" s="173"/>
      <c r="D67" s="291"/>
      <c r="E67" s="109"/>
    </row>
    <row r="68" spans="1:5" s="54" customFormat="1" ht="12" customHeight="1">
      <c r="A68" s="200" t="s">
        <v>252</v>
      </c>
      <c r="B68" s="183" t="s">
        <v>217</v>
      </c>
      <c r="C68" s="173"/>
      <c r="D68" s="291"/>
      <c r="E68" s="109"/>
    </row>
    <row r="69" spans="1:5" s="54" customFormat="1" ht="12" customHeight="1" thickBot="1">
      <c r="A69" s="209" t="s">
        <v>253</v>
      </c>
      <c r="B69" s="325" t="s">
        <v>360</v>
      </c>
      <c r="C69" s="326"/>
      <c r="D69" s="294"/>
      <c r="E69" s="327"/>
    </row>
    <row r="70" spans="1:5" s="54" customFormat="1" ht="12" customHeight="1" thickBot="1">
      <c r="A70" s="202" t="s">
        <v>219</v>
      </c>
      <c r="B70" s="112" t="s">
        <v>220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>
      <c r="A71" s="199" t="s">
        <v>98</v>
      </c>
      <c r="B71" s="312" t="s">
        <v>221</v>
      </c>
      <c r="C71" s="173"/>
      <c r="D71" s="173"/>
      <c r="E71" s="109"/>
    </row>
    <row r="72" spans="1:5" s="54" customFormat="1" ht="12" customHeight="1">
      <c r="A72" s="200" t="s">
        <v>99</v>
      </c>
      <c r="B72" s="312" t="s">
        <v>487</v>
      </c>
      <c r="C72" s="173"/>
      <c r="D72" s="173"/>
      <c r="E72" s="109"/>
    </row>
    <row r="73" spans="1:5" s="54" customFormat="1" ht="12" customHeight="1">
      <c r="A73" s="200" t="s">
        <v>244</v>
      </c>
      <c r="B73" s="312" t="s">
        <v>222</v>
      </c>
      <c r="C73" s="173"/>
      <c r="D73" s="173"/>
      <c r="E73" s="109"/>
    </row>
    <row r="74" spans="1:5" s="54" customFormat="1" ht="12" customHeight="1" thickBot="1">
      <c r="A74" s="201" t="s">
        <v>245</v>
      </c>
      <c r="B74" s="313" t="s">
        <v>488</v>
      </c>
      <c r="C74" s="173"/>
      <c r="D74" s="173"/>
      <c r="E74" s="109"/>
    </row>
    <row r="75" spans="1:5" s="54" customFormat="1" ht="12" customHeight="1" thickBot="1">
      <c r="A75" s="202" t="s">
        <v>223</v>
      </c>
      <c r="B75" s="112" t="s">
        <v>224</v>
      </c>
      <c r="C75" s="169">
        <f>SUM(C76:C77)</f>
        <v>112931868</v>
      </c>
      <c r="D75" s="169">
        <f>SUM(D76:D77)</f>
        <v>112931868</v>
      </c>
      <c r="E75" s="105">
        <f>SUM(E76:E77)</f>
        <v>108636385</v>
      </c>
    </row>
    <row r="76" spans="1:5" s="54" customFormat="1" ht="12" customHeight="1">
      <c r="A76" s="199" t="s">
        <v>246</v>
      </c>
      <c r="B76" s="182" t="s">
        <v>225</v>
      </c>
      <c r="C76" s="173">
        <v>112931868</v>
      </c>
      <c r="D76" s="173">
        <v>112931868</v>
      </c>
      <c r="E76" s="109">
        <v>108636385</v>
      </c>
    </row>
    <row r="77" spans="1:5" s="54" customFormat="1" ht="12" customHeight="1" thickBot="1">
      <c r="A77" s="201" t="s">
        <v>247</v>
      </c>
      <c r="B77" s="184" t="s">
        <v>226</v>
      </c>
      <c r="C77" s="173"/>
      <c r="D77" s="173"/>
      <c r="E77" s="109"/>
    </row>
    <row r="78" spans="1:5" s="53" customFormat="1" ht="12" customHeight="1" thickBot="1">
      <c r="A78" s="202" t="s">
        <v>227</v>
      </c>
      <c r="B78" s="112" t="s">
        <v>228</v>
      </c>
      <c r="C78" s="169">
        <f>SUM(C79:C81)</f>
        <v>0</v>
      </c>
      <c r="D78" s="169">
        <f>SUM(D79:D81)</f>
        <v>1309301</v>
      </c>
      <c r="E78" s="105">
        <f>SUM(E79:E81)</f>
        <v>2400550</v>
      </c>
    </row>
    <row r="79" spans="1:5" s="54" customFormat="1" ht="12" customHeight="1">
      <c r="A79" s="199" t="s">
        <v>248</v>
      </c>
      <c r="B79" s="182" t="s">
        <v>229</v>
      </c>
      <c r="C79" s="173"/>
      <c r="D79" s="173">
        <v>1309301</v>
      </c>
      <c r="E79" s="109">
        <v>2400550</v>
      </c>
    </row>
    <row r="80" spans="1:5" s="54" customFormat="1" ht="12" customHeight="1">
      <c r="A80" s="200" t="s">
        <v>249</v>
      </c>
      <c r="B80" s="183" t="s">
        <v>230</v>
      </c>
      <c r="C80" s="173"/>
      <c r="D80" s="173"/>
      <c r="E80" s="109"/>
    </row>
    <row r="81" spans="1:5" s="54" customFormat="1" ht="12" customHeight="1" thickBot="1">
      <c r="A81" s="201" t="s">
        <v>250</v>
      </c>
      <c r="B81" s="184" t="s">
        <v>489</v>
      </c>
      <c r="C81" s="173"/>
      <c r="D81" s="173"/>
      <c r="E81" s="109"/>
    </row>
    <row r="82" spans="1:5" s="54" customFormat="1" ht="12" customHeight="1" thickBot="1">
      <c r="A82" s="202" t="s">
        <v>231</v>
      </c>
      <c r="B82" s="112" t="s">
        <v>251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>
      <c r="A83" s="203" t="s">
        <v>232</v>
      </c>
      <c r="B83" s="182" t="s">
        <v>233</v>
      </c>
      <c r="C83" s="173"/>
      <c r="D83" s="173"/>
      <c r="E83" s="109"/>
    </row>
    <row r="84" spans="1:5" s="54" customFormat="1" ht="12" customHeight="1">
      <c r="A84" s="204" t="s">
        <v>234</v>
      </c>
      <c r="B84" s="183" t="s">
        <v>235</v>
      </c>
      <c r="C84" s="173"/>
      <c r="D84" s="173"/>
      <c r="E84" s="109"/>
    </row>
    <row r="85" spans="1:5" s="54" customFormat="1" ht="12" customHeight="1">
      <c r="A85" s="204" t="s">
        <v>236</v>
      </c>
      <c r="B85" s="183" t="s">
        <v>237</v>
      </c>
      <c r="C85" s="173"/>
      <c r="D85" s="173"/>
      <c r="E85" s="109"/>
    </row>
    <row r="86" spans="1:5" s="53" customFormat="1" ht="12" customHeight="1" thickBot="1">
      <c r="A86" s="205" t="s">
        <v>238</v>
      </c>
      <c r="B86" s="184" t="s">
        <v>239</v>
      </c>
      <c r="C86" s="173"/>
      <c r="D86" s="173"/>
      <c r="E86" s="109"/>
    </row>
    <row r="87" spans="1:5" s="53" customFormat="1" ht="12" customHeight="1" thickBot="1">
      <c r="A87" s="202" t="s">
        <v>240</v>
      </c>
      <c r="B87" s="112" t="s">
        <v>374</v>
      </c>
      <c r="C87" s="225"/>
      <c r="D87" s="225"/>
      <c r="E87" s="226"/>
    </row>
    <row r="88" spans="1:5" s="53" customFormat="1" ht="12" customHeight="1" thickBot="1">
      <c r="A88" s="202" t="s">
        <v>391</v>
      </c>
      <c r="B88" s="112" t="s">
        <v>241</v>
      </c>
      <c r="C88" s="225"/>
      <c r="D88" s="225"/>
      <c r="E88" s="226"/>
    </row>
    <row r="89" spans="1:5" s="53" customFormat="1" ht="12" customHeight="1" thickBot="1">
      <c r="A89" s="202" t="s">
        <v>392</v>
      </c>
      <c r="B89" s="189" t="s">
        <v>377</v>
      </c>
      <c r="C89" s="175">
        <f>+C66+C70+C75+C78+C82+C88+C87</f>
        <v>112931868</v>
      </c>
      <c r="D89" s="175">
        <f>+D66+D70+D75+D78+D82+D88+D87</f>
        <v>114241169</v>
      </c>
      <c r="E89" s="211">
        <f>+E66+E70+E75+E78+E82+E88+E87</f>
        <v>111036935</v>
      </c>
    </row>
    <row r="90" spans="1:5" s="53" customFormat="1" ht="12" customHeight="1" thickBot="1">
      <c r="A90" s="206" t="s">
        <v>393</v>
      </c>
      <c r="B90" s="190" t="s">
        <v>394</v>
      </c>
      <c r="C90" s="175">
        <f>+C65+C89</f>
        <v>180487717</v>
      </c>
      <c r="D90" s="175">
        <f>+D65+D89</f>
        <v>196466967</v>
      </c>
      <c r="E90" s="211">
        <f>+E65+E89</f>
        <v>213171292</v>
      </c>
    </row>
    <row r="91" spans="1:5" s="54" customFormat="1" ht="15.2" customHeight="1" thickBot="1">
      <c r="A91" s="89"/>
      <c r="B91" s="90"/>
      <c r="C91" s="151"/>
    </row>
    <row r="92" spans="1:5" s="47" customFormat="1" ht="16.5" customHeight="1" thickBot="1">
      <c r="A92" s="850" t="s">
        <v>40</v>
      </c>
      <c r="B92" s="851"/>
      <c r="C92" s="851"/>
      <c r="D92" s="851"/>
      <c r="E92" s="852"/>
    </row>
    <row r="93" spans="1:5" s="55" customFormat="1" ht="12" customHeight="1" thickBot="1">
      <c r="A93" s="176" t="s">
        <v>6</v>
      </c>
      <c r="B93" s="24" t="s">
        <v>398</v>
      </c>
      <c r="C93" s="168">
        <f>+C94+C95+C96+C97+C98+C111</f>
        <v>74516890</v>
      </c>
      <c r="D93" s="168">
        <f>+D94+D95+D96+D97+D98+D111</f>
        <v>80699305</v>
      </c>
      <c r="E93" s="240">
        <f>+E94+E95+E96+E97+E98+E111</f>
        <v>61596993</v>
      </c>
    </row>
    <row r="94" spans="1:5" ht="12" customHeight="1">
      <c r="A94" s="207" t="s">
        <v>63</v>
      </c>
      <c r="B94" s="8" t="s">
        <v>35</v>
      </c>
      <c r="C94" s="247">
        <v>28590150</v>
      </c>
      <c r="D94" s="247">
        <v>28802850</v>
      </c>
      <c r="E94" s="241">
        <v>25968299</v>
      </c>
    </row>
    <row r="95" spans="1:5" ht="12" customHeight="1">
      <c r="A95" s="200" t="s">
        <v>64</v>
      </c>
      <c r="B95" s="6" t="s">
        <v>122</v>
      </c>
      <c r="C95" s="170">
        <v>4705400</v>
      </c>
      <c r="D95" s="170">
        <v>4707623</v>
      </c>
      <c r="E95" s="106">
        <v>3791000</v>
      </c>
    </row>
    <row r="96" spans="1:5" ht="12" customHeight="1">
      <c r="A96" s="200" t="s">
        <v>65</v>
      </c>
      <c r="B96" s="6" t="s">
        <v>90</v>
      </c>
      <c r="C96" s="172">
        <v>32716340</v>
      </c>
      <c r="D96" s="170">
        <v>33279033</v>
      </c>
      <c r="E96" s="108">
        <v>26877781</v>
      </c>
    </row>
    <row r="97" spans="1:5" ht="12" customHeight="1">
      <c r="A97" s="200" t="s">
        <v>66</v>
      </c>
      <c r="B97" s="9" t="s">
        <v>123</v>
      </c>
      <c r="C97" s="172">
        <v>2405000</v>
      </c>
      <c r="D97" s="260">
        <v>3855821</v>
      </c>
      <c r="E97" s="108">
        <v>2376139</v>
      </c>
    </row>
    <row r="98" spans="1:5" ht="12" customHeight="1">
      <c r="A98" s="200" t="s">
        <v>75</v>
      </c>
      <c r="B98" s="17" t="s">
        <v>124</v>
      </c>
      <c r="C98" s="172">
        <v>6100000</v>
      </c>
      <c r="D98" s="260">
        <v>5902905</v>
      </c>
      <c r="E98" s="108">
        <v>2583774</v>
      </c>
    </row>
    <row r="99" spans="1:5" ht="12" customHeight="1">
      <c r="A99" s="200" t="s">
        <v>67</v>
      </c>
      <c r="B99" s="6" t="s">
        <v>395</v>
      </c>
      <c r="C99" s="172"/>
      <c r="D99" s="260"/>
      <c r="E99" s="108"/>
    </row>
    <row r="100" spans="1:5" ht="12" customHeight="1">
      <c r="A100" s="200" t="s">
        <v>68</v>
      </c>
      <c r="B100" s="65" t="s">
        <v>340</v>
      </c>
      <c r="C100" s="172"/>
      <c r="D100" s="260"/>
      <c r="E100" s="108"/>
    </row>
    <row r="101" spans="1:5" ht="12" customHeight="1">
      <c r="A101" s="200" t="s">
        <v>76</v>
      </c>
      <c r="B101" s="65" t="s">
        <v>339</v>
      </c>
      <c r="C101" s="172"/>
      <c r="D101" s="260">
        <v>425833</v>
      </c>
      <c r="E101" s="108">
        <v>411790</v>
      </c>
    </row>
    <row r="102" spans="1:5" ht="12" customHeight="1">
      <c r="A102" s="200" t="s">
        <v>77</v>
      </c>
      <c r="B102" s="65" t="s">
        <v>257</v>
      </c>
      <c r="C102" s="172"/>
      <c r="D102" s="260"/>
      <c r="E102" s="108"/>
    </row>
    <row r="103" spans="1:5" ht="12" customHeight="1">
      <c r="A103" s="200" t="s">
        <v>78</v>
      </c>
      <c r="B103" s="66" t="s">
        <v>258</v>
      </c>
      <c r="C103" s="172"/>
      <c r="D103" s="260"/>
      <c r="E103" s="108"/>
    </row>
    <row r="104" spans="1:5" ht="12" customHeight="1">
      <c r="A104" s="200" t="s">
        <v>79</v>
      </c>
      <c r="B104" s="66" t="s">
        <v>259</v>
      </c>
      <c r="C104" s="172"/>
      <c r="D104" s="260"/>
      <c r="E104" s="108"/>
    </row>
    <row r="105" spans="1:5" ht="12" customHeight="1">
      <c r="A105" s="200" t="s">
        <v>81</v>
      </c>
      <c r="B105" s="65" t="s">
        <v>260</v>
      </c>
      <c r="C105" s="172">
        <v>5200000</v>
      </c>
      <c r="D105" s="260">
        <v>4577072</v>
      </c>
      <c r="E105" s="108">
        <v>1711984</v>
      </c>
    </row>
    <row r="106" spans="1:5" ht="12" customHeight="1">
      <c r="A106" s="200" t="s">
        <v>125</v>
      </c>
      <c r="B106" s="65" t="s">
        <v>261</v>
      </c>
      <c r="C106" s="172"/>
      <c r="D106" s="260"/>
      <c r="E106" s="108"/>
    </row>
    <row r="107" spans="1:5" ht="12" customHeight="1">
      <c r="A107" s="200" t="s">
        <v>255</v>
      </c>
      <c r="B107" s="66" t="s">
        <v>262</v>
      </c>
      <c r="C107" s="170"/>
      <c r="D107" s="260"/>
      <c r="E107" s="108"/>
    </row>
    <row r="108" spans="1:5" ht="12" customHeight="1">
      <c r="A108" s="208" t="s">
        <v>256</v>
      </c>
      <c r="B108" s="67" t="s">
        <v>263</v>
      </c>
      <c r="C108" s="172"/>
      <c r="D108" s="260"/>
      <c r="E108" s="108"/>
    </row>
    <row r="109" spans="1:5" ht="12" customHeight="1">
      <c r="A109" s="200" t="s">
        <v>337</v>
      </c>
      <c r="B109" s="67" t="s">
        <v>264</v>
      </c>
      <c r="C109" s="172"/>
      <c r="D109" s="260"/>
      <c r="E109" s="108"/>
    </row>
    <row r="110" spans="1:5" ht="12" customHeight="1">
      <c r="A110" s="200" t="s">
        <v>338</v>
      </c>
      <c r="B110" s="66" t="s">
        <v>265</v>
      </c>
      <c r="C110" s="170">
        <v>900000</v>
      </c>
      <c r="D110" s="259">
        <v>900000</v>
      </c>
      <c r="E110" s="106">
        <v>460000</v>
      </c>
    </row>
    <row r="111" spans="1:5" ht="12" customHeight="1">
      <c r="A111" s="200" t="s">
        <v>342</v>
      </c>
      <c r="B111" s="9" t="s">
        <v>36</v>
      </c>
      <c r="C111" s="170"/>
      <c r="D111" s="259">
        <v>4151073</v>
      </c>
      <c r="E111" s="106"/>
    </row>
    <row r="112" spans="1:5" ht="12" customHeight="1">
      <c r="A112" s="201" t="s">
        <v>343</v>
      </c>
      <c r="B112" s="6" t="s">
        <v>396</v>
      </c>
      <c r="C112" s="172"/>
      <c r="D112" s="260"/>
      <c r="E112" s="108"/>
    </row>
    <row r="113" spans="1:5" ht="12" customHeight="1" thickBot="1">
      <c r="A113" s="209" t="s">
        <v>344</v>
      </c>
      <c r="B113" s="68" t="s">
        <v>397</v>
      </c>
      <c r="C113" s="248"/>
      <c r="D113" s="297"/>
      <c r="E113" s="242"/>
    </row>
    <row r="114" spans="1:5" ht="12" customHeight="1" thickBot="1">
      <c r="A114" s="25" t="s">
        <v>7</v>
      </c>
      <c r="B114" s="23" t="s">
        <v>266</v>
      </c>
      <c r="C114" s="169">
        <f>+C115+C117+C119</f>
        <v>92907250</v>
      </c>
      <c r="D114" s="257">
        <f>+D115+D117+D119</f>
        <v>99157250</v>
      </c>
      <c r="E114" s="105">
        <f>+E115+E117+E119</f>
        <v>22197619</v>
      </c>
    </row>
    <row r="115" spans="1:5" ht="12" customHeight="1">
      <c r="A115" s="199" t="s">
        <v>69</v>
      </c>
      <c r="B115" s="6" t="s">
        <v>142</v>
      </c>
      <c r="C115" s="171">
        <v>92907250</v>
      </c>
      <c r="D115" s="258">
        <v>92907250</v>
      </c>
      <c r="E115" s="107">
        <v>16081358</v>
      </c>
    </row>
    <row r="116" spans="1:5" ht="12" customHeight="1">
      <c r="A116" s="199" t="s">
        <v>70</v>
      </c>
      <c r="B116" s="10" t="s">
        <v>270</v>
      </c>
      <c r="C116" s="171"/>
      <c r="D116" s="258"/>
      <c r="E116" s="107"/>
    </row>
    <row r="117" spans="1:5" ht="12" customHeight="1">
      <c r="A117" s="199" t="s">
        <v>71</v>
      </c>
      <c r="B117" s="10" t="s">
        <v>126</v>
      </c>
      <c r="C117" s="170"/>
      <c r="D117" s="259">
        <v>6250000</v>
      </c>
      <c r="E117" s="106">
        <v>6116261</v>
      </c>
    </row>
    <row r="118" spans="1:5" ht="12" customHeight="1">
      <c r="A118" s="199" t="s">
        <v>72</v>
      </c>
      <c r="B118" s="10" t="s">
        <v>271</v>
      </c>
      <c r="C118" s="170"/>
      <c r="D118" s="259"/>
      <c r="E118" s="106"/>
    </row>
    <row r="119" spans="1:5" ht="12" customHeight="1">
      <c r="A119" s="199" t="s">
        <v>73</v>
      </c>
      <c r="B119" s="114" t="s">
        <v>144</v>
      </c>
      <c r="C119" s="170"/>
      <c r="D119" s="259"/>
      <c r="E119" s="106"/>
    </row>
    <row r="120" spans="1:5" ht="12" customHeight="1">
      <c r="A120" s="199" t="s">
        <v>80</v>
      </c>
      <c r="B120" s="113" t="s">
        <v>329</v>
      </c>
      <c r="C120" s="170"/>
      <c r="D120" s="259"/>
      <c r="E120" s="106"/>
    </row>
    <row r="121" spans="1:5" ht="12" customHeight="1">
      <c r="A121" s="199" t="s">
        <v>82</v>
      </c>
      <c r="B121" s="178" t="s">
        <v>276</v>
      </c>
      <c r="C121" s="170"/>
      <c r="D121" s="259"/>
      <c r="E121" s="106"/>
    </row>
    <row r="122" spans="1:5" ht="12" customHeight="1">
      <c r="A122" s="199" t="s">
        <v>127</v>
      </c>
      <c r="B122" s="66" t="s">
        <v>259</v>
      </c>
      <c r="C122" s="170"/>
      <c r="D122" s="259"/>
      <c r="E122" s="106"/>
    </row>
    <row r="123" spans="1:5" ht="12" customHeight="1">
      <c r="A123" s="199" t="s">
        <v>128</v>
      </c>
      <c r="B123" s="66" t="s">
        <v>275</v>
      </c>
      <c r="C123" s="170"/>
      <c r="D123" s="259"/>
      <c r="E123" s="106"/>
    </row>
    <row r="124" spans="1:5" ht="12" customHeight="1">
      <c r="A124" s="199" t="s">
        <v>129</v>
      </c>
      <c r="B124" s="66" t="s">
        <v>274</v>
      </c>
      <c r="C124" s="170"/>
      <c r="D124" s="259"/>
      <c r="E124" s="106"/>
    </row>
    <row r="125" spans="1:5" ht="12" customHeight="1">
      <c r="A125" s="199" t="s">
        <v>267</v>
      </c>
      <c r="B125" s="66" t="s">
        <v>262</v>
      </c>
      <c r="C125" s="170"/>
      <c r="D125" s="259"/>
      <c r="E125" s="106"/>
    </row>
    <row r="126" spans="1:5" ht="12" customHeight="1">
      <c r="A126" s="199" t="s">
        <v>268</v>
      </c>
      <c r="B126" s="66" t="s">
        <v>273</v>
      </c>
      <c r="C126" s="170"/>
      <c r="D126" s="259"/>
      <c r="E126" s="106"/>
    </row>
    <row r="127" spans="1:5" ht="12" customHeight="1" thickBot="1">
      <c r="A127" s="208" t="s">
        <v>269</v>
      </c>
      <c r="B127" s="66" t="s">
        <v>272</v>
      </c>
      <c r="C127" s="172"/>
      <c r="D127" s="260"/>
      <c r="E127" s="108"/>
    </row>
    <row r="128" spans="1:5" ht="12" customHeight="1" thickBot="1">
      <c r="A128" s="25" t="s">
        <v>8</v>
      </c>
      <c r="B128" s="59" t="s">
        <v>347</v>
      </c>
      <c r="C128" s="169">
        <f>+C93+C114</f>
        <v>167424140</v>
      </c>
      <c r="D128" s="257">
        <f>+D93+D114</f>
        <v>179856555</v>
      </c>
      <c r="E128" s="105">
        <f>+E93+E114</f>
        <v>83794612</v>
      </c>
    </row>
    <row r="129" spans="1:11" ht="12" customHeight="1" thickBot="1">
      <c r="A129" s="25" t="s">
        <v>9</v>
      </c>
      <c r="B129" s="59" t="s">
        <v>348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>
      <c r="A130" s="199" t="s">
        <v>176</v>
      </c>
      <c r="B130" s="7" t="s">
        <v>401</v>
      </c>
      <c r="C130" s="170"/>
      <c r="D130" s="259"/>
      <c r="E130" s="106"/>
    </row>
    <row r="131" spans="1:11" ht="12" customHeight="1">
      <c r="A131" s="199" t="s">
        <v>177</v>
      </c>
      <c r="B131" s="7" t="s">
        <v>356</v>
      </c>
      <c r="C131" s="170"/>
      <c r="D131" s="259"/>
      <c r="E131" s="106"/>
    </row>
    <row r="132" spans="1:11" ht="12" customHeight="1" thickBot="1">
      <c r="A132" s="208" t="s">
        <v>178</v>
      </c>
      <c r="B132" s="5" t="s">
        <v>400</v>
      </c>
      <c r="C132" s="170"/>
      <c r="D132" s="259"/>
      <c r="E132" s="106"/>
    </row>
    <row r="133" spans="1:11" ht="12" customHeight="1" thickBot="1">
      <c r="A133" s="25" t="s">
        <v>10</v>
      </c>
      <c r="B133" s="59" t="s">
        <v>349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>
      <c r="A134" s="199" t="s">
        <v>56</v>
      </c>
      <c r="B134" s="7" t="s">
        <v>358</v>
      </c>
      <c r="C134" s="170"/>
      <c r="D134" s="259"/>
      <c r="E134" s="106"/>
    </row>
    <row r="135" spans="1:11" ht="12" customHeight="1">
      <c r="A135" s="199" t="s">
        <v>57</v>
      </c>
      <c r="B135" s="7" t="s">
        <v>350</v>
      </c>
      <c r="C135" s="170"/>
      <c r="D135" s="259"/>
      <c r="E135" s="106"/>
    </row>
    <row r="136" spans="1:11" ht="12" customHeight="1">
      <c r="A136" s="199" t="s">
        <v>58</v>
      </c>
      <c r="B136" s="7" t="s">
        <v>351</v>
      </c>
      <c r="C136" s="170"/>
      <c r="D136" s="259"/>
      <c r="E136" s="106"/>
    </row>
    <row r="137" spans="1:11" ht="12" customHeight="1">
      <c r="A137" s="199" t="s">
        <v>114</v>
      </c>
      <c r="B137" s="7" t="s">
        <v>399</v>
      </c>
      <c r="C137" s="170"/>
      <c r="D137" s="259"/>
      <c r="E137" s="106"/>
    </row>
    <row r="138" spans="1:11" ht="12" customHeight="1">
      <c r="A138" s="199" t="s">
        <v>115</v>
      </c>
      <c r="B138" s="7" t="s">
        <v>353</v>
      </c>
      <c r="C138" s="170"/>
      <c r="D138" s="259"/>
      <c r="E138" s="106"/>
    </row>
    <row r="139" spans="1:11" s="55" customFormat="1" ht="12" customHeight="1" thickBot="1">
      <c r="A139" s="208" t="s">
        <v>116</v>
      </c>
      <c r="B139" s="5" t="s">
        <v>354</v>
      </c>
      <c r="C139" s="170"/>
      <c r="D139" s="259"/>
      <c r="E139" s="106"/>
    </row>
    <row r="140" spans="1:11" ht="12" customHeight="1" thickBot="1">
      <c r="A140" s="25" t="s">
        <v>11</v>
      </c>
      <c r="B140" s="59" t="s">
        <v>414</v>
      </c>
      <c r="C140" s="175">
        <f>+C141+C142+C144+C145+C143</f>
        <v>13063577</v>
      </c>
      <c r="D140" s="261">
        <f>+D141+D142+D144+D145+D143</f>
        <v>16610412</v>
      </c>
      <c r="E140" s="211">
        <f>+E141+E142+E144+E145+E143</f>
        <v>16610412</v>
      </c>
      <c r="K140" s="98"/>
    </row>
    <row r="141" spans="1:11">
      <c r="A141" s="199" t="s">
        <v>59</v>
      </c>
      <c r="B141" s="7" t="s">
        <v>277</v>
      </c>
      <c r="C141" s="170"/>
      <c r="D141" s="259"/>
      <c r="E141" s="106"/>
    </row>
    <row r="142" spans="1:11" ht="12" customHeight="1">
      <c r="A142" s="199" t="s">
        <v>60</v>
      </c>
      <c r="B142" s="7" t="s">
        <v>278</v>
      </c>
      <c r="C142" s="170">
        <v>463577</v>
      </c>
      <c r="D142" s="259">
        <v>1758835</v>
      </c>
      <c r="E142" s="106">
        <v>1758835</v>
      </c>
    </row>
    <row r="143" spans="1:11" ht="12" customHeight="1">
      <c r="A143" s="199" t="s">
        <v>194</v>
      </c>
      <c r="B143" s="7" t="s">
        <v>413</v>
      </c>
      <c r="C143" s="170">
        <v>12600000</v>
      </c>
      <c r="D143" s="259">
        <v>14851577</v>
      </c>
      <c r="E143" s="106">
        <v>14851577</v>
      </c>
    </row>
    <row r="144" spans="1:11" s="55" customFormat="1" ht="12" customHeight="1">
      <c r="A144" s="199" t="s">
        <v>195</v>
      </c>
      <c r="B144" s="7" t="s">
        <v>363</v>
      </c>
      <c r="C144" s="170"/>
      <c r="D144" s="259"/>
      <c r="E144" s="106"/>
    </row>
    <row r="145" spans="1:5" s="55" customFormat="1" ht="12" customHeight="1" thickBot="1">
      <c r="A145" s="208" t="s">
        <v>196</v>
      </c>
      <c r="B145" s="5" t="s">
        <v>293</v>
      </c>
      <c r="C145" s="170"/>
      <c r="D145" s="259"/>
      <c r="E145" s="106"/>
    </row>
    <row r="146" spans="1:5" s="55" customFormat="1" ht="12" customHeight="1" thickBot="1">
      <c r="A146" s="25" t="s">
        <v>12</v>
      </c>
      <c r="B146" s="59" t="s">
        <v>364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>
      <c r="A147" s="199" t="s">
        <v>61</v>
      </c>
      <c r="B147" s="7" t="s">
        <v>359</v>
      </c>
      <c r="C147" s="170"/>
      <c r="D147" s="259"/>
      <c r="E147" s="106"/>
    </row>
    <row r="148" spans="1:5" s="55" customFormat="1" ht="12" customHeight="1">
      <c r="A148" s="199" t="s">
        <v>62</v>
      </c>
      <c r="B148" s="7" t="s">
        <v>366</v>
      </c>
      <c r="C148" s="170"/>
      <c r="D148" s="259"/>
      <c r="E148" s="106"/>
    </row>
    <row r="149" spans="1:5" s="55" customFormat="1" ht="12" customHeight="1">
      <c r="A149" s="199" t="s">
        <v>206</v>
      </c>
      <c r="B149" s="7" t="s">
        <v>361</v>
      </c>
      <c r="C149" s="170"/>
      <c r="D149" s="259"/>
      <c r="E149" s="106"/>
    </row>
    <row r="150" spans="1:5" s="55" customFormat="1" ht="12" customHeight="1">
      <c r="A150" s="199" t="s">
        <v>207</v>
      </c>
      <c r="B150" s="7" t="s">
        <v>402</v>
      </c>
      <c r="C150" s="170"/>
      <c r="D150" s="259"/>
      <c r="E150" s="106"/>
    </row>
    <row r="151" spans="1:5" ht="12.75" customHeight="1" thickBot="1">
      <c r="A151" s="208" t="s">
        <v>365</v>
      </c>
      <c r="B151" s="5" t="s">
        <v>368</v>
      </c>
      <c r="C151" s="172"/>
      <c r="D151" s="260"/>
      <c r="E151" s="108"/>
    </row>
    <row r="152" spans="1:5" ht="12.75" customHeight="1" thickBot="1">
      <c r="A152" s="239" t="s">
        <v>13</v>
      </c>
      <c r="B152" s="59" t="s">
        <v>369</v>
      </c>
      <c r="C152" s="250"/>
      <c r="D152" s="262"/>
      <c r="E152" s="244"/>
    </row>
    <row r="153" spans="1:5" ht="12.75" customHeight="1" thickBot="1">
      <c r="A153" s="239" t="s">
        <v>14</v>
      </c>
      <c r="B153" s="59" t="s">
        <v>370</v>
      </c>
      <c r="C153" s="250"/>
      <c r="D153" s="262"/>
      <c r="E153" s="244"/>
    </row>
    <row r="154" spans="1:5" ht="12" customHeight="1" thickBot="1">
      <c r="A154" s="25" t="s">
        <v>15</v>
      </c>
      <c r="B154" s="59" t="s">
        <v>372</v>
      </c>
      <c r="C154" s="252">
        <f>+C129+C133+C140+C146+C152+C153</f>
        <v>13063577</v>
      </c>
      <c r="D154" s="264">
        <f>+D129+D133+D140+D146+D152+D153</f>
        <v>16610412</v>
      </c>
      <c r="E154" s="246">
        <f>+E129+E133+E140+E146+E152+E153</f>
        <v>16610412</v>
      </c>
    </row>
    <row r="155" spans="1:5" ht="15.2" customHeight="1" thickBot="1">
      <c r="A155" s="210" t="s">
        <v>16</v>
      </c>
      <c r="B155" s="156" t="s">
        <v>371</v>
      </c>
      <c r="C155" s="252">
        <f>+C128+C154</f>
        <v>180487717</v>
      </c>
      <c r="D155" s="264">
        <f>+D128+D154</f>
        <v>196466967</v>
      </c>
      <c r="E155" s="246">
        <f>+E128+E154</f>
        <v>100405024</v>
      </c>
    </row>
    <row r="156" spans="1:5" ht="13.5" thickBot="1">
      <c r="A156" s="159"/>
      <c r="B156" s="160"/>
      <c r="C156" s="660">
        <f>C90-C155</f>
        <v>0</v>
      </c>
      <c r="D156" s="660">
        <f>D90-D155</f>
        <v>0</v>
      </c>
      <c r="E156" s="161"/>
    </row>
    <row r="157" spans="1:5" ht="15.2" customHeight="1" thickBot="1">
      <c r="A157" s="96" t="s">
        <v>482</v>
      </c>
      <c r="B157" s="97"/>
      <c r="C157" s="296"/>
      <c r="D157" s="296"/>
      <c r="E157" s="295"/>
    </row>
    <row r="158" spans="1:5" ht="14.45" customHeight="1" thickBot="1">
      <c r="A158" s="96" t="s">
        <v>483</v>
      </c>
      <c r="B158" s="97"/>
      <c r="C158" s="296"/>
      <c r="D158" s="296"/>
      <c r="E158" s="295"/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91" zoomScale="120" zoomScaleNormal="120" zoomScaleSheetLayoutView="100" workbookViewId="0">
      <selection activeCell="C159" sqref="C159"/>
    </sheetView>
  </sheetViews>
  <sheetFormatPr defaultRowHeight="12.75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328"/>
      <c r="B1" s="854" t="str">
        <f>CONCATENATE("6.1.1. melléklet ",Z_ALAPADATOK!A7," ",Z_ALAPADATOK!B7," ",Z_ALAPADATOK!C7," ",Z_ALAPADATOK!D7," ",Z_ALAPADATOK!E7," ",Z_ALAPADATOK!F7," ",Z_ALAPADATOK!G7," ",Z_ALAPADATOK!H7)</f>
        <v>6.1.1. melléklet a … / 2021. ( … ) önkormányzati rendelethez</v>
      </c>
      <c r="C1" s="855"/>
      <c r="D1" s="855"/>
      <c r="E1" s="855"/>
    </row>
    <row r="2" spans="1:5" s="51" customFormat="1" ht="21.2" customHeight="1" thickBot="1">
      <c r="A2" s="337" t="s">
        <v>44</v>
      </c>
      <c r="B2" s="853" t="str">
        <f>CONCATENATE(Z_ALAPADATOK!A3)</f>
        <v>Borsodivánka Község Önkormányzata</v>
      </c>
      <c r="C2" s="853"/>
      <c r="D2" s="853"/>
      <c r="E2" s="338" t="s">
        <v>38</v>
      </c>
    </row>
    <row r="3" spans="1:5" s="51" customFormat="1" ht="24.75" thickBot="1">
      <c r="A3" s="337" t="s">
        <v>134</v>
      </c>
      <c r="B3" s="853" t="s">
        <v>320</v>
      </c>
      <c r="C3" s="853"/>
      <c r="D3" s="853"/>
      <c r="E3" s="339" t="s">
        <v>42</v>
      </c>
    </row>
    <row r="4" spans="1:5" s="52" customFormat="1" ht="15.95" customHeight="1" thickBot="1">
      <c r="A4" s="331"/>
      <c r="B4" s="331"/>
      <c r="C4" s="332"/>
      <c r="D4" s="333"/>
      <c r="E4" s="332" t="str">
        <f>Z_6.1.sz.mell!E4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CONCATENATE(Z_6.1.sz.mell!E5)</f>
        <v>Teljesítés
2020. XII. 31.</v>
      </c>
    </row>
    <row r="6" spans="1:5" s="47" customFormat="1" ht="12.95" customHeight="1" thickBot="1">
      <c r="A6" s="77" t="s">
        <v>382</v>
      </c>
      <c r="B6" s="78" t="s">
        <v>383</v>
      </c>
      <c r="C6" s="78" t="s">
        <v>384</v>
      </c>
      <c r="D6" s="290" t="s">
        <v>386</v>
      </c>
      <c r="E6" s="79" t="s">
        <v>385</v>
      </c>
    </row>
    <row r="7" spans="1:5" s="47" customFormat="1" ht="15.95" customHeight="1" thickBot="1">
      <c r="A7" s="850" t="s">
        <v>39</v>
      </c>
      <c r="B7" s="851"/>
      <c r="C7" s="851"/>
      <c r="D7" s="851"/>
      <c r="E7" s="852"/>
    </row>
    <row r="8" spans="1:5" s="47" customFormat="1" ht="12" customHeight="1" thickBot="1">
      <c r="A8" s="25" t="s">
        <v>6</v>
      </c>
      <c r="B8" s="19" t="s">
        <v>161</v>
      </c>
      <c r="C8" s="169">
        <f>+C9+C10+C11+C12+C13+C14</f>
        <v>11589426</v>
      </c>
      <c r="D8" s="257">
        <f>+D9+D10+D11+D12+D13+D14</f>
        <v>18642576</v>
      </c>
      <c r="E8" s="105">
        <f>+E9+E10+E11+E12+E13+E14</f>
        <v>18642576</v>
      </c>
    </row>
    <row r="9" spans="1:5" s="53" customFormat="1" ht="12" customHeight="1">
      <c r="A9" s="199" t="s">
        <v>63</v>
      </c>
      <c r="B9" s="182" t="s">
        <v>162</v>
      </c>
      <c r="C9" s="171">
        <v>1883804</v>
      </c>
      <c r="D9" s="258">
        <v>1901292</v>
      </c>
      <c r="E9" s="107">
        <v>1901292</v>
      </c>
    </row>
    <row r="10" spans="1:5" s="54" customFormat="1" ht="12" customHeight="1">
      <c r="A10" s="200" t="s">
        <v>64</v>
      </c>
      <c r="B10" s="183" t="s">
        <v>163</v>
      </c>
      <c r="C10" s="170"/>
      <c r="D10" s="259"/>
      <c r="E10" s="106"/>
    </row>
    <row r="11" spans="1:5" s="54" customFormat="1" ht="12" customHeight="1">
      <c r="A11" s="200" t="s">
        <v>65</v>
      </c>
      <c r="B11" s="183" t="s">
        <v>164</v>
      </c>
      <c r="C11" s="170">
        <v>7905622</v>
      </c>
      <c r="D11" s="259">
        <v>14073614</v>
      </c>
      <c r="E11" s="106">
        <v>14073614</v>
      </c>
    </row>
    <row r="12" spans="1:5" s="54" customFormat="1" ht="12" customHeight="1">
      <c r="A12" s="200" t="s">
        <v>66</v>
      </c>
      <c r="B12" s="183" t="s">
        <v>165</v>
      </c>
      <c r="C12" s="170">
        <v>1800000</v>
      </c>
      <c r="D12" s="259">
        <v>2089820</v>
      </c>
      <c r="E12" s="106">
        <v>2089820</v>
      </c>
    </row>
    <row r="13" spans="1:5" s="54" customFormat="1" ht="12" customHeight="1">
      <c r="A13" s="200" t="s">
        <v>97</v>
      </c>
      <c r="B13" s="183" t="s">
        <v>390</v>
      </c>
      <c r="C13" s="170"/>
      <c r="D13" s="259">
        <v>577850</v>
      </c>
      <c r="E13" s="106">
        <v>577850</v>
      </c>
    </row>
    <row r="14" spans="1:5" s="53" customFormat="1" ht="12" customHeight="1" thickBot="1">
      <c r="A14" s="201" t="s">
        <v>67</v>
      </c>
      <c r="B14" s="184" t="s">
        <v>332</v>
      </c>
      <c r="C14" s="170"/>
      <c r="D14" s="259"/>
      <c r="E14" s="106"/>
    </row>
    <row r="15" spans="1:5" s="53" customFormat="1" ht="12" customHeight="1" thickBot="1">
      <c r="A15" s="25" t="s">
        <v>7</v>
      </c>
      <c r="B15" s="112" t="s">
        <v>166</v>
      </c>
      <c r="C15" s="169">
        <f>+C16+C17+C18+C19+C20</f>
        <v>13592850</v>
      </c>
      <c r="D15" s="257">
        <f>+D16+D17+D18+D19+D20</f>
        <v>20641962</v>
      </c>
      <c r="E15" s="105">
        <f>+E16+E17+E18+E19+E20</f>
        <v>31211511</v>
      </c>
    </row>
    <row r="16" spans="1:5" s="53" customFormat="1" ht="12" customHeight="1">
      <c r="A16" s="199" t="s">
        <v>69</v>
      </c>
      <c r="B16" s="182" t="s">
        <v>167</v>
      </c>
      <c r="C16" s="171"/>
      <c r="D16" s="258"/>
      <c r="E16" s="107"/>
    </row>
    <row r="17" spans="1:5" s="53" customFormat="1" ht="12" customHeight="1">
      <c r="A17" s="200" t="s">
        <v>70</v>
      </c>
      <c r="B17" s="183" t="s">
        <v>168</v>
      </c>
      <c r="C17" s="170"/>
      <c r="D17" s="259"/>
      <c r="E17" s="106"/>
    </row>
    <row r="18" spans="1:5" s="53" customFormat="1" ht="12" customHeight="1">
      <c r="A18" s="200" t="s">
        <v>71</v>
      </c>
      <c r="B18" s="183" t="s">
        <v>323</v>
      </c>
      <c r="C18" s="170"/>
      <c r="D18" s="259"/>
      <c r="E18" s="106"/>
    </row>
    <row r="19" spans="1:5" s="53" customFormat="1" ht="12" customHeight="1">
      <c r="A19" s="200" t="s">
        <v>72</v>
      </c>
      <c r="B19" s="183" t="s">
        <v>324</v>
      </c>
      <c r="C19" s="170"/>
      <c r="D19" s="259"/>
      <c r="E19" s="106"/>
    </row>
    <row r="20" spans="1:5" s="53" customFormat="1" ht="12" customHeight="1">
      <c r="A20" s="200" t="s">
        <v>73</v>
      </c>
      <c r="B20" s="183" t="s">
        <v>169</v>
      </c>
      <c r="C20" s="170">
        <v>13592850</v>
      </c>
      <c r="D20" s="259">
        <v>20641962</v>
      </c>
      <c r="E20" s="106">
        <v>31211511</v>
      </c>
    </row>
    <row r="21" spans="1:5" s="54" customFormat="1" ht="12" customHeight="1" thickBot="1">
      <c r="A21" s="201" t="s">
        <v>80</v>
      </c>
      <c r="B21" s="184" t="s">
        <v>170</v>
      </c>
      <c r="C21" s="172"/>
      <c r="D21" s="260"/>
      <c r="E21" s="108"/>
    </row>
    <row r="22" spans="1:5" s="54" customFormat="1" ht="12" customHeight="1" thickBot="1">
      <c r="A22" s="25" t="s">
        <v>8</v>
      </c>
      <c r="B22" s="19" t="s">
        <v>171</v>
      </c>
      <c r="C22" s="169">
        <f>+C23+C24+C25+C26+C27</f>
        <v>0</v>
      </c>
      <c r="D22" s="257">
        <f>+D23+D24+D25+D26+D27</f>
        <v>1602874</v>
      </c>
      <c r="E22" s="105">
        <f>+E23+E24+E25+E26+E27</f>
        <v>7907940</v>
      </c>
    </row>
    <row r="23" spans="1:5" s="54" customFormat="1" ht="12" customHeight="1">
      <c r="A23" s="199" t="s">
        <v>52</v>
      </c>
      <c r="B23" s="182" t="s">
        <v>172</v>
      </c>
      <c r="C23" s="171"/>
      <c r="D23" s="258"/>
      <c r="E23" s="107"/>
    </row>
    <row r="24" spans="1:5" s="53" customFormat="1" ht="12" customHeight="1">
      <c r="A24" s="200" t="s">
        <v>53</v>
      </c>
      <c r="B24" s="183" t="s">
        <v>173</v>
      </c>
      <c r="C24" s="170"/>
      <c r="D24" s="259"/>
      <c r="E24" s="106"/>
    </row>
    <row r="25" spans="1:5" s="54" customFormat="1" ht="12" customHeight="1">
      <c r="A25" s="200" t="s">
        <v>54</v>
      </c>
      <c r="B25" s="183" t="s">
        <v>325</v>
      </c>
      <c r="C25" s="170"/>
      <c r="D25" s="259"/>
      <c r="E25" s="106"/>
    </row>
    <row r="26" spans="1:5" s="54" customFormat="1" ht="12" customHeight="1">
      <c r="A26" s="200" t="s">
        <v>55</v>
      </c>
      <c r="B26" s="183" t="s">
        <v>326</v>
      </c>
      <c r="C26" s="170"/>
      <c r="D26" s="259"/>
      <c r="E26" s="106"/>
    </row>
    <row r="27" spans="1:5" s="54" customFormat="1" ht="12" customHeight="1">
      <c r="A27" s="200" t="s">
        <v>110</v>
      </c>
      <c r="B27" s="183" t="s">
        <v>174</v>
      </c>
      <c r="C27" s="170"/>
      <c r="D27" s="259">
        <v>1602874</v>
      </c>
      <c r="E27" s="106">
        <v>7907940</v>
      </c>
    </row>
    <row r="28" spans="1:5" s="54" customFormat="1" ht="12" customHeight="1" thickBot="1">
      <c r="A28" s="201" t="s">
        <v>111</v>
      </c>
      <c r="B28" s="184" t="s">
        <v>175</v>
      </c>
      <c r="C28" s="172"/>
      <c r="D28" s="260"/>
      <c r="E28" s="108"/>
    </row>
    <row r="29" spans="1:5" s="54" customFormat="1" ht="12" customHeight="1" thickBot="1">
      <c r="A29" s="25" t="s">
        <v>112</v>
      </c>
      <c r="B29" s="19" t="s">
        <v>473</v>
      </c>
      <c r="C29" s="175">
        <f>SUM(C30:C36)</f>
        <v>37017000</v>
      </c>
      <c r="D29" s="175">
        <f>SUM(D30:D36)</f>
        <v>35981813</v>
      </c>
      <c r="E29" s="211">
        <f>SUM(E30:E36)</f>
        <v>33298878</v>
      </c>
    </row>
    <row r="30" spans="1:5" s="54" customFormat="1" ht="12" customHeight="1">
      <c r="A30" s="199" t="s">
        <v>176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>
      <c r="A31" s="200" t="s">
        <v>177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>
      <c r="A32" s="200" t="s">
        <v>178</v>
      </c>
      <c r="B32" s="182" t="str">
        <f>Z_1.1.sz.mell.!B35</f>
        <v>Iparűzési adó</v>
      </c>
      <c r="C32" s="170">
        <v>34000000</v>
      </c>
      <c r="D32" s="170">
        <v>34000000</v>
      </c>
      <c r="E32" s="106">
        <v>33170383</v>
      </c>
    </row>
    <row r="33" spans="1:5" s="54" customFormat="1" ht="12" customHeight="1">
      <c r="A33" s="200" t="s">
        <v>179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>
      <c r="A34" s="200" t="s">
        <v>477</v>
      </c>
      <c r="B34" s="182" t="str">
        <f>Z_1.1.sz.mell.!B37</f>
        <v>Gépjárműadó</v>
      </c>
      <c r="C34" s="170">
        <v>1500000</v>
      </c>
      <c r="D34" s="170">
        <v>877072</v>
      </c>
      <c r="E34" s="106"/>
    </row>
    <row r="35" spans="1:5" s="54" customFormat="1" ht="12" customHeight="1">
      <c r="A35" s="200" t="s">
        <v>478</v>
      </c>
      <c r="B35" s="182" t="str">
        <f>Z_1.1.sz.mell.!B38</f>
        <v>Egyéb közhatalmi bevételek</v>
      </c>
      <c r="C35" s="170">
        <v>1517000</v>
      </c>
      <c r="D35" s="170">
        <v>1104741</v>
      </c>
      <c r="E35" s="106">
        <v>128495</v>
      </c>
    </row>
    <row r="36" spans="1:5" s="54" customFormat="1" ht="12" customHeight="1" thickBot="1">
      <c r="A36" s="201" t="s">
        <v>479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>
      <c r="A37" s="25" t="s">
        <v>10</v>
      </c>
      <c r="B37" s="19" t="s">
        <v>333</v>
      </c>
      <c r="C37" s="169">
        <f>SUM(C38:C48)</f>
        <v>5356573</v>
      </c>
      <c r="D37" s="257">
        <f>SUM(D38:D48)</f>
        <v>5356573</v>
      </c>
      <c r="E37" s="105">
        <f>SUM(E38:E48)</f>
        <v>7036452</v>
      </c>
    </row>
    <row r="38" spans="1:5" s="54" customFormat="1" ht="12" customHeight="1">
      <c r="A38" s="199" t="s">
        <v>56</v>
      </c>
      <c r="B38" s="182" t="s">
        <v>183</v>
      </c>
      <c r="C38" s="171"/>
      <c r="D38" s="258"/>
      <c r="E38" s="107">
        <v>9800</v>
      </c>
    </row>
    <row r="39" spans="1:5" s="54" customFormat="1" ht="12" customHeight="1">
      <c r="A39" s="200" t="s">
        <v>57</v>
      </c>
      <c r="B39" s="183" t="s">
        <v>184</v>
      </c>
      <c r="C39" s="170">
        <v>4650000</v>
      </c>
      <c r="D39" s="259">
        <v>4650000</v>
      </c>
      <c r="E39" s="106">
        <v>4845149</v>
      </c>
    </row>
    <row r="40" spans="1:5" s="54" customFormat="1" ht="12" customHeight="1">
      <c r="A40" s="200" t="s">
        <v>58</v>
      </c>
      <c r="B40" s="183" t="s">
        <v>185</v>
      </c>
      <c r="C40" s="170">
        <v>706573</v>
      </c>
      <c r="D40" s="259">
        <v>706573</v>
      </c>
      <c r="E40" s="106">
        <v>1620533</v>
      </c>
    </row>
    <row r="41" spans="1:5" s="54" customFormat="1" ht="12" customHeight="1">
      <c r="A41" s="200" t="s">
        <v>114</v>
      </c>
      <c r="B41" s="183" t="s">
        <v>186</v>
      </c>
      <c r="C41" s="170"/>
      <c r="D41" s="259"/>
      <c r="E41" s="106"/>
    </row>
    <row r="42" spans="1:5" s="54" customFormat="1" ht="12" customHeight="1">
      <c r="A42" s="200" t="s">
        <v>115</v>
      </c>
      <c r="B42" s="183" t="s">
        <v>187</v>
      </c>
      <c r="C42" s="170"/>
      <c r="D42" s="259"/>
      <c r="E42" s="106">
        <v>181883</v>
      </c>
    </row>
    <row r="43" spans="1:5" s="54" customFormat="1" ht="12" customHeight="1">
      <c r="A43" s="200" t="s">
        <v>116</v>
      </c>
      <c r="B43" s="183" t="s">
        <v>188</v>
      </c>
      <c r="C43" s="170"/>
      <c r="D43" s="259"/>
      <c r="E43" s="106"/>
    </row>
    <row r="44" spans="1:5" s="54" customFormat="1" ht="12" customHeight="1">
      <c r="A44" s="200" t="s">
        <v>117</v>
      </c>
      <c r="B44" s="183" t="s">
        <v>189</v>
      </c>
      <c r="C44" s="170"/>
      <c r="D44" s="259"/>
      <c r="E44" s="106"/>
    </row>
    <row r="45" spans="1:5" s="54" customFormat="1" ht="12" customHeight="1">
      <c r="A45" s="200" t="s">
        <v>118</v>
      </c>
      <c r="B45" s="183" t="s">
        <v>480</v>
      </c>
      <c r="C45" s="170"/>
      <c r="D45" s="259"/>
      <c r="E45" s="106"/>
    </row>
    <row r="46" spans="1:5" s="54" customFormat="1" ht="12" customHeight="1">
      <c r="A46" s="200" t="s">
        <v>181</v>
      </c>
      <c r="B46" s="183" t="s">
        <v>191</v>
      </c>
      <c r="C46" s="173"/>
      <c r="D46" s="291"/>
      <c r="E46" s="109"/>
    </row>
    <row r="47" spans="1:5" s="54" customFormat="1" ht="12" customHeight="1">
      <c r="A47" s="201" t="s">
        <v>182</v>
      </c>
      <c r="B47" s="184" t="s">
        <v>335</v>
      </c>
      <c r="C47" s="174"/>
      <c r="D47" s="292"/>
      <c r="E47" s="110"/>
    </row>
    <row r="48" spans="1:5" s="54" customFormat="1" ht="12" customHeight="1" thickBot="1">
      <c r="A48" s="201" t="s">
        <v>334</v>
      </c>
      <c r="B48" s="184" t="s">
        <v>192</v>
      </c>
      <c r="C48" s="174"/>
      <c r="D48" s="292"/>
      <c r="E48" s="110">
        <v>379087</v>
      </c>
    </row>
    <row r="49" spans="1:5" s="54" customFormat="1" ht="12" customHeight="1" thickBot="1">
      <c r="A49" s="25" t="s">
        <v>11</v>
      </c>
      <c r="B49" s="19" t="s">
        <v>193</v>
      </c>
      <c r="C49" s="169">
        <f>SUM(C50:C54)</f>
        <v>0</v>
      </c>
      <c r="D49" s="257">
        <f>SUM(D50:D54)</f>
        <v>0</v>
      </c>
      <c r="E49" s="105">
        <f>SUM(E50:E54)</f>
        <v>4000000</v>
      </c>
    </row>
    <row r="50" spans="1:5" s="54" customFormat="1" ht="12" customHeight="1">
      <c r="A50" s="199" t="s">
        <v>59</v>
      </c>
      <c r="B50" s="182" t="s">
        <v>197</v>
      </c>
      <c r="C50" s="222"/>
      <c r="D50" s="293"/>
      <c r="E50" s="111"/>
    </row>
    <row r="51" spans="1:5" s="54" customFormat="1" ht="12" customHeight="1">
      <c r="A51" s="200" t="s">
        <v>60</v>
      </c>
      <c r="B51" s="183" t="s">
        <v>198</v>
      </c>
      <c r="C51" s="173"/>
      <c r="D51" s="291"/>
      <c r="E51" s="109">
        <v>4000000</v>
      </c>
    </row>
    <row r="52" spans="1:5" s="54" customFormat="1" ht="12" customHeight="1">
      <c r="A52" s="200" t="s">
        <v>194</v>
      </c>
      <c r="B52" s="183" t="s">
        <v>199</v>
      </c>
      <c r="C52" s="173"/>
      <c r="D52" s="291"/>
      <c r="E52" s="109"/>
    </row>
    <row r="53" spans="1:5" s="54" customFormat="1" ht="12" customHeight="1">
      <c r="A53" s="200" t="s">
        <v>195</v>
      </c>
      <c r="B53" s="183" t="s">
        <v>200</v>
      </c>
      <c r="C53" s="173"/>
      <c r="D53" s="291"/>
      <c r="E53" s="109"/>
    </row>
    <row r="54" spans="1:5" s="54" customFormat="1" ht="12" customHeight="1" thickBot="1">
      <c r="A54" s="201" t="s">
        <v>196</v>
      </c>
      <c r="B54" s="184" t="s">
        <v>201</v>
      </c>
      <c r="C54" s="174"/>
      <c r="D54" s="292"/>
      <c r="E54" s="110"/>
    </row>
    <row r="55" spans="1:5" s="54" customFormat="1" ht="12" customHeight="1" thickBot="1">
      <c r="A55" s="25" t="s">
        <v>119</v>
      </c>
      <c r="B55" s="19" t="s">
        <v>202</v>
      </c>
      <c r="C55" s="169">
        <f>SUM(C56:C58)</f>
        <v>0</v>
      </c>
      <c r="D55" s="257">
        <f>SUM(D56:D58)</f>
        <v>0</v>
      </c>
      <c r="E55" s="105">
        <f>SUM(E56:E58)</f>
        <v>100000</v>
      </c>
    </row>
    <row r="56" spans="1:5" s="54" customFormat="1" ht="12" customHeight="1">
      <c r="A56" s="199" t="s">
        <v>61</v>
      </c>
      <c r="B56" s="182" t="s">
        <v>203</v>
      </c>
      <c r="C56" s="171"/>
      <c r="D56" s="258"/>
      <c r="E56" s="107"/>
    </row>
    <row r="57" spans="1:5" s="54" customFormat="1" ht="12" customHeight="1">
      <c r="A57" s="200" t="s">
        <v>62</v>
      </c>
      <c r="B57" s="183" t="s">
        <v>327</v>
      </c>
      <c r="C57" s="170"/>
      <c r="D57" s="259"/>
      <c r="E57" s="106"/>
    </row>
    <row r="58" spans="1:5" s="54" customFormat="1" ht="12" customHeight="1">
      <c r="A58" s="200" t="s">
        <v>206</v>
      </c>
      <c r="B58" s="183" t="s">
        <v>204</v>
      </c>
      <c r="C58" s="170"/>
      <c r="D58" s="259"/>
      <c r="E58" s="106">
        <v>100000</v>
      </c>
    </row>
    <row r="59" spans="1:5" s="54" customFormat="1" ht="12" customHeight="1" thickBot="1">
      <c r="A59" s="201" t="s">
        <v>207</v>
      </c>
      <c r="B59" s="184" t="s">
        <v>205</v>
      </c>
      <c r="C59" s="172"/>
      <c r="D59" s="260"/>
      <c r="E59" s="108"/>
    </row>
    <row r="60" spans="1:5" s="54" customFormat="1" ht="12" customHeight="1" thickBot="1">
      <c r="A60" s="25" t="s">
        <v>13</v>
      </c>
      <c r="B60" s="112" t="s">
        <v>208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>
      <c r="A61" s="199" t="s">
        <v>120</v>
      </c>
      <c r="B61" s="182" t="s">
        <v>210</v>
      </c>
      <c r="C61" s="173"/>
      <c r="D61" s="291"/>
      <c r="E61" s="109"/>
    </row>
    <row r="62" spans="1:5" s="54" customFormat="1" ht="12" customHeight="1">
      <c r="A62" s="200" t="s">
        <v>121</v>
      </c>
      <c r="B62" s="183" t="s">
        <v>328</v>
      </c>
      <c r="C62" s="173"/>
      <c r="D62" s="291"/>
      <c r="E62" s="109"/>
    </row>
    <row r="63" spans="1:5" s="54" customFormat="1" ht="12" customHeight="1">
      <c r="A63" s="200" t="s">
        <v>143</v>
      </c>
      <c r="B63" s="183" t="s">
        <v>211</v>
      </c>
      <c r="C63" s="173"/>
      <c r="D63" s="291"/>
      <c r="E63" s="109"/>
    </row>
    <row r="64" spans="1:5" s="54" customFormat="1" ht="12" customHeight="1" thickBot="1">
      <c r="A64" s="201" t="s">
        <v>209</v>
      </c>
      <c r="B64" s="184" t="s">
        <v>212</v>
      </c>
      <c r="C64" s="173"/>
      <c r="D64" s="291"/>
      <c r="E64" s="109"/>
    </row>
    <row r="65" spans="1:5" s="54" customFormat="1" ht="12" customHeight="1" thickBot="1">
      <c r="A65" s="25" t="s">
        <v>14</v>
      </c>
      <c r="B65" s="19" t="s">
        <v>213</v>
      </c>
      <c r="C65" s="175">
        <f>+C8+C15+C22+C29+C37+C49+C55+C60</f>
        <v>67555849</v>
      </c>
      <c r="D65" s="261">
        <f>+D8+D15+D22+D29+D37+D49+D55+D60</f>
        <v>82225798</v>
      </c>
      <c r="E65" s="211">
        <f>+E8+E15+E22+E29+E37+E49+E55+E60</f>
        <v>102197357</v>
      </c>
    </row>
    <row r="66" spans="1:5" s="54" customFormat="1" ht="12" customHeight="1" thickBot="1">
      <c r="A66" s="202" t="s">
        <v>297</v>
      </c>
      <c r="B66" s="112" t="s">
        <v>215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>
      <c r="A67" s="199" t="s">
        <v>243</v>
      </c>
      <c r="B67" s="182" t="s">
        <v>216</v>
      </c>
      <c r="C67" s="173"/>
      <c r="D67" s="291"/>
      <c r="E67" s="109"/>
    </row>
    <row r="68" spans="1:5" s="54" customFormat="1" ht="12" customHeight="1">
      <c r="A68" s="200" t="s">
        <v>252</v>
      </c>
      <c r="B68" s="183" t="s">
        <v>217</v>
      </c>
      <c r="C68" s="173"/>
      <c r="D68" s="291"/>
      <c r="E68" s="109"/>
    </row>
    <row r="69" spans="1:5" s="54" customFormat="1" ht="12" customHeight="1" thickBot="1">
      <c r="A69" s="209" t="s">
        <v>253</v>
      </c>
      <c r="B69" s="325" t="s">
        <v>360</v>
      </c>
      <c r="C69" s="326"/>
      <c r="D69" s="294"/>
      <c r="E69" s="327"/>
    </row>
    <row r="70" spans="1:5" s="54" customFormat="1" ht="12" customHeight="1" thickBot="1">
      <c r="A70" s="202" t="s">
        <v>219</v>
      </c>
      <c r="B70" s="112" t="s">
        <v>220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>
      <c r="A71" s="199" t="s">
        <v>98</v>
      </c>
      <c r="B71" s="312" t="s">
        <v>221</v>
      </c>
      <c r="C71" s="173"/>
      <c r="D71" s="173"/>
      <c r="E71" s="109"/>
    </row>
    <row r="72" spans="1:5" s="54" customFormat="1" ht="12" customHeight="1">
      <c r="A72" s="200" t="s">
        <v>99</v>
      </c>
      <c r="B72" s="312" t="s">
        <v>487</v>
      </c>
      <c r="C72" s="173"/>
      <c r="D72" s="173"/>
      <c r="E72" s="109"/>
    </row>
    <row r="73" spans="1:5" s="54" customFormat="1" ht="12" customHeight="1">
      <c r="A73" s="200" t="s">
        <v>244</v>
      </c>
      <c r="B73" s="312" t="s">
        <v>222</v>
      </c>
      <c r="C73" s="173"/>
      <c r="D73" s="173"/>
      <c r="E73" s="109"/>
    </row>
    <row r="74" spans="1:5" s="54" customFormat="1" ht="12" customHeight="1" thickBot="1">
      <c r="A74" s="201" t="s">
        <v>245</v>
      </c>
      <c r="B74" s="313" t="s">
        <v>488</v>
      </c>
      <c r="C74" s="173"/>
      <c r="D74" s="173"/>
      <c r="E74" s="109"/>
    </row>
    <row r="75" spans="1:5" s="54" customFormat="1" ht="12" customHeight="1" thickBot="1">
      <c r="A75" s="202" t="s">
        <v>223</v>
      </c>
      <c r="B75" s="112" t="s">
        <v>224</v>
      </c>
      <c r="C75" s="169">
        <f>SUM(C76:C77)</f>
        <v>112931868</v>
      </c>
      <c r="D75" s="169">
        <f>SUM(D76:D77)</f>
        <v>112931868</v>
      </c>
      <c r="E75" s="105">
        <f>SUM(E76:E77)</f>
        <v>108636385</v>
      </c>
    </row>
    <row r="76" spans="1:5" s="54" customFormat="1" ht="12" customHeight="1">
      <c r="A76" s="199" t="s">
        <v>246</v>
      </c>
      <c r="B76" s="182" t="s">
        <v>225</v>
      </c>
      <c r="C76" s="173">
        <v>112931868</v>
      </c>
      <c r="D76" s="173">
        <v>112931868</v>
      </c>
      <c r="E76" s="109">
        <v>108636385</v>
      </c>
    </row>
    <row r="77" spans="1:5" s="54" customFormat="1" ht="12" customHeight="1" thickBot="1">
      <c r="A77" s="201" t="s">
        <v>247</v>
      </c>
      <c r="B77" s="184" t="s">
        <v>226</v>
      </c>
      <c r="C77" s="173"/>
      <c r="D77" s="173"/>
      <c r="E77" s="109"/>
    </row>
    <row r="78" spans="1:5" s="53" customFormat="1" ht="12" customHeight="1" thickBot="1">
      <c r="A78" s="202" t="s">
        <v>227</v>
      </c>
      <c r="B78" s="112" t="s">
        <v>228</v>
      </c>
      <c r="C78" s="169">
        <f>SUM(C79:C81)</f>
        <v>0</v>
      </c>
      <c r="D78" s="169">
        <f>SUM(D79:D81)</f>
        <v>1309301</v>
      </c>
      <c r="E78" s="105">
        <f>SUM(E79:E81)</f>
        <v>2400550</v>
      </c>
    </row>
    <row r="79" spans="1:5" s="54" customFormat="1" ht="12" customHeight="1">
      <c r="A79" s="199" t="s">
        <v>248</v>
      </c>
      <c r="B79" s="182" t="s">
        <v>229</v>
      </c>
      <c r="C79" s="173"/>
      <c r="D79" s="173">
        <v>1309301</v>
      </c>
      <c r="E79" s="109">
        <v>2400550</v>
      </c>
    </row>
    <row r="80" spans="1:5" s="54" customFormat="1" ht="12" customHeight="1">
      <c r="A80" s="200" t="s">
        <v>249</v>
      </c>
      <c r="B80" s="183" t="s">
        <v>230</v>
      </c>
      <c r="C80" s="173"/>
      <c r="D80" s="173"/>
      <c r="E80" s="109"/>
    </row>
    <row r="81" spans="1:5" s="54" customFormat="1" ht="12" customHeight="1" thickBot="1">
      <c r="A81" s="201" t="s">
        <v>250</v>
      </c>
      <c r="B81" s="184" t="s">
        <v>489</v>
      </c>
      <c r="C81" s="173"/>
      <c r="D81" s="173"/>
      <c r="E81" s="109"/>
    </row>
    <row r="82" spans="1:5" s="54" customFormat="1" ht="12" customHeight="1" thickBot="1">
      <c r="A82" s="202" t="s">
        <v>231</v>
      </c>
      <c r="B82" s="112" t="s">
        <v>251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>
      <c r="A83" s="203" t="s">
        <v>232</v>
      </c>
      <c r="B83" s="182" t="s">
        <v>233</v>
      </c>
      <c r="C83" s="173"/>
      <c r="D83" s="173"/>
      <c r="E83" s="109"/>
    </row>
    <row r="84" spans="1:5" s="54" customFormat="1" ht="12" customHeight="1">
      <c r="A84" s="204" t="s">
        <v>234</v>
      </c>
      <c r="B84" s="183" t="s">
        <v>235</v>
      </c>
      <c r="C84" s="173"/>
      <c r="D84" s="173"/>
      <c r="E84" s="109"/>
    </row>
    <row r="85" spans="1:5" s="54" customFormat="1" ht="12" customHeight="1">
      <c r="A85" s="204" t="s">
        <v>236</v>
      </c>
      <c r="B85" s="183" t="s">
        <v>237</v>
      </c>
      <c r="C85" s="173"/>
      <c r="D85" s="173"/>
      <c r="E85" s="109"/>
    </row>
    <row r="86" spans="1:5" s="53" customFormat="1" ht="12" customHeight="1" thickBot="1">
      <c r="A86" s="205" t="s">
        <v>238</v>
      </c>
      <c r="B86" s="184" t="s">
        <v>239</v>
      </c>
      <c r="C86" s="173"/>
      <c r="D86" s="173"/>
      <c r="E86" s="109"/>
    </row>
    <row r="87" spans="1:5" s="53" customFormat="1" ht="12" customHeight="1" thickBot="1">
      <c r="A87" s="202" t="s">
        <v>240</v>
      </c>
      <c r="B87" s="112" t="s">
        <v>374</v>
      </c>
      <c r="C87" s="225"/>
      <c r="D87" s="225"/>
      <c r="E87" s="226"/>
    </row>
    <row r="88" spans="1:5" s="53" customFormat="1" ht="12" customHeight="1" thickBot="1">
      <c r="A88" s="202" t="s">
        <v>391</v>
      </c>
      <c r="B88" s="112" t="s">
        <v>241</v>
      </c>
      <c r="C88" s="225"/>
      <c r="D88" s="225"/>
      <c r="E88" s="226"/>
    </row>
    <row r="89" spans="1:5" s="53" customFormat="1" ht="12" customHeight="1" thickBot="1">
      <c r="A89" s="202" t="s">
        <v>392</v>
      </c>
      <c r="B89" s="189" t="s">
        <v>377</v>
      </c>
      <c r="C89" s="175">
        <f>+C66+C70+C75+C78+C82+C88+C87</f>
        <v>112931868</v>
      </c>
      <c r="D89" s="175">
        <f>+D66+D70+D75+D78+D82+D88+D87</f>
        <v>114241169</v>
      </c>
      <c r="E89" s="211">
        <f>+E66+E70+E75+E78+E82+E88+E87</f>
        <v>111036935</v>
      </c>
    </row>
    <row r="90" spans="1:5" s="53" customFormat="1" ht="12" customHeight="1" thickBot="1">
      <c r="A90" s="206" t="s">
        <v>393</v>
      </c>
      <c r="B90" s="190" t="s">
        <v>394</v>
      </c>
      <c r="C90" s="175">
        <f>+C65+C89</f>
        <v>180487717</v>
      </c>
      <c r="D90" s="175">
        <f>+D65+D89</f>
        <v>196466967</v>
      </c>
      <c r="E90" s="211">
        <f>+E65+E89</f>
        <v>213234292</v>
      </c>
    </row>
    <row r="91" spans="1:5" s="54" customFormat="1" ht="15.2" customHeight="1" thickBot="1">
      <c r="A91" s="89"/>
      <c r="B91" s="90"/>
      <c r="C91" s="151"/>
    </row>
    <row r="92" spans="1:5" s="47" customFormat="1" ht="16.5" customHeight="1" thickBot="1">
      <c r="A92" s="850" t="s">
        <v>40</v>
      </c>
      <c r="B92" s="851"/>
      <c r="C92" s="851"/>
      <c r="D92" s="851"/>
      <c r="E92" s="852"/>
    </row>
    <row r="93" spans="1:5" s="55" customFormat="1" ht="12" customHeight="1" thickBot="1">
      <c r="A93" s="176" t="s">
        <v>6</v>
      </c>
      <c r="B93" s="24" t="s">
        <v>398</v>
      </c>
      <c r="C93" s="168">
        <f>+C94+C95+C96+C97+C98+C111</f>
        <v>74516890</v>
      </c>
      <c r="D93" s="168">
        <f>+D94+D95+D96+D97+D98+D111</f>
        <v>80699305</v>
      </c>
      <c r="E93" s="240">
        <f>+E94+E95+E96+E97+E98+E111</f>
        <v>61596993</v>
      </c>
    </row>
    <row r="94" spans="1:5" ht="12" customHeight="1">
      <c r="A94" s="207" t="s">
        <v>63</v>
      </c>
      <c r="B94" s="8" t="s">
        <v>35</v>
      </c>
      <c r="C94" s="247">
        <v>28590150</v>
      </c>
      <c r="D94" s="247">
        <v>28802850</v>
      </c>
      <c r="E94" s="241">
        <v>25968299</v>
      </c>
    </row>
    <row r="95" spans="1:5" ht="12" customHeight="1">
      <c r="A95" s="200" t="s">
        <v>64</v>
      </c>
      <c r="B95" s="6" t="s">
        <v>122</v>
      </c>
      <c r="C95" s="170">
        <v>4705400</v>
      </c>
      <c r="D95" s="170">
        <v>4707623</v>
      </c>
      <c r="E95" s="106">
        <v>3791000</v>
      </c>
    </row>
    <row r="96" spans="1:5" ht="12" customHeight="1">
      <c r="A96" s="200" t="s">
        <v>65</v>
      </c>
      <c r="B96" s="6" t="s">
        <v>90</v>
      </c>
      <c r="C96" s="172">
        <v>32716340</v>
      </c>
      <c r="D96" s="170">
        <v>33279033</v>
      </c>
      <c r="E96" s="108">
        <v>26877781</v>
      </c>
    </row>
    <row r="97" spans="1:5" ht="12" customHeight="1">
      <c r="A97" s="200" t="s">
        <v>66</v>
      </c>
      <c r="B97" s="9" t="s">
        <v>123</v>
      </c>
      <c r="C97" s="172">
        <v>2405000</v>
      </c>
      <c r="D97" s="260">
        <v>3855821</v>
      </c>
      <c r="E97" s="108">
        <v>2376139</v>
      </c>
    </row>
    <row r="98" spans="1:5" ht="12" customHeight="1">
      <c r="A98" s="200" t="s">
        <v>75</v>
      </c>
      <c r="B98" s="17" t="s">
        <v>124</v>
      </c>
      <c r="C98" s="172">
        <v>6100000</v>
      </c>
      <c r="D98" s="260">
        <v>5902905</v>
      </c>
      <c r="E98" s="108">
        <v>2583774</v>
      </c>
    </row>
    <row r="99" spans="1:5" ht="12" customHeight="1">
      <c r="A99" s="200" t="s">
        <v>67</v>
      </c>
      <c r="B99" s="6" t="s">
        <v>395</v>
      </c>
      <c r="C99" s="172"/>
      <c r="D99" s="260"/>
      <c r="E99" s="108"/>
    </row>
    <row r="100" spans="1:5" ht="12" customHeight="1">
      <c r="A100" s="200" t="s">
        <v>68</v>
      </c>
      <c r="B100" s="65" t="s">
        <v>340</v>
      </c>
      <c r="C100" s="172"/>
      <c r="D100" s="260"/>
      <c r="E100" s="108"/>
    </row>
    <row r="101" spans="1:5" ht="12" customHeight="1">
      <c r="A101" s="200" t="s">
        <v>76</v>
      </c>
      <c r="B101" s="65" t="s">
        <v>339</v>
      </c>
      <c r="C101" s="172"/>
      <c r="D101" s="260">
        <v>425833</v>
      </c>
      <c r="E101" s="108">
        <v>411790</v>
      </c>
    </row>
    <row r="102" spans="1:5" ht="12" customHeight="1">
      <c r="A102" s="200" t="s">
        <v>77</v>
      </c>
      <c r="B102" s="65" t="s">
        <v>257</v>
      </c>
      <c r="C102" s="172"/>
      <c r="D102" s="260"/>
      <c r="E102" s="108"/>
    </row>
    <row r="103" spans="1:5" ht="12" customHeight="1">
      <c r="A103" s="200" t="s">
        <v>78</v>
      </c>
      <c r="B103" s="66" t="s">
        <v>258</v>
      </c>
      <c r="C103" s="172"/>
      <c r="D103" s="260"/>
      <c r="E103" s="108"/>
    </row>
    <row r="104" spans="1:5" ht="12" customHeight="1">
      <c r="A104" s="200" t="s">
        <v>79</v>
      </c>
      <c r="B104" s="66" t="s">
        <v>259</v>
      </c>
      <c r="C104" s="172"/>
      <c r="D104" s="260"/>
      <c r="E104" s="108"/>
    </row>
    <row r="105" spans="1:5" ht="12" customHeight="1">
      <c r="A105" s="200" t="s">
        <v>81</v>
      </c>
      <c r="B105" s="65" t="s">
        <v>260</v>
      </c>
      <c r="C105" s="172">
        <v>5200000</v>
      </c>
      <c r="D105" s="260">
        <v>4577072</v>
      </c>
      <c r="E105" s="108">
        <v>1711984</v>
      </c>
    </row>
    <row r="106" spans="1:5" ht="12" customHeight="1">
      <c r="A106" s="200" t="s">
        <v>125</v>
      </c>
      <c r="B106" s="65" t="s">
        <v>261</v>
      </c>
      <c r="C106" s="172"/>
      <c r="D106" s="260"/>
      <c r="E106" s="108"/>
    </row>
    <row r="107" spans="1:5" ht="12" customHeight="1">
      <c r="A107" s="200" t="s">
        <v>255</v>
      </c>
      <c r="B107" s="66" t="s">
        <v>262</v>
      </c>
      <c r="C107" s="170"/>
      <c r="D107" s="260"/>
      <c r="E107" s="108"/>
    </row>
    <row r="108" spans="1:5" ht="12" customHeight="1">
      <c r="A108" s="208" t="s">
        <v>256</v>
      </c>
      <c r="B108" s="67" t="s">
        <v>263</v>
      </c>
      <c r="C108" s="172"/>
      <c r="D108" s="260"/>
      <c r="E108" s="108"/>
    </row>
    <row r="109" spans="1:5" ht="12" customHeight="1">
      <c r="A109" s="200" t="s">
        <v>337</v>
      </c>
      <c r="B109" s="67" t="s">
        <v>264</v>
      </c>
      <c r="C109" s="172"/>
      <c r="D109" s="260"/>
      <c r="E109" s="108"/>
    </row>
    <row r="110" spans="1:5" ht="12" customHeight="1">
      <c r="A110" s="200" t="s">
        <v>338</v>
      </c>
      <c r="B110" s="66" t="s">
        <v>265</v>
      </c>
      <c r="C110" s="170">
        <v>900000</v>
      </c>
      <c r="D110" s="259">
        <v>900000</v>
      </c>
      <c r="E110" s="106">
        <v>460000</v>
      </c>
    </row>
    <row r="111" spans="1:5" ht="12" customHeight="1">
      <c r="A111" s="200" t="s">
        <v>342</v>
      </c>
      <c r="B111" s="9" t="s">
        <v>36</v>
      </c>
      <c r="C111" s="170"/>
      <c r="D111" s="259">
        <v>4151073</v>
      </c>
      <c r="E111" s="106"/>
    </row>
    <row r="112" spans="1:5" ht="12" customHeight="1">
      <c r="A112" s="201" t="s">
        <v>343</v>
      </c>
      <c r="B112" s="6" t="s">
        <v>396</v>
      </c>
      <c r="C112" s="172"/>
      <c r="D112" s="260"/>
      <c r="E112" s="108"/>
    </row>
    <row r="113" spans="1:5" ht="12" customHeight="1" thickBot="1">
      <c r="A113" s="209" t="s">
        <v>344</v>
      </c>
      <c r="B113" s="68" t="s">
        <v>397</v>
      </c>
      <c r="C113" s="248"/>
      <c r="D113" s="297"/>
      <c r="E113" s="242"/>
    </row>
    <row r="114" spans="1:5" ht="12" customHeight="1" thickBot="1">
      <c r="A114" s="25" t="s">
        <v>7</v>
      </c>
      <c r="B114" s="23" t="s">
        <v>266</v>
      </c>
      <c r="C114" s="169">
        <f>+C115+C117+C119</f>
        <v>92907250</v>
      </c>
      <c r="D114" s="257">
        <f>+D115+D117+D119</f>
        <v>99157250</v>
      </c>
      <c r="E114" s="105">
        <f>+E115+E117+E119</f>
        <v>22197619</v>
      </c>
    </row>
    <row r="115" spans="1:5" ht="12" customHeight="1">
      <c r="A115" s="199" t="s">
        <v>69</v>
      </c>
      <c r="B115" s="6" t="s">
        <v>142</v>
      </c>
      <c r="C115" s="171">
        <v>92907250</v>
      </c>
      <c r="D115" s="258">
        <v>92907250</v>
      </c>
      <c r="E115" s="107">
        <v>16081358</v>
      </c>
    </row>
    <row r="116" spans="1:5" ht="12" customHeight="1">
      <c r="A116" s="199" t="s">
        <v>70</v>
      </c>
      <c r="B116" s="10" t="s">
        <v>270</v>
      </c>
      <c r="C116" s="171"/>
      <c r="D116" s="258"/>
      <c r="E116" s="107"/>
    </row>
    <row r="117" spans="1:5" ht="12" customHeight="1">
      <c r="A117" s="199" t="s">
        <v>71</v>
      </c>
      <c r="B117" s="10" t="s">
        <v>126</v>
      </c>
      <c r="C117" s="170"/>
      <c r="D117" s="259">
        <v>6250000</v>
      </c>
      <c r="E117" s="106">
        <v>6116261</v>
      </c>
    </row>
    <row r="118" spans="1:5" ht="12" customHeight="1">
      <c r="A118" s="199" t="s">
        <v>72</v>
      </c>
      <c r="B118" s="10" t="s">
        <v>271</v>
      </c>
      <c r="C118" s="170"/>
      <c r="D118" s="259"/>
      <c r="E118" s="106"/>
    </row>
    <row r="119" spans="1:5" ht="12" customHeight="1">
      <c r="A119" s="199" t="s">
        <v>73</v>
      </c>
      <c r="B119" s="114" t="s">
        <v>144</v>
      </c>
      <c r="C119" s="170"/>
      <c r="D119" s="259"/>
      <c r="E119" s="106"/>
    </row>
    <row r="120" spans="1:5" ht="12" customHeight="1">
      <c r="A120" s="199" t="s">
        <v>80</v>
      </c>
      <c r="B120" s="113" t="s">
        <v>329</v>
      </c>
      <c r="C120" s="170"/>
      <c r="D120" s="259"/>
      <c r="E120" s="106"/>
    </row>
    <row r="121" spans="1:5" ht="12" customHeight="1">
      <c r="A121" s="199" t="s">
        <v>82</v>
      </c>
      <c r="B121" s="178" t="s">
        <v>276</v>
      </c>
      <c r="C121" s="170"/>
      <c r="D121" s="259"/>
      <c r="E121" s="106"/>
    </row>
    <row r="122" spans="1:5" ht="12" customHeight="1">
      <c r="A122" s="199" t="s">
        <v>127</v>
      </c>
      <c r="B122" s="66" t="s">
        <v>259</v>
      </c>
      <c r="C122" s="170"/>
      <c r="D122" s="259"/>
      <c r="E122" s="106"/>
    </row>
    <row r="123" spans="1:5" ht="12" customHeight="1">
      <c r="A123" s="199" t="s">
        <v>128</v>
      </c>
      <c r="B123" s="66" t="s">
        <v>275</v>
      </c>
      <c r="C123" s="170"/>
      <c r="D123" s="259"/>
      <c r="E123" s="106"/>
    </row>
    <row r="124" spans="1:5" ht="12" customHeight="1">
      <c r="A124" s="199" t="s">
        <v>129</v>
      </c>
      <c r="B124" s="66" t="s">
        <v>274</v>
      </c>
      <c r="C124" s="170"/>
      <c r="D124" s="259"/>
      <c r="E124" s="106"/>
    </row>
    <row r="125" spans="1:5" ht="12" customHeight="1">
      <c r="A125" s="199" t="s">
        <v>267</v>
      </c>
      <c r="B125" s="66" t="s">
        <v>262</v>
      </c>
      <c r="C125" s="170"/>
      <c r="D125" s="259"/>
      <c r="E125" s="106"/>
    </row>
    <row r="126" spans="1:5" ht="12" customHeight="1">
      <c r="A126" s="199" t="s">
        <v>268</v>
      </c>
      <c r="B126" s="66" t="s">
        <v>273</v>
      </c>
      <c r="C126" s="170"/>
      <c r="D126" s="259"/>
      <c r="E126" s="106"/>
    </row>
    <row r="127" spans="1:5" ht="12" customHeight="1" thickBot="1">
      <c r="A127" s="208" t="s">
        <v>269</v>
      </c>
      <c r="B127" s="66" t="s">
        <v>272</v>
      </c>
      <c r="C127" s="172"/>
      <c r="D127" s="260"/>
      <c r="E127" s="108"/>
    </row>
    <row r="128" spans="1:5" ht="12" customHeight="1" thickBot="1">
      <c r="A128" s="25" t="s">
        <v>8</v>
      </c>
      <c r="B128" s="59" t="s">
        <v>347</v>
      </c>
      <c r="C128" s="169">
        <f>+C93+C114</f>
        <v>167424140</v>
      </c>
      <c r="D128" s="257">
        <f>+D93+D114</f>
        <v>179856555</v>
      </c>
      <c r="E128" s="105">
        <f>+E93+E114</f>
        <v>83794612</v>
      </c>
    </row>
    <row r="129" spans="1:11" ht="12" customHeight="1" thickBot="1">
      <c r="A129" s="25" t="s">
        <v>9</v>
      </c>
      <c r="B129" s="59" t="s">
        <v>348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>
      <c r="A130" s="199" t="s">
        <v>176</v>
      </c>
      <c r="B130" s="7" t="s">
        <v>401</v>
      </c>
      <c r="C130" s="170"/>
      <c r="D130" s="259"/>
      <c r="E130" s="106"/>
    </row>
    <row r="131" spans="1:11" ht="12" customHeight="1">
      <c r="A131" s="199" t="s">
        <v>177</v>
      </c>
      <c r="B131" s="7" t="s">
        <v>356</v>
      </c>
      <c r="C131" s="170"/>
      <c r="D131" s="259"/>
      <c r="E131" s="106"/>
    </row>
    <row r="132" spans="1:11" ht="12" customHeight="1" thickBot="1">
      <c r="A132" s="208" t="s">
        <v>178</v>
      </c>
      <c r="B132" s="5" t="s">
        <v>400</v>
      </c>
      <c r="C132" s="170"/>
      <c r="D132" s="259"/>
      <c r="E132" s="106"/>
    </row>
    <row r="133" spans="1:11" ht="12" customHeight="1" thickBot="1">
      <c r="A133" s="25" t="s">
        <v>10</v>
      </c>
      <c r="B133" s="59" t="s">
        <v>349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>
      <c r="A134" s="199" t="s">
        <v>56</v>
      </c>
      <c r="B134" s="7" t="s">
        <v>358</v>
      </c>
      <c r="C134" s="170"/>
      <c r="D134" s="259"/>
      <c r="E134" s="106"/>
    </row>
    <row r="135" spans="1:11" ht="12" customHeight="1">
      <c r="A135" s="199" t="s">
        <v>57</v>
      </c>
      <c r="B135" s="7" t="s">
        <v>350</v>
      </c>
      <c r="C135" s="170"/>
      <c r="D135" s="259"/>
      <c r="E135" s="106"/>
    </row>
    <row r="136" spans="1:11" ht="12" customHeight="1">
      <c r="A136" s="199" t="s">
        <v>58</v>
      </c>
      <c r="B136" s="7" t="s">
        <v>351</v>
      </c>
      <c r="C136" s="170"/>
      <c r="D136" s="259"/>
      <c r="E136" s="106"/>
    </row>
    <row r="137" spans="1:11" ht="12" customHeight="1">
      <c r="A137" s="199" t="s">
        <v>114</v>
      </c>
      <c r="B137" s="7" t="s">
        <v>399</v>
      </c>
      <c r="C137" s="170"/>
      <c r="D137" s="259"/>
      <c r="E137" s="106"/>
    </row>
    <row r="138" spans="1:11" ht="12" customHeight="1">
      <c r="A138" s="199" t="s">
        <v>115</v>
      </c>
      <c r="B138" s="7" t="s">
        <v>353</v>
      </c>
      <c r="C138" s="170"/>
      <c r="D138" s="259"/>
      <c r="E138" s="106"/>
    </row>
    <row r="139" spans="1:11" s="55" customFormat="1" ht="12" customHeight="1" thickBot="1">
      <c r="A139" s="208" t="s">
        <v>116</v>
      </c>
      <c r="B139" s="5" t="s">
        <v>354</v>
      </c>
      <c r="C139" s="170"/>
      <c r="D139" s="259"/>
      <c r="E139" s="106"/>
    </row>
    <row r="140" spans="1:11" ht="12" customHeight="1" thickBot="1">
      <c r="A140" s="25" t="s">
        <v>11</v>
      </c>
      <c r="B140" s="59" t="s">
        <v>414</v>
      </c>
      <c r="C140" s="175">
        <f>+C141+C142+C144+C145+C143</f>
        <v>13063577</v>
      </c>
      <c r="D140" s="261">
        <f>+D141+D142+D144+D145+D143</f>
        <v>16610412</v>
      </c>
      <c r="E140" s="211">
        <f>+E141+E142+E144+E145+E143</f>
        <v>16610412</v>
      </c>
      <c r="K140" s="98"/>
    </row>
    <row r="141" spans="1:11">
      <c r="A141" s="199" t="s">
        <v>59</v>
      </c>
      <c r="B141" s="7" t="s">
        <v>277</v>
      </c>
      <c r="C141" s="170"/>
      <c r="D141" s="259"/>
      <c r="E141" s="106"/>
    </row>
    <row r="142" spans="1:11" ht="12" customHeight="1">
      <c r="A142" s="199" t="s">
        <v>60</v>
      </c>
      <c r="B142" s="7" t="s">
        <v>278</v>
      </c>
      <c r="C142" s="170">
        <v>463577</v>
      </c>
      <c r="D142" s="259">
        <v>1758835</v>
      </c>
      <c r="E142" s="106">
        <v>1758835</v>
      </c>
    </row>
    <row r="143" spans="1:11" ht="12" customHeight="1">
      <c r="A143" s="199" t="s">
        <v>194</v>
      </c>
      <c r="B143" s="7" t="s">
        <v>413</v>
      </c>
      <c r="C143" s="170">
        <v>12600000</v>
      </c>
      <c r="D143" s="259">
        <v>14851577</v>
      </c>
      <c r="E143" s="106">
        <v>14851577</v>
      </c>
    </row>
    <row r="144" spans="1:11" s="55" customFormat="1" ht="12" customHeight="1">
      <c r="A144" s="199" t="s">
        <v>195</v>
      </c>
      <c r="B144" s="7" t="s">
        <v>363</v>
      </c>
      <c r="C144" s="170"/>
      <c r="D144" s="259"/>
      <c r="E144" s="106"/>
    </row>
    <row r="145" spans="1:5" s="55" customFormat="1" ht="12" customHeight="1" thickBot="1">
      <c r="A145" s="208" t="s">
        <v>196</v>
      </c>
      <c r="B145" s="5" t="s">
        <v>293</v>
      </c>
      <c r="C145" s="170"/>
      <c r="D145" s="259"/>
      <c r="E145" s="106"/>
    </row>
    <row r="146" spans="1:5" s="55" customFormat="1" ht="12" customHeight="1" thickBot="1">
      <c r="A146" s="25" t="s">
        <v>12</v>
      </c>
      <c r="B146" s="59" t="s">
        <v>364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>
      <c r="A147" s="199" t="s">
        <v>61</v>
      </c>
      <c r="B147" s="7" t="s">
        <v>359</v>
      </c>
      <c r="C147" s="170"/>
      <c r="D147" s="259"/>
      <c r="E147" s="106"/>
    </row>
    <row r="148" spans="1:5" s="55" customFormat="1" ht="12" customHeight="1">
      <c r="A148" s="199" t="s">
        <v>62</v>
      </c>
      <c r="B148" s="7" t="s">
        <v>366</v>
      </c>
      <c r="C148" s="170"/>
      <c r="D148" s="259"/>
      <c r="E148" s="106"/>
    </row>
    <row r="149" spans="1:5" s="55" customFormat="1" ht="12" customHeight="1">
      <c r="A149" s="199" t="s">
        <v>206</v>
      </c>
      <c r="B149" s="7" t="s">
        <v>361</v>
      </c>
      <c r="C149" s="170"/>
      <c r="D149" s="259"/>
      <c r="E149" s="106"/>
    </row>
    <row r="150" spans="1:5" s="55" customFormat="1" ht="12" customHeight="1">
      <c r="A150" s="199" t="s">
        <v>207</v>
      </c>
      <c r="B150" s="7" t="s">
        <v>402</v>
      </c>
      <c r="C150" s="170"/>
      <c r="D150" s="259"/>
      <c r="E150" s="106"/>
    </row>
    <row r="151" spans="1:5" ht="12.75" customHeight="1" thickBot="1">
      <c r="A151" s="208" t="s">
        <v>365</v>
      </c>
      <c r="B151" s="5" t="s">
        <v>368</v>
      </c>
      <c r="C151" s="172"/>
      <c r="D151" s="260"/>
      <c r="E151" s="108"/>
    </row>
    <row r="152" spans="1:5" ht="12.75" customHeight="1" thickBot="1">
      <c r="A152" s="239" t="s">
        <v>13</v>
      </c>
      <c r="B152" s="59" t="s">
        <v>369</v>
      </c>
      <c r="C152" s="250"/>
      <c r="D152" s="262"/>
      <c r="E152" s="244"/>
    </row>
    <row r="153" spans="1:5" ht="12.75" customHeight="1" thickBot="1">
      <c r="A153" s="239" t="s">
        <v>14</v>
      </c>
      <c r="B153" s="59" t="s">
        <v>370</v>
      </c>
      <c r="C153" s="250"/>
      <c r="D153" s="262"/>
      <c r="E153" s="244"/>
    </row>
    <row r="154" spans="1:5" ht="12" customHeight="1" thickBot="1">
      <c r="A154" s="25" t="s">
        <v>15</v>
      </c>
      <c r="B154" s="59" t="s">
        <v>372</v>
      </c>
      <c r="C154" s="252">
        <f>+C129+C133+C140+C146+C152+C153</f>
        <v>13063577</v>
      </c>
      <c r="D154" s="264">
        <f>+D129+D133+D140+D146+D152+D153</f>
        <v>16610412</v>
      </c>
      <c r="E154" s="246">
        <f>+E129+E133+E140+E146+E152+E153</f>
        <v>16610412</v>
      </c>
    </row>
    <row r="155" spans="1:5" ht="15.2" customHeight="1" thickBot="1">
      <c r="A155" s="210" t="s">
        <v>16</v>
      </c>
      <c r="B155" s="156" t="s">
        <v>371</v>
      </c>
      <c r="C155" s="252">
        <f>+C128+C154</f>
        <v>180487717</v>
      </c>
      <c r="D155" s="264">
        <f>+D128+D154</f>
        <v>196466967</v>
      </c>
      <c r="E155" s="246">
        <f>+E128+E154</f>
        <v>100405024</v>
      </c>
    </row>
    <row r="156" spans="1:5" ht="13.5" thickBot="1">
      <c r="A156" s="159"/>
      <c r="B156" s="160"/>
      <c r="C156" s="660">
        <f>C90-C155</f>
        <v>0</v>
      </c>
      <c r="D156" s="660">
        <f>D90-D155</f>
        <v>0</v>
      </c>
      <c r="E156" s="161"/>
    </row>
    <row r="157" spans="1:5" ht="15.2" customHeight="1" thickBot="1">
      <c r="A157" s="96" t="s">
        <v>482</v>
      </c>
      <c r="B157" s="97"/>
      <c r="C157" s="296">
        <v>7</v>
      </c>
      <c r="D157" s="296">
        <v>7</v>
      </c>
      <c r="E157" s="295">
        <v>7</v>
      </c>
    </row>
    <row r="158" spans="1:5" ht="14.45" customHeight="1" thickBot="1">
      <c r="A158" s="96" t="s">
        <v>483</v>
      </c>
      <c r="B158" s="97"/>
      <c r="C158" s="296">
        <v>6</v>
      </c>
      <c r="D158" s="296">
        <v>2</v>
      </c>
      <c r="E158" s="295">
        <v>2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328"/>
      <c r="B1" s="340"/>
      <c r="C1" s="341"/>
      <c r="D1" s="341"/>
      <c r="E1" s="663" t="str">
        <f>CONCATENATE("6.1.2. melléklet ",Z_ALAPADATOK!A7," ",Z_ALAPADATOK!B7," ",Z_ALAPADATOK!C7," ",Z_ALAPADATOK!D7," ",Z_ALAPADATOK!E7," ",Z_ALAPADATOK!F7," ",Z_ALAPADATOK!G7," ",Z_ALAPADATOK!H7)</f>
        <v>6.1.2. melléklet a … / 2021. ( … ) önkormányzati rendelethez</v>
      </c>
    </row>
    <row r="2" spans="1:5" s="51" customFormat="1" ht="21.2" customHeight="1" thickBot="1">
      <c r="A2" s="337" t="s">
        <v>44</v>
      </c>
      <c r="B2" s="853" t="str">
        <f>CONCATENATE(Z_ALAPADATOK!A3)</f>
        <v>Borsodivánka Község Önkormányzata</v>
      </c>
      <c r="C2" s="853"/>
      <c r="D2" s="853"/>
      <c r="E2" s="338" t="s">
        <v>38</v>
      </c>
    </row>
    <row r="3" spans="1:5" s="51" customFormat="1" ht="24.75" thickBot="1">
      <c r="A3" s="337" t="s">
        <v>134</v>
      </c>
      <c r="B3" s="853" t="s">
        <v>321</v>
      </c>
      <c r="C3" s="853"/>
      <c r="D3" s="853"/>
      <c r="E3" s="339" t="s">
        <v>42</v>
      </c>
    </row>
    <row r="4" spans="1:5" s="52" customFormat="1" ht="15.95" customHeight="1" thickBot="1">
      <c r="A4" s="331"/>
      <c r="B4" s="331"/>
      <c r="C4" s="332"/>
      <c r="D4" s="333"/>
      <c r="E4" s="332" t="str">
        <f>Z_6.1.1.sz.mell!E4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CONCATENATE(Z_6.1.1.sz.mell!E5)</f>
        <v>Teljesítés
2020. XII. 31.</v>
      </c>
    </row>
    <row r="6" spans="1:5" s="47" customFormat="1" ht="12.95" customHeight="1" thickBot="1">
      <c r="A6" s="77" t="s">
        <v>382</v>
      </c>
      <c r="B6" s="78" t="s">
        <v>383</v>
      </c>
      <c r="C6" s="78" t="s">
        <v>384</v>
      </c>
      <c r="D6" s="290" t="s">
        <v>386</v>
      </c>
      <c r="E6" s="79" t="s">
        <v>385</v>
      </c>
    </row>
    <row r="7" spans="1:5" s="47" customFormat="1" ht="15.95" customHeight="1" thickBot="1">
      <c r="A7" s="850" t="s">
        <v>39</v>
      </c>
      <c r="B7" s="851"/>
      <c r="C7" s="851"/>
      <c r="D7" s="851"/>
      <c r="E7" s="852"/>
    </row>
    <row r="8" spans="1:5" s="47" customFormat="1" ht="12" customHeight="1" thickBot="1">
      <c r="A8" s="25" t="s">
        <v>6</v>
      </c>
      <c r="B8" s="19" t="s">
        <v>161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>
      <c r="A9" s="199" t="s">
        <v>63</v>
      </c>
      <c r="B9" s="182" t="s">
        <v>162</v>
      </c>
      <c r="C9" s="171"/>
      <c r="D9" s="258"/>
      <c r="E9" s="107"/>
    </row>
    <row r="10" spans="1:5" s="54" customFormat="1" ht="12" customHeight="1">
      <c r="A10" s="200" t="s">
        <v>64</v>
      </c>
      <c r="B10" s="183" t="s">
        <v>163</v>
      </c>
      <c r="C10" s="170"/>
      <c r="D10" s="259"/>
      <c r="E10" s="106"/>
    </row>
    <row r="11" spans="1:5" s="54" customFormat="1" ht="12" customHeight="1">
      <c r="A11" s="200" t="s">
        <v>65</v>
      </c>
      <c r="B11" s="183" t="s">
        <v>164</v>
      </c>
      <c r="C11" s="170"/>
      <c r="D11" s="259"/>
      <c r="E11" s="106"/>
    </row>
    <row r="12" spans="1:5" s="54" customFormat="1" ht="12" customHeight="1">
      <c r="A12" s="200" t="s">
        <v>66</v>
      </c>
      <c r="B12" s="183" t="s">
        <v>165</v>
      </c>
      <c r="C12" s="170"/>
      <c r="D12" s="259"/>
      <c r="E12" s="106"/>
    </row>
    <row r="13" spans="1:5" s="54" customFormat="1" ht="12" customHeight="1">
      <c r="A13" s="200" t="s">
        <v>97</v>
      </c>
      <c r="B13" s="183" t="s">
        <v>390</v>
      </c>
      <c r="C13" s="170"/>
      <c r="D13" s="259"/>
      <c r="E13" s="106"/>
    </row>
    <row r="14" spans="1:5" s="53" customFormat="1" ht="12" customHeight="1" thickBot="1">
      <c r="A14" s="201" t="s">
        <v>67</v>
      </c>
      <c r="B14" s="184" t="s">
        <v>332</v>
      </c>
      <c r="C14" s="170"/>
      <c r="D14" s="259"/>
      <c r="E14" s="106"/>
    </row>
    <row r="15" spans="1:5" s="53" customFormat="1" ht="12" customHeight="1" thickBot="1">
      <c r="A15" s="25" t="s">
        <v>7</v>
      </c>
      <c r="B15" s="112" t="s">
        <v>166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>
      <c r="A16" s="199" t="s">
        <v>69</v>
      </c>
      <c r="B16" s="182" t="s">
        <v>167</v>
      </c>
      <c r="C16" s="171"/>
      <c r="D16" s="258"/>
      <c r="E16" s="107"/>
    </row>
    <row r="17" spans="1:5" s="53" customFormat="1" ht="12" customHeight="1">
      <c r="A17" s="200" t="s">
        <v>70</v>
      </c>
      <c r="B17" s="183" t="s">
        <v>168</v>
      </c>
      <c r="C17" s="170"/>
      <c r="D17" s="259"/>
      <c r="E17" s="106"/>
    </row>
    <row r="18" spans="1:5" s="53" customFormat="1" ht="12" customHeight="1">
      <c r="A18" s="200" t="s">
        <v>71</v>
      </c>
      <c r="B18" s="183" t="s">
        <v>323</v>
      </c>
      <c r="C18" s="170"/>
      <c r="D18" s="259"/>
      <c r="E18" s="106"/>
    </row>
    <row r="19" spans="1:5" s="53" customFormat="1" ht="12" customHeight="1">
      <c r="A19" s="200" t="s">
        <v>72</v>
      </c>
      <c r="B19" s="183" t="s">
        <v>324</v>
      </c>
      <c r="C19" s="170"/>
      <c r="D19" s="259"/>
      <c r="E19" s="106"/>
    </row>
    <row r="20" spans="1:5" s="53" customFormat="1" ht="12" customHeight="1">
      <c r="A20" s="200" t="s">
        <v>73</v>
      </c>
      <c r="B20" s="183" t="s">
        <v>169</v>
      </c>
      <c r="C20" s="170"/>
      <c r="D20" s="259"/>
      <c r="E20" s="106"/>
    </row>
    <row r="21" spans="1:5" s="54" customFormat="1" ht="12" customHeight="1" thickBot="1">
      <c r="A21" s="201" t="s">
        <v>80</v>
      </c>
      <c r="B21" s="184" t="s">
        <v>170</v>
      </c>
      <c r="C21" s="172"/>
      <c r="D21" s="260"/>
      <c r="E21" s="108"/>
    </row>
    <row r="22" spans="1:5" s="54" customFormat="1" ht="12" customHeight="1" thickBot="1">
      <c r="A22" s="25" t="s">
        <v>8</v>
      </c>
      <c r="B22" s="19" t="s">
        <v>171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>
      <c r="A23" s="199" t="s">
        <v>52</v>
      </c>
      <c r="B23" s="182" t="s">
        <v>172</v>
      </c>
      <c r="C23" s="171"/>
      <c r="D23" s="258"/>
      <c r="E23" s="107"/>
    </row>
    <row r="24" spans="1:5" s="53" customFormat="1" ht="12" customHeight="1">
      <c r="A24" s="200" t="s">
        <v>53</v>
      </c>
      <c r="B24" s="183" t="s">
        <v>173</v>
      </c>
      <c r="C24" s="170"/>
      <c r="D24" s="259"/>
      <c r="E24" s="106"/>
    </row>
    <row r="25" spans="1:5" s="54" customFormat="1" ht="12" customHeight="1">
      <c r="A25" s="200" t="s">
        <v>54</v>
      </c>
      <c r="B25" s="183" t="s">
        <v>325</v>
      </c>
      <c r="C25" s="170"/>
      <c r="D25" s="259"/>
      <c r="E25" s="106"/>
    </row>
    <row r="26" spans="1:5" s="54" customFormat="1" ht="12" customHeight="1">
      <c r="A26" s="200" t="s">
        <v>55</v>
      </c>
      <c r="B26" s="183" t="s">
        <v>326</v>
      </c>
      <c r="C26" s="170"/>
      <c r="D26" s="259"/>
      <c r="E26" s="106"/>
    </row>
    <row r="27" spans="1:5" s="54" customFormat="1" ht="12" customHeight="1">
      <c r="A27" s="200" t="s">
        <v>110</v>
      </c>
      <c r="B27" s="183" t="s">
        <v>174</v>
      </c>
      <c r="C27" s="170"/>
      <c r="D27" s="259"/>
      <c r="E27" s="106"/>
    </row>
    <row r="28" spans="1:5" s="54" customFormat="1" ht="12" customHeight="1" thickBot="1">
      <c r="A28" s="201" t="s">
        <v>111</v>
      </c>
      <c r="B28" s="184" t="s">
        <v>175</v>
      </c>
      <c r="C28" s="172"/>
      <c r="D28" s="260"/>
      <c r="E28" s="108"/>
    </row>
    <row r="29" spans="1:5" s="54" customFormat="1" ht="12" customHeight="1" thickBot="1">
      <c r="A29" s="25" t="s">
        <v>112</v>
      </c>
      <c r="B29" s="19" t="s">
        <v>473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>
      <c r="A30" s="199" t="s">
        <v>176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>
      <c r="A31" s="200" t="s">
        <v>177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>
      <c r="A32" s="200" t="s">
        <v>178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>
      <c r="A33" s="200" t="s">
        <v>179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>
      <c r="A34" s="200" t="s">
        <v>477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>
      <c r="A35" s="200" t="s">
        <v>478</v>
      </c>
      <c r="B35" s="182" t="str">
        <f>Z_1.1.sz.mell.!B38</f>
        <v>Egyéb közhatalmi bevételek</v>
      </c>
      <c r="C35" s="170"/>
      <c r="D35" s="170"/>
      <c r="E35" s="106"/>
    </row>
    <row r="36" spans="1:5" s="54" customFormat="1" ht="12" customHeight="1" thickBot="1">
      <c r="A36" s="201" t="s">
        <v>479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>
      <c r="A37" s="25" t="s">
        <v>10</v>
      </c>
      <c r="B37" s="19" t="s">
        <v>333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>
      <c r="A38" s="199" t="s">
        <v>56</v>
      </c>
      <c r="B38" s="182" t="s">
        <v>183</v>
      </c>
      <c r="C38" s="171"/>
      <c r="D38" s="258"/>
      <c r="E38" s="107"/>
    </row>
    <row r="39" spans="1:5" s="54" customFormat="1" ht="12" customHeight="1">
      <c r="A39" s="200" t="s">
        <v>57</v>
      </c>
      <c r="B39" s="183" t="s">
        <v>184</v>
      </c>
      <c r="C39" s="170"/>
      <c r="D39" s="259"/>
      <c r="E39" s="106"/>
    </row>
    <row r="40" spans="1:5" s="54" customFormat="1" ht="12" customHeight="1">
      <c r="A40" s="200" t="s">
        <v>58</v>
      </c>
      <c r="B40" s="183" t="s">
        <v>185</v>
      </c>
      <c r="C40" s="170"/>
      <c r="D40" s="259"/>
      <c r="E40" s="106"/>
    </row>
    <row r="41" spans="1:5" s="54" customFormat="1" ht="12" customHeight="1">
      <c r="A41" s="200" t="s">
        <v>114</v>
      </c>
      <c r="B41" s="183" t="s">
        <v>186</v>
      </c>
      <c r="C41" s="170"/>
      <c r="D41" s="259"/>
      <c r="E41" s="106"/>
    </row>
    <row r="42" spans="1:5" s="54" customFormat="1" ht="12" customHeight="1">
      <c r="A42" s="200" t="s">
        <v>115</v>
      </c>
      <c r="B42" s="183" t="s">
        <v>187</v>
      </c>
      <c r="C42" s="170"/>
      <c r="D42" s="259"/>
      <c r="E42" s="106"/>
    </row>
    <row r="43" spans="1:5" s="54" customFormat="1" ht="12" customHeight="1">
      <c r="A43" s="200" t="s">
        <v>116</v>
      </c>
      <c r="B43" s="183" t="s">
        <v>188</v>
      </c>
      <c r="C43" s="170"/>
      <c r="D43" s="259"/>
      <c r="E43" s="106"/>
    </row>
    <row r="44" spans="1:5" s="54" customFormat="1" ht="12" customHeight="1">
      <c r="A44" s="200" t="s">
        <v>117</v>
      </c>
      <c r="B44" s="183" t="s">
        <v>189</v>
      </c>
      <c r="C44" s="170"/>
      <c r="D44" s="259"/>
      <c r="E44" s="106"/>
    </row>
    <row r="45" spans="1:5" s="54" customFormat="1" ht="12" customHeight="1">
      <c r="A45" s="200" t="s">
        <v>118</v>
      </c>
      <c r="B45" s="183" t="s">
        <v>480</v>
      </c>
      <c r="C45" s="170"/>
      <c r="D45" s="259"/>
      <c r="E45" s="106"/>
    </row>
    <row r="46" spans="1:5" s="54" customFormat="1" ht="12" customHeight="1">
      <c r="A46" s="200" t="s">
        <v>181</v>
      </c>
      <c r="B46" s="183" t="s">
        <v>191</v>
      </c>
      <c r="C46" s="173"/>
      <c r="D46" s="291"/>
      <c r="E46" s="109"/>
    </row>
    <row r="47" spans="1:5" s="54" customFormat="1" ht="12" customHeight="1">
      <c r="A47" s="201" t="s">
        <v>182</v>
      </c>
      <c r="B47" s="184" t="s">
        <v>335</v>
      </c>
      <c r="C47" s="174"/>
      <c r="D47" s="292"/>
      <c r="E47" s="110"/>
    </row>
    <row r="48" spans="1:5" s="54" customFormat="1" ht="12" customHeight="1" thickBot="1">
      <c r="A48" s="201" t="s">
        <v>334</v>
      </c>
      <c r="B48" s="184" t="s">
        <v>192</v>
      </c>
      <c r="C48" s="174"/>
      <c r="D48" s="292"/>
      <c r="E48" s="110"/>
    </row>
    <row r="49" spans="1:5" s="54" customFormat="1" ht="12" customHeight="1" thickBot="1">
      <c r="A49" s="25" t="s">
        <v>11</v>
      </c>
      <c r="B49" s="19" t="s">
        <v>193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>
      <c r="A50" s="199" t="s">
        <v>59</v>
      </c>
      <c r="B50" s="182" t="s">
        <v>197</v>
      </c>
      <c r="C50" s="222"/>
      <c r="D50" s="293"/>
      <c r="E50" s="111"/>
    </row>
    <row r="51" spans="1:5" s="54" customFormat="1" ht="12" customHeight="1">
      <c r="A51" s="200" t="s">
        <v>60</v>
      </c>
      <c r="B51" s="183" t="s">
        <v>198</v>
      </c>
      <c r="C51" s="173"/>
      <c r="D51" s="291"/>
      <c r="E51" s="109"/>
    </row>
    <row r="52" spans="1:5" s="54" customFormat="1" ht="12" customHeight="1">
      <c r="A52" s="200" t="s">
        <v>194</v>
      </c>
      <c r="B52" s="183" t="s">
        <v>199</v>
      </c>
      <c r="C52" s="173"/>
      <c r="D52" s="291"/>
      <c r="E52" s="109"/>
    </row>
    <row r="53" spans="1:5" s="54" customFormat="1" ht="12" customHeight="1">
      <c r="A53" s="200" t="s">
        <v>195</v>
      </c>
      <c r="B53" s="183" t="s">
        <v>200</v>
      </c>
      <c r="C53" s="173"/>
      <c r="D53" s="291"/>
      <c r="E53" s="109"/>
    </row>
    <row r="54" spans="1:5" s="54" customFormat="1" ht="12" customHeight="1" thickBot="1">
      <c r="A54" s="201" t="s">
        <v>196</v>
      </c>
      <c r="B54" s="184" t="s">
        <v>201</v>
      </c>
      <c r="C54" s="174"/>
      <c r="D54" s="292"/>
      <c r="E54" s="110"/>
    </row>
    <row r="55" spans="1:5" s="54" customFormat="1" ht="12" customHeight="1" thickBot="1">
      <c r="A55" s="25" t="s">
        <v>119</v>
      </c>
      <c r="B55" s="19" t="s">
        <v>202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>
      <c r="A56" s="199" t="s">
        <v>61</v>
      </c>
      <c r="B56" s="182" t="s">
        <v>203</v>
      </c>
      <c r="C56" s="171"/>
      <c r="D56" s="258"/>
      <c r="E56" s="107"/>
    </row>
    <row r="57" spans="1:5" s="54" customFormat="1" ht="12" customHeight="1">
      <c r="A57" s="200" t="s">
        <v>62</v>
      </c>
      <c r="B57" s="183" t="s">
        <v>327</v>
      </c>
      <c r="C57" s="170"/>
      <c r="D57" s="259"/>
      <c r="E57" s="106"/>
    </row>
    <row r="58" spans="1:5" s="54" customFormat="1" ht="12" customHeight="1">
      <c r="A58" s="200" t="s">
        <v>206</v>
      </c>
      <c r="B58" s="183" t="s">
        <v>204</v>
      </c>
      <c r="C58" s="170"/>
      <c r="D58" s="259"/>
      <c r="E58" s="106"/>
    </row>
    <row r="59" spans="1:5" s="54" customFormat="1" ht="12" customHeight="1" thickBot="1">
      <c r="A59" s="201" t="s">
        <v>207</v>
      </c>
      <c r="B59" s="184" t="s">
        <v>205</v>
      </c>
      <c r="C59" s="172"/>
      <c r="D59" s="260"/>
      <c r="E59" s="108"/>
    </row>
    <row r="60" spans="1:5" s="54" customFormat="1" ht="12" customHeight="1" thickBot="1">
      <c r="A60" s="25" t="s">
        <v>13</v>
      </c>
      <c r="B60" s="112" t="s">
        <v>208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>
      <c r="A61" s="199" t="s">
        <v>120</v>
      </c>
      <c r="B61" s="182" t="s">
        <v>210</v>
      </c>
      <c r="C61" s="173"/>
      <c r="D61" s="291"/>
      <c r="E61" s="109"/>
    </row>
    <row r="62" spans="1:5" s="54" customFormat="1" ht="12" customHeight="1">
      <c r="A62" s="200" t="s">
        <v>121</v>
      </c>
      <c r="B62" s="183" t="s">
        <v>328</v>
      </c>
      <c r="C62" s="173"/>
      <c r="D62" s="291"/>
      <c r="E62" s="109"/>
    </row>
    <row r="63" spans="1:5" s="54" customFormat="1" ht="12" customHeight="1">
      <c r="A63" s="200" t="s">
        <v>143</v>
      </c>
      <c r="B63" s="183" t="s">
        <v>211</v>
      </c>
      <c r="C63" s="173"/>
      <c r="D63" s="291"/>
      <c r="E63" s="109"/>
    </row>
    <row r="64" spans="1:5" s="54" customFormat="1" ht="12" customHeight="1" thickBot="1">
      <c r="A64" s="201" t="s">
        <v>209</v>
      </c>
      <c r="B64" s="184" t="s">
        <v>212</v>
      </c>
      <c r="C64" s="173"/>
      <c r="D64" s="291"/>
      <c r="E64" s="109"/>
    </row>
    <row r="65" spans="1:5" s="54" customFormat="1" ht="12" customHeight="1" thickBot="1">
      <c r="A65" s="25" t="s">
        <v>14</v>
      </c>
      <c r="B65" s="19" t="s">
        <v>213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>
      <c r="A66" s="202" t="s">
        <v>297</v>
      </c>
      <c r="B66" s="112" t="s">
        <v>215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>
      <c r="A67" s="199" t="s">
        <v>243</v>
      </c>
      <c r="B67" s="182" t="s">
        <v>216</v>
      </c>
      <c r="C67" s="173"/>
      <c r="D67" s="291"/>
      <c r="E67" s="109"/>
    </row>
    <row r="68" spans="1:5" s="54" customFormat="1" ht="12" customHeight="1">
      <c r="A68" s="200" t="s">
        <v>252</v>
      </c>
      <c r="B68" s="183" t="s">
        <v>217</v>
      </c>
      <c r="C68" s="173"/>
      <c r="D68" s="291"/>
      <c r="E68" s="109"/>
    </row>
    <row r="69" spans="1:5" s="54" customFormat="1" ht="12" customHeight="1" thickBot="1">
      <c r="A69" s="201" t="s">
        <v>253</v>
      </c>
      <c r="B69" s="185" t="s">
        <v>218</v>
      </c>
      <c r="C69" s="173"/>
      <c r="D69" s="294"/>
      <c r="E69" s="109"/>
    </row>
    <row r="70" spans="1:5" s="54" customFormat="1" ht="12" customHeight="1" thickBot="1">
      <c r="A70" s="202" t="s">
        <v>219</v>
      </c>
      <c r="B70" s="112" t="s">
        <v>220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>
      <c r="A71" s="199" t="s">
        <v>98</v>
      </c>
      <c r="B71" s="312" t="s">
        <v>221</v>
      </c>
      <c r="C71" s="173"/>
      <c r="D71" s="173"/>
      <c r="E71" s="109"/>
    </row>
    <row r="72" spans="1:5" s="54" customFormat="1" ht="12" customHeight="1">
      <c r="A72" s="200" t="s">
        <v>99</v>
      </c>
      <c r="B72" s="312" t="s">
        <v>487</v>
      </c>
      <c r="C72" s="173"/>
      <c r="D72" s="173"/>
      <c r="E72" s="109"/>
    </row>
    <row r="73" spans="1:5" s="54" customFormat="1" ht="12" customHeight="1">
      <c r="A73" s="200" t="s">
        <v>244</v>
      </c>
      <c r="B73" s="312" t="s">
        <v>222</v>
      </c>
      <c r="C73" s="173"/>
      <c r="D73" s="173"/>
      <c r="E73" s="109"/>
    </row>
    <row r="74" spans="1:5" s="54" customFormat="1" ht="12" customHeight="1" thickBot="1">
      <c r="A74" s="201" t="s">
        <v>245</v>
      </c>
      <c r="B74" s="313" t="s">
        <v>488</v>
      </c>
      <c r="C74" s="173"/>
      <c r="D74" s="173"/>
      <c r="E74" s="109"/>
    </row>
    <row r="75" spans="1:5" s="54" customFormat="1" ht="12" customHeight="1" thickBot="1">
      <c r="A75" s="202" t="s">
        <v>223</v>
      </c>
      <c r="B75" s="112" t="s">
        <v>224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>
      <c r="A76" s="199" t="s">
        <v>246</v>
      </c>
      <c r="B76" s="182" t="s">
        <v>225</v>
      </c>
      <c r="C76" s="173"/>
      <c r="D76" s="173"/>
      <c r="E76" s="109"/>
    </row>
    <row r="77" spans="1:5" s="54" customFormat="1" ht="12" customHeight="1" thickBot="1">
      <c r="A77" s="201" t="s">
        <v>247</v>
      </c>
      <c r="B77" s="184" t="s">
        <v>226</v>
      </c>
      <c r="C77" s="173"/>
      <c r="D77" s="173"/>
      <c r="E77" s="109"/>
    </row>
    <row r="78" spans="1:5" s="53" customFormat="1" ht="12" customHeight="1" thickBot="1">
      <c r="A78" s="202" t="s">
        <v>227</v>
      </c>
      <c r="B78" s="112" t="s">
        <v>228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>
      <c r="A79" s="199" t="s">
        <v>248</v>
      </c>
      <c r="B79" s="182" t="s">
        <v>229</v>
      </c>
      <c r="C79" s="173"/>
      <c r="D79" s="173"/>
      <c r="E79" s="109"/>
    </row>
    <row r="80" spans="1:5" s="54" customFormat="1" ht="12" customHeight="1">
      <c r="A80" s="200" t="s">
        <v>249</v>
      </c>
      <c r="B80" s="183" t="s">
        <v>230</v>
      </c>
      <c r="C80" s="173"/>
      <c r="D80" s="173"/>
      <c r="E80" s="109"/>
    </row>
    <row r="81" spans="1:5" s="54" customFormat="1" ht="12" customHeight="1" thickBot="1">
      <c r="A81" s="201" t="s">
        <v>250</v>
      </c>
      <c r="B81" s="184" t="s">
        <v>489</v>
      </c>
      <c r="C81" s="173"/>
      <c r="D81" s="173"/>
      <c r="E81" s="109"/>
    </row>
    <row r="82" spans="1:5" s="54" customFormat="1" ht="12" customHeight="1" thickBot="1">
      <c r="A82" s="202" t="s">
        <v>231</v>
      </c>
      <c r="B82" s="112" t="s">
        <v>251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>
      <c r="A83" s="203" t="s">
        <v>232</v>
      </c>
      <c r="B83" s="182" t="s">
        <v>233</v>
      </c>
      <c r="C83" s="173"/>
      <c r="D83" s="173"/>
      <c r="E83" s="109"/>
    </row>
    <row r="84" spans="1:5" s="54" customFormat="1" ht="12" customHeight="1">
      <c r="A84" s="204" t="s">
        <v>234</v>
      </c>
      <c r="B84" s="183" t="s">
        <v>235</v>
      </c>
      <c r="C84" s="173"/>
      <c r="D84" s="173"/>
      <c r="E84" s="109"/>
    </row>
    <row r="85" spans="1:5" s="54" customFormat="1" ht="12" customHeight="1">
      <c r="A85" s="204" t="s">
        <v>236</v>
      </c>
      <c r="B85" s="183" t="s">
        <v>237</v>
      </c>
      <c r="C85" s="173"/>
      <c r="D85" s="173"/>
      <c r="E85" s="109"/>
    </row>
    <row r="86" spans="1:5" s="53" customFormat="1" ht="12" customHeight="1" thickBot="1">
      <c r="A86" s="205" t="s">
        <v>238</v>
      </c>
      <c r="B86" s="184" t="s">
        <v>239</v>
      </c>
      <c r="C86" s="173"/>
      <c r="D86" s="173"/>
      <c r="E86" s="109"/>
    </row>
    <row r="87" spans="1:5" s="53" customFormat="1" ht="12" customHeight="1" thickBot="1">
      <c r="A87" s="202" t="s">
        <v>240</v>
      </c>
      <c r="B87" s="112" t="s">
        <v>374</v>
      </c>
      <c r="C87" s="225"/>
      <c r="D87" s="225"/>
      <c r="E87" s="226"/>
    </row>
    <row r="88" spans="1:5" s="53" customFormat="1" ht="12" customHeight="1" thickBot="1">
      <c r="A88" s="202" t="s">
        <v>391</v>
      </c>
      <c r="B88" s="112" t="s">
        <v>241</v>
      </c>
      <c r="C88" s="225"/>
      <c r="D88" s="225"/>
      <c r="E88" s="226"/>
    </row>
    <row r="89" spans="1:5" s="53" customFormat="1" ht="12" customHeight="1" thickBot="1">
      <c r="A89" s="202" t="s">
        <v>392</v>
      </c>
      <c r="B89" s="189" t="s">
        <v>377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>
      <c r="A90" s="206" t="s">
        <v>393</v>
      </c>
      <c r="B90" s="190" t="s">
        <v>394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>
      <c r="A91" s="89"/>
      <c r="B91" s="90"/>
      <c r="C91" s="151"/>
    </row>
    <row r="92" spans="1:5" s="47" customFormat="1" ht="16.5" customHeight="1" thickBot="1">
      <c r="A92" s="850" t="s">
        <v>40</v>
      </c>
      <c r="B92" s="851"/>
      <c r="C92" s="851"/>
      <c r="D92" s="851"/>
      <c r="E92" s="852"/>
    </row>
    <row r="93" spans="1:5" s="55" customFormat="1" ht="12" customHeight="1" thickBot="1">
      <c r="A93" s="176" t="s">
        <v>6</v>
      </c>
      <c r="B93" s="24" t="s">
        <v>398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>
      <c r="A94" s="207" t="s">
        <v>63</v>
      </c>
      <c r="B94" s="8" t="s">
        <v>35</v>
      </c>
      <c r="C94" s="247"/>
      <c r="D94" s="247"/>
      <c r="E94" s="241"/>
    </row>
    <row r="95" spans="1:5" ht="12" customHeight="1">
      <c r="A95" s="200" t="s">
        <v>64</v>
      </c>
      <c r="B95" s="6" t="s">
        <v>122</v>
      </c>
      <c r="C95" s="170"/>
      <c r="D95" s="170"/>
      <c r="E95" s="106"/>
    </row>
    <row r="96" spans="1:5" ht="12" customHeight="1">
      <c r="A96" s="200" t="s">
        <v>65</v>
      </c>
      <c r="B96" s="6" t="s">
        <v>90</v>
      </c>
      <c r="C96" s="172"/>
      <c r="D96" s="170"/>
      <c r="E96" s="108"/>
    </row>
    <row r="97" spans="1:5" ht="12" customHeight="1">
      <c r="A97" s="200" t="s">
        <v>66</v>
      </c>
      <c r="B97" s="9" t="s">
        <v>123</v>
      </c>
      <c r="C97" s="172"/>
      <c r="D97" s="260"/>
      <c r="E97" s="108"/>
    </row>
    <row r="98" spans="1:5" ht="12" customHeight="1">
      <c r="A98" s="200" t="s">
        <v>75</v>
      </c>
      <c r="B98" s="17" t="s">
        <v>124</v>
      </c>
      <c r="C98" s="172"/>
      <c r="D98" s="260"/>
      <c r="E98" s="108"/>
    </row>
    <row r="99" spans="1:5" ht="12" customHeight="1">
      <c r="A99" s="200" t="s">
        <v>67</v>
      </c>
      <c r="B99" s="6" t="s">
        <v>395</v>
      </c>
      <c r="C99" s="172"/>
      <c r="D99" s="260"/>
      <c r="E99" s="108"/>
    </row>
    <row r="100" spans="1:5" ht="12" customHeight="1">
      <c r="A100" s="200" t="s">
        <v>68</v>
      </c>
      <c r="B100" s="65" t="s">
        <v>340</v>
      </c>
      <c r="C100" s="172"/>
      <c r="D100" s="260"/>
      <c r="E100" s="108"/>
    </row>
    <row r="101" spans="1:5" ht="12" customHeight="1">
      <c r="A101" s="200" t="s">
        <v>76</v>
      </c>
      <c r="B101" s="65" t="s">
        <v>339</v>
      </c>
      <c r="C101" s="172"/>
      <c r="D101" s="260"/>
      <c r="E101" s="108"/>
    </row>
    <row r="102" spans="1:5" ht="12" customHeight="1">
      <c r="A102" s="200" t="s">
        <v>77</v>
      </c>
      <c r="B102" s="65" t="s">
        <v>257</v>
      </c>
      <c r="C102" s="172"/>
      <c r="D102" s="260"/>
      <c r="E102" s="108"/>
    </row>
    <row r="103" spans="1:5" ht="12" customHeight="1">
      <c r="A103" s="200" t="s">
        <v>78</v>
      </c>
      <c r="B103" s="66" t="s">
        <v>258</v>
      </c>
      <c r="C103" s="172"/>
      <c r="D103" s="260"/>
      <c r="E103" s="108"/>
    </row>
    <row r="104" spans="1:5" ht="12" customHeight="1">
      <c r="A104" s="200" t="s">
        <v>79</v>
      </c>
      <c r="B104" s="66" t="s">
        <v>259</v>
      </c>
      <c r="C104" s="172"/>
      <c r="D104" s="260"/>
      <c r="E104" s="108"/>
    </row>
    <row r="105" spans="1:5" ht="12" customHeight="1">
      <c r="A105" s="200" t="s">
        <v>81</v>
      </c>
      <c r="B105" s="65" t="s">
        <v>260</v>
      </c>
      <c r="C105" s="172"/>
      <c r="D105" s="260"/>
      <c r="E105" s="108"/>
    </row>
    <row r="106" spans="1:5" ht="12" customHeight="1">
      <c r="A106" s="200" t="s">
        <v>125</v>
      </c>
      <c r="B106" s="65" t="s">
        <v>261</v>
      </c>
      <c r="C106" s="172"/>
      <c r="D106" s="260"/>
      <c r="E106" s="108"/>
    </row>
    <row r="107" spans="1:5" ht="12" customHeight="1">
      <c r="A107" s="200" t="s">
        <v>255</v>
      </c>
      <c r="B107" s="66" t="s">
        <v>262</v>
      </c>
      <c r="C107" s="170"/>
      <c r="D107" s="260"/>
      <c r="E107" s="108"/>
    </row>
    <row r="108" spans="1:5" ht="12" customHeight="1">
      <c r="A108" s="208" t="s">
        <v>256</v>
      </c>
      <c r="B108" s="67" t="s">
        <v>263</v>
      </c>
      <c r="C108" s="172"/>
      <c r="D108" s="260"/>
      <c r="E108" s="108"/>
    </row>
    <row r="109" spans="1:5" ht="12" customHeight="1">
      <c r="A109" s="200" t="s">
        <v>337</v>
      </c>
      <c r="B109" s="67" t="s">
        <v>264</v>
      </c>
      <c r="C109" s="172"/>
      <c r="D109" s="260"/>
      <c r="E109" s="108"/>
    </row>
    <row r="110" spans="1:5" ht="12" customHeight="1">
      <c r="A110" s="200" t="s">
        <v>338</v>
      </c>
      <c r="B110" s="66" t="s">
        <v>265</v>
      </c>
      <c r="C110" s="170"/>
      <c r="D110" s="259"/>
      <c r="E110" s="106"/>
    </row>
    <row r="111" spans="1:5" ht="12" customHeight="1">
      <c r="A111" s="200" t="s">
        <v>342</v>
      </c>
      <c r="B111" s="9" t="s">
        <v>36</v>
      </c>
      <c r="C111" s="170"/>
      <c r="D111" s="259"/>
      <c r="E111" s="106"/>
    </row>
    <row r="112" spans="1:5" ht="12" customHeight="1">
      <c r="A112" s="201" t="s">
        <v>343</v>
      </c>
      <c r="B112" s="6" t="s">
        <v>396</v>
      </c>
      <c r="C112" s="172"/>
      <c r="D112" s="260"/>
      <c r="E112" s="108"/>
    </row>
    <row r="113" spans="1:5" ht="12" customHeight="1" thickBot="1">
      <c r="A113" s="209" t="s">
        <v>344</v>
      </c>
      <c r="B113" s="68" t="s">
        <v>397</v>
      </c>
      <c r="C113" s="248"/>
      <c r="D113" s="297"/>
      <c r="E113" s="242"/>
    </row>
    <row r="114" spans="1:5" ht="12" customHeight="1" thickBot="1">
      <c r="A114" s="25" t="s">
        <v>7</v>
      </c>
      <c r="B114" s="23" t="s">
        <v>266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>
      <c r="A115" s="199" t="s">
        <v>69</v>
      </c>
      <c r="B115" s="6" t="s">
        <v>142</v>
      </c>
      <c r="C115" s="171"/>
      <c r="D115" s="258"/>
      <c r="E115" s="107"/>
    </row>
    <row r="116" spans="1:5" ht="12" customHeight="1">
      <c r="A116" s="199" t="s">
        <v>70</v>
      </c>
      <c r="B116" s="10" t="s">
        <v>270</v>
      </c>
      <c r="C116" s="171"/>
      <c r="D116" s="258"/>
      <c r="E116" s="107"/>
    </row>
    <row r="117" spans="1:5" ht="12" customHeight="1">
      <c r="A117" s="199" t="s">
        <v>71</v>
      </c>
      <c r="B117" s="10" t="s">
        <v>126</v>
      </c>
      <c r="C117" s="170"/>
      <c r="D117" s="259"/>
      <c r="E117" s="106"/>
    </row>
    <row r="118" spans="1:5" ht="12" customHeight="1">
      <c r="A118" s="199" t="s">
        <v>72</v>
      </c>
      <c r="B118" s="10" t="s">
        <v>271</v>
      </c>
      <c r="C118" s="170"/>
      <c r="D118" s="259"/>
      <c r="E118" s="106"/>
    </row>
    <row r="119" spans="1:5" ht="12" customHeight="1">
      <c r="A119" s="199" t="s">
        <v>73</v>
      </c>
      <c r="B119" s="114" t="s">
        <v>144</v>
      </c>
      <c r="C119" s="170"/>
      <c r="D119" s="259"/>
      <c r="E119" s="106"/>
    </row>
    <row r="120" spans="1:5" ht="12" customHeight="1">
      <c r="A120" s="199" t="s">
        <v>80</v>
      </c>
      <c r="B120" s="113" t="s">
        <v>329</v>
      </c>
      <c r="C120" s="170"/>
      <c r="D120" s="259"/>
      <c r="E120" s="106"/>
    </row>
    <row r="121" spans="1:5" ht="12" customHeight="1">
      <c r="A121" s="199" t="s">
        <v>82</v>
      </c>
      <c r="B121" s="178" t="s">
        <v>276</v>
      </c>
      <c r="C121" s="170"/>
      <c r="D121" s="259"/>
      <c r="E121" s="106"/>
    </row>
    <row r="122" spans="1:5" ht="12" customHeight="1">
      <c r="A122" s="199" t="s">
        <v>127</v>
      </c>
      <c r="B122" s="66" t="s">
        <v>259</v>
      </c>
      <c r="C122" s="170"/>
      <c r="D122" s="259"/>
      <c r="E122" s="106"/>
    </row>
    <row r="123" spans="1:5" ht="12" customHeight="1">
      <c r="A123" s="199" t="s">
        <v>128</v>
      </c>
      <c r="B123" s="66" t="s">
        <v>275</v>
      </c>
      <c r="C123" s="170"/>
      <c r="D123" s="259"/>
      <c r="E123" s="106"/>
    </row>
    <row r="124" spans="1:5" ht="12" customHeight="1">
      <c r="A124" s="199" t="s">
        <v>129</v>
      </c>
      <c r="B124" s="66" t="s">
        <v>274</v>
      </c>
      <c r="C124" s="170"/>
      <c r="D124" s="259"/>
      <c r="E124" s="106"/>
    </row>
    <row r="125" spans="1:5" ht="12" customHeight="1">
      <c r="A125" s="199" t="s">
        <v>267</v>
      </c>
      <c r="B125" s="66" t="s">
        <v>262</v>
      </c>
      <c r="C125" s="170"/>
      <c r="D125" s="259"/>
      <c r="E125" s="106"/>
    </row>
    <row r="126" spans="1:5" ht="12" customHeight="1">
      <c r="A126" s="199" t="s">
        <v>268</v>
      </c>
      <c r="B126" s="66" t="s">
        <v>273</v>
      </c>
      <c r="C126" s="170"/>
      <c r="D126" s="259"/>
      <c r="E126" s="106"/>
    </row>
    <row r="127" spans="1:5" ht="12" customHeight="1" thickBot="1">
      <c r="A127" s="208" t="s">
        <v>269</v>
      </c>
      <c r="B127" s="66" t="s">
        <v>272</v>
      </c>
      <c r="C127" s="172"/>
      <c r="D127" s="260"/>
      <c r="E127" s="108"/>
    </row>
    <row r="128" spans="1:5" ht="12" customHeight="1" thickBot="1">
      <c r="A128" s="25" t="s">
        <v>8</v>
      </c>
      <c r="B128" s="59" t="s">
        <v>347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>
      <c r="A129" s="25" t="s">
        <v>9</v>
      </c>
      <c r="B129" s="59" t="s">
        <v>348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>
      <c r="A130" s="199" t="s">
        <v>176</v>
      </c>
      <c r="B130" s="7" t="s">
        <v>401</v>
      </c>
      <c r="C130" s="170"/>
      <c r="D130" s="259"/>
      <c r="E130" s="106"/>
    </row>
    <row r="131" spans="1:11" ht="12" customHeight="1">
      <c r="A131" s="199" t="s">
        <v>177</v>
      </c>
      <c r="B131" s="7" t="s">
        <v>356</v>
      </c>
      <c r="C131" s="170"/>
      <c r="D131" s="259"/>
      <c r="E131" s="106"/>
    </row>
    <row r="132" spans="1:11" ht="12" customHeight="1" thickBot="1">
      <c r="A132" s="208" t="s">
        <v>178</v>
      </c>
      <c r="B132" s="5" t="s">
        <v>400</v>
      </c>
      <c r="C132" s="170"/>
      <c r="D132" s="259"/>
      <c r="E132" s="106"/>
    </row>
    <row r="133" spans="1:11" ht="12" customHeight="1" thickBot="1">
      <c r="A133" s="25" t="s">
        <v>10</v>
      </c>
      <c r="B133" s="59" t="s">
        <v>349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>
      <c r="A134" s="199" t="s">
        <v>56</v>
      </c>
      <c r="B134" s="7" t="s">
        <v>358</v>
      </c>
      <c r="C134" s="170"/>
      <c r="D134" s="259"/>
      <c r="E134" s="106"/>
    </row>
    <row r="135" spans="1:11" ht="12" customHeight="1">
      <c r="A135" s="199" t="s">
        <v>57</v>
      </c>
      <c r="B135" s="7" t="s">
        <v>350</v>
      </c>
      <c r="C135" s="170"/>
      <c r="D135" s="259"/>
      <c r="E135" s="106"/>
    </row>
    <row r="136" spans="1:11" ht="12" customHeight="1">
      <c r="A136" s="199" t="s">
        <v>58</v>
      </c>
      <c r="B136" s="7" t="s">
        <v>351</v>
      </c>
      <c r="C136" s="170"/>
      <c r="D136" s="259"/>
      <c r="E136" s="106"/>
    </row>
    <row r="137" spans="1:11" ht="12" customHeight="1">
      <c r="A137" s="199" t="s">
        <v>114</v>
      </c>
      <c r="B137" s="7" t="s">
        <v>399</v>
      </c>
      <c r="C137" s="170"/>
      <c r="D137" s="259"/>
      <c r="E137" s="106"/>
    </row>
    <row r="138" spans="1:11" ht="12" customHeight="1">
      <c r="A138" s="199" t="s">
        <v>115</v>
      </c>
      <c r="B138" s="7" t="s">
        <v>353</v>
      </c>
      <c r="C138" s="170"/>
      <c r="D138" s="259"/>
      <c r="E138" s="106"/>
    </row>
    <row r="139" spans="1:11" s="55" customFormat="1" ht="12" customHeight="1" thickBot="1">
      <c r="A139" s="208" t="s">
        <v>116</v>
      </c>
      <c r="B139" s="5" t="s">
        <v>354</v>
      </c>
      <c r="C139" s="170"/>
      <c r="D139" s="259"/>
      <c r="E139" s="106"/>
    </row>
    <row r="140" spans="1:11" ht="12" customHeight="1" thickBot="1">
      <c r="A140" s="25" t="s">
        <v>11</v>
      </c>
      <c r="B140" s="59" t="s">
        <v>414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>
      <c r="A141" s="199" t="s">
        <v>59</v>
      </c>
      <c r="B141" s="7" t="s">
        <v>277</v>
      </c>
      <c r="C141" s="170"/>
      <c r="D141" s="259"/>
      <c r="E141" s="106"/>
    </row>
    <row r="142" spans="1:11" ht="12" customHeight="1">
      <c r="A142" s="199" t="s">
        <v>60</v>
      </c>
      <c r="B142" s="7" t="s">
        <v>278</v>
      </c>
      <c r="C142" s="170"/>
      <c r="D142" s="259"/>
      <c r="E142" s="106"/>
    </row>
    <row r="143" spans="1:11" ht="12" customHeight="1">
      <c r="A143" s="199" t="s">
        <v>194</v>
      </c>
      <c r="B143" s="7" t="s">
        <v>413</v>
      </c>
      <c r="C143" s="170"/>
      <c r="D143" s="259"/>
      <c r="E143" s="106"/>
    </row>
    <row r="144" spans="1:11" s="55" customFormat="1" ht="12" customHeight="1">
      <c r="A144" s="199" t="s">
        <v>195</v>
      </c>
      <c r="B144" s="7" t="s">
        <v>363</v>
      </c>
      <c r="C144" s="170"/>
      <c r="D144" s="259"/>
      <c r="E144" s="106"/>
    </row>
    <row r="145" spans="1:5" s="55" customFormat="1" ht="12" customHeight="1" thickBot="1">
      <c r="A145" s="208" t="s">
        <v>196</v>
      </c>
      <c r="B145" s="5" t="s">
        <v>293</v>
      </c>
      <c r="C145" s="170"/>
      <c r="D145" s="259"/>
      <c r="E145" s="106"/>
    </row>
    <row r="146" spans="1:5" s="55" customFormat="1" ht="12" customHeight="1" thickBot="1">
      <c r="A146" s="25" t="s">
        <v>12</v>
      </c>
      <c r="B146" s="59" t="s">
        <v>364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>
      <c r="A147" s="199" t="s">
        <v>61</v>
      </c>
      <c r="B147" s="7" t="s">
        <v>359</v>
      </c>
      <c r="C147" s="170"/>
      <c r="D147" s="259"/>
      <c r="E147" s="106"/>
    </row>
    <row r="148" spans="1:5" s="55" customFormat="1" ht="12" customHeight="1">
      <c r="A148" s="199" t="s">
        <v>62</v>
      </c>
      <c r="B148" s="7" t="s">
        <v>366</v>
      </c>
      <c r="C148" s="170"/>
      <c r="D148" s="259"/>
      <c r="E148" s="106"/>
    </row>
    <row r="149" spans="1:5" s="55" customFormat="1" ht="12" customHeight="1">
      <c r="A149" s="199" t="s">
        <v>206</v>
      </c>
      <c r="B149" s="7" t="s">
        <v>361</v>
      </c>
      <c r="C149" s="170"/>
      <c r="D149" s="259"/>
      <c r="E149" s="106"/>
    </row>
    <row r="150" spans="1:5" s="55" customFormat="1" ht="12" customHeight="1">
      <c r="A150" s="199" t="s">
        <v>207</v>
      </c>
      <c r="B150" s="7" t="s">
        <v>402</v>
      </c>
      <c r="C150" s="170"/>
      <c r="D150" s="259"/>
      <c r="E150" s="106"/>
    </row>
    <row r="151" spans="1:5" ht="12.75" customHeight="1" thickBot="1">
      <c r="A151" s="208" t="s">
        <v>365</v>
      </c>
      <c r="B151" s="5" t="s">
        <v>368</v>
      </c>
      <c r="C151" s="172"/>
      <c r="D151" s="260"/>
      <c r="E151" s="108"/>
    </row>
    <row r="152" spans="1:5" ht="12.75" customHeight="1" thickBot="1">
      <c r="A152" s="239" t="s">
        <v>13</v>
      </c>
      <c r="B152" s="59" t="s">
        <v>369</v>
      </c>
      <c r="C152" s="250"/>
      <c r="D152" s="262"/>
      <c r="E152" s="244"/>
    </row>
    <row r="153" spans="1:5" ht="12.75" customHeight="1" thickBot="1">
      <c r="A153" s="239" t="s">
        <v>14</v>
      </c>
      <c r="B153" s="59" t="s">
        <v>370</v>
      </c>
      <c r="C153" s="250"/>
      <c r="D153" s="262"/>
      <c r="E153" s="244"/>
    </row>
    <row r="154" spans="1:5" ht="12" customHeight="1" thickBot="1">
      <c r="A154" s="25" t="s">
        <v>15</v>
      </c>
      <c r="B154" s="59" t="s">
        <v>372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>
      <c r="A155" s="210" t="s">
        <v>16</v>
      </c>
      <c r="B155" s="156" t="s">
        <v>371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>
      <c r="A156" s="159"/>
      <c r="B156" s="160"/>
      <c r="C156" s="660">
        <f>C90-C155</f>
        <v>0</v>
      </c>
      <c r="D156" s="660">
        <f>D90-D155</f>
        <v>0</v>
      </c>
      <c r="E156" s="161"/>
    </row>
    <row r="157" spans="1:5" ht="15.2" customHeight="1" thickBot="1">
      <c r="A157" s="306" t="s">
        <v>482</v>
      </c>
      <c r="B157" s="307"/>
      <c r="C157" s="296"/>
      <c r="D157" s="296"/>
      <c r="E157" s="295"/>
    </row>
    <row r="158" spans="1:5" ht="14.45" customHeight="1" thickBot="1">
      <c r="A158" s="308" t="s">
        <v>483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328"/>
      <c r="B1" s="854" t="str">
        <f>CONCATENATE("6.1.3. melléklet ",Z_ALAPADATOK!A7," ",Z_ALAPADATOK!B7," ",Z_ALAPADATOK!C7," ",Z_ALAPADATOK!D7," ",Z_ALAPADATOK!E7," ",Z_ALAPADATOK!F7," ",Z_ALAPADATOK!G7," ",Z_ALAPADATOK!H7)</f>
        <v>6.1.3. melléklet a … / 2021. ( … ) önkormányzati rendelethez</v>
      </c>
      <c r="C1" s="855"/>
      <c r="D1" s="855"/>
      <c r="E1" s="855"/>
    </row>
    <row r="2" spans="1:5" s="51" customFormat="1" ht="21.2" customHeight="1" thickBot="1">
      <c r="A2" s="337" t="s">
        <v>44</v>
      </c>
      <c r="B2" s="853" t="str">
        <f>CONCATENATE(Z_ALAPADATOK!A3)</f>
        <v>Borsodivánka Község Önkormányzata</v>
      </c>
      <c r="C2" s="853"/>
      <c r="D2" s="853"/>
      <c r="E2" s="338" t="s">
        <v>38</v>
      </c>
    </row>
    <row r="3" spans="1:5" s="51" customFormat="1" ht="24.75" thickBot="1">
      <c r="A3" s="337" t="s">
        <v>134</v>
      </c>
      <c r="B3" s="853" t="s">
        <v>412</v>
      </c>
      <c r="C3" s="853"/>
      <c r="D3" s="853"/>
      <c r="E3" s="339" t="s">
        <v>42</v>
      </c>
    </row>
    <row r="4" spans="1:5" s="52" customFormat="1" ht="15.95" customHeight="1" thickBot="1">
      <c r="A4" s="331"/>
      <c r="B4" s="331"/>
      <c r="C4" s="332"/>
      <c r="D4" s="333"/>
      <c r="E4" s="332" t="str">
        <f>Z_6.1.2.sz.mell!E4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CONCATENATE(Z_6.1.2.sz.mell!E5)</f>
        <v>Teljesítés
2020. XII. 31.</v>
      </c>
    </row>
    <row r="6" spans="1:5" s="47" customFormat="1" ht="12.95" customHeight="1" thickBot="1">
      <c r="A6" s="77" t="s">
        <v>382</v>
      </c>
      <c r="B6" s="78" t="s">
        <v>383</v>
      </c>
      <c r="C6" s="78" t="s">
        <v>384</v>
      </c>
      <c r="D6" s="290" t="s">
        <v>386</v>
      </c>
      <c r="E6" s="79" t="s">
        <v>385</v>
      </c>
    </row>
    <row r="7" spans="1:5" s="47" customFormat="1" ht="15.95" customHeight="1" thickBot="1">
      <c r="A7" s="850" t="s">
        <v>39</v>
      </c>
      <c r="B7" s="851"/>
      <c r="C7" s="851"/>
      <c r="D7" s="851"/>
      <c r="E7" s="852"/>
    </row>
    <row r="8" spans="1:5" s="47" customFormat="1" ht="12" customHeight="1" thickBot="1">
      <c r="A8" s="25" t="s">
        <v>6</v>
      </c>
      <c r="B8" s="19" t="s">
        <v>161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>
      <c r="A9" s="199" t="s">
        <v>63</v>
      </c>
      <c r="B9" s="182" t="s">
        <v>162</v>
      </c>
      <c r="C9" s="171"/>
      <c r="D9" s="258"/>
      <c r="E9" s="107"/>
    </row>
    <row r="10" spans="1:5" s="54" customFormat="1" ht="12" customHeight="1">
      <c r="A10" s="200" t="s">
        <v>64</v>
      </c>
      <c r="B10" s="183" t="s">
        <v>163</v>
      </c>
      <c r="C10" s="170"/>
      <c r="D10" s="259"/>
      <c r="E10" s="106"/>
    </row>
    <row r="11" spans="1:5" s="54" customFormat="1" ht="12" customHeight="1">
      <c r="A11" s="200" t="s">
        <v>65</v>
      </c>
      <c r="B11" s="183" t="s">
        <v>164</v>
      </c>
      <c r="C11" s="170"/>
      <c r="D11" s="259"/>
      <c r="E11" s="106"/>
    </row>
    <row r="12" spans="1:5" s="54" customFormat="1" ht="12" customHeight="1">
      <c r="A12" s="200" t="s">
        <v>66</v>
      </c>
      <c r="B12" s="183" t="s">
        <v>165</v>
      </c>
      <c r="C12" s="170"/>
      <c r="D12" s="259"/>
      <c r="E12" s="106"/>
    </row>
    <row r="13" spans="1:5" s="54" customFormat="1" ht="12" customHeight="1">
      <c r="A13" s="200" t="s">
        <v>97</v>
      </c>
      <c r="B13" s="183" t="s">
        <v>390</v>
      </c>
      <c r="C13" s="170"/>
      <c r="D13" s="259"/>
      <c r="E13" s="106"/>
    </row>
    <row r="14" spans="1:5" s="53" customFormat="1" ht="12" customHeight="1" thickBot="1">
      <c r="A14" s="201" t="s">
        <v>67</v>
      </c>
      <c r="B14" s="184" t="s">
        <v>332</v>
      </c>
      <c r="C14" s="170"/>
      <c r="D14" s="259"/>
      <c r="E14" s="106"/>
    </row>
    <row r="15" spans="1:5" s="53" customFormat="1" ht="12" customHeight="1" thickBot="1">
      <c r="A15" s="25" t="s">
        <v>7</v>
      </c>
      <c r="B15" s="112" t="s">
        <v>166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>
      <c r="A16" s="199" t="s">
        <v>69</v>
      </c>
      <c r="B16" s="182" t="s">
        <v>167</v>
      </c>
      <c r="C16" s="171"/>
      <c r="D16" s="258"/>
      <c r="E16" s="107"/>
    </row>
    <row r="17" spans="1:5" s="53" customFormat="1" ht="12" customHeight="1">
      <c r="A17" s="200" t="s">
        <v>70</v>
      </c>
      <c r="B17" s="183" t="s">
        <v>168</v>
      </c>
      <c r="C17" s="170"/>
      <c r="D17" s="259"/>
      <c r="E17" s="106"/>
    </row>
    <row r="18" spans="1:5" s="53" customFormat="1" ht="12" customHeight="1">
      <c r="A18" s="200" t="s">
        <v>71</v>
      </c>
      <c r="B18" s="183" t="s">
        <v>323</v>
      </c>
      <c r="C18" s="170"/>
      <c r="D18" s="259"/>
      <c r="E18" s="106"/>
    </row>
    <row r="19" spans="1:5" s="53" customFormat="1" ht="12" customHeight="1">
      <c r="A19" s="200" t="s">
        <v>72</v>
      </c>
      <c r="B19" s="183" t="s">
        <v>324</v>
      </c>
      <c r="C19" s="170"/>
      <c r="D19" s="259"/>
      <c r="E19" s="106"/>
    </row>
    <row r="20" spans="1:5" s="53" customFormat="1" ht="12" customHeight="1">
      <c r="A20" s="200" t="s">
        <v>73</v>
      </c>
      <c r="B20" s="183" t="s">
        <v>169</v>
      </c>
      <c r="C20" s="170"/>
      <c r="D20" s="259"/>
      <c r="E20" s="106"/>
    </row>
    <row r="21" spans="1:5" s="54" customFormat="1" ht="12" customHeight="1" thickBot="1">
      <c r="A21" s="201" t="s">
        <v>80</v>
      </c>
      <c r="B21" s="184" t="s">
        <v>170</v>
      </c>
      <c r="C21" s="172"/>
      <c r="D21" s="260"/>
      <c r="E21" s="108"/>
    </row>
    <row r="22" spans="1:5" s="54" customFormat="1" ht="12" customHeight="1" thickBot="1">
      <c r="A22" s="25" t="s">
        <v>8</v>
      </c>
      <c r="B22" s="19" t="s">
        <v>171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>
      <c r="A23" s="199" t="s">
        <v>52</v>
      </c>
      <c r="B23" s="182" t="s">
        <v>172</v>
      </c>
      <c r="C23" s="171"/>
      <c r="D23" s="258"/>
      <c r="E23" s="107"/>
    </row>
    <row r="24" spans="1:5" s="53" customFormat="1" ht="12" customHeight="1">
      <c r="A24" s="200" t="s">
        <v>53</v>
      </c>
      <c r="B24" s="183" t="s">
        <v>173</v>
      </c>
      <c r="C24" s="170"/>
      <c r="D24" s="259"/>
      <c r="E24" s="106"/>
    </row>
    <row r="25" spans="1:5" s="54" customFormat="1" ht="12" customHeight="1">
      <c r="A25" s="200" t="s">
        <v>54</v>
      </c>
      <c r="B25" s="183" t="s">
        <v>325</v>
      </c>
      <c r="C25" s="170"/>
      <c r="D25" s="259"/>
      <c r="E25" s="106"/>
    </row>
    <row r="26" spans="1:5" s="54" customFormat="1" ht="12" customHeight="1">
      <c r="A26" s="200" t="s">
        <v>55</v>
      </c>
      <c r="B26" s="183" t="s">
        <v>326</v>
      </c>
      <c r="C26" s="170"/>
      <c r="D26" s="259"/>
      <c r="E26" s="106"/>
    </row>
    <row r="27" spans="1:5" s="54" customFormat="1" ht="12" customHeight="1">
      <c r="A27" s="200" t="s">
        <v>110</v>
      </c>
      <c r="B27" s="183" t="s">
        <v>174</v>
      </c>
      <c r="C27" s="170"/>
      <c r="D27" s="259"/>
      <c r="E27" s="106"/>
    </row>
    <row r="28" spans="1:5" s="54" customFormat="1" ht="12" customHeight="1" thickBot="1">
      <c r="A28" s="201" t="s">
        <v>111</v>
      </c>
      <c r="B28" s="184" t="s">
        <v>175</v>
      </c>
      <c r="C28" s="172"/>
      <c r="D28" s="260"/>
      <c r="E28" s="108"/>
    </row>
    <row r="29" spans="1:5" s="54" customFormat="1" ht="12" customHeight="1" thickBot="1">
      <c r="A29" s="25" t="s">
        <v>112</v>
      </c>
      <c r="B29" s="19" t="s">
        <v>473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>
      <c r="A30" s="199" t="s">
        <v>176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>
      <c r="A31" s="200" t="s">
        <v>177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>
      <c r="A32" s="200" t="s">
        <v>178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>
      <c r="A33" s="200" t="s">
        <v>179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>
      <c r="A34" s="200" t="s">
        <v>477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>
      <c r="A35" s="200" t="s">
        <v>478</v>
      </c>
      <c r="B35" s="182" t="str">
        <f>Z_1.1.sz.mell.!B38</f>
        <v>Egyéb közhatalmi bevételek</v>
      </c>
      <c r="C35" s="170"/>
      <c r="D35" s="170"/>
      <c r="E35" s="106"/>
    </row>
    <row r="36" spans="1:5" s="54" customFormat="1" ht="12" customHeight="1" thickBot="1">
      <c r="A36" s="201" t="s">
        <v>479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>
      <c r="A37" s="25" t="s">
        <v>10</v>
      </c>
      <c r="B37" s="19" t="s">
        <v>333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>
      <c r="A38" s="199" t="s">
        <v>56</v>
      </c>
      <c r="B38" s="182" t="s">
        <v>183</v>
      </c>
      <c r="C38" s="171"/>
      <c r="D38" s="258"/>
      <c r="E38" s="107"/>
    </row>
    <row r="39" spans="1:5" s="54" customFormat="1" ht="12" customHeight="1">
      <c r="A39" s="200" t="s">
        <v>57</v>
      </c>
      <c r="B39" s="183" t="s">
        <v>184</v>
      </c>
      <c r="C39" s="170"/>
      <c r="D39" s="259"/>
      <c r="E39" s="106"/>
    </row>
    <row r="40" spans="1:5" s="54" customFormat="1" ht="12" customHeight="1">
      <c r="A40" s="200" t="s">
        <v>58</v>
      </c>
      <c r="B40" s="183" t="s">
        <v>185</v>
      </c>
      <c r="C40" s="170"/>
      <c r="D40" s="259"/>
      <c r="E40" s="106"/>
    </row>
    <row r="41" spans="1:5" s="54" customFormat="1" ht="12" customHeight="1">
      <c r="A41" s="200" t="s">
        <v>114</v>
      </c>
      <c r="B41" s="183" t="s">
        <v>186</v>
      </c>
      <c r="C41" s="170"/>
      <c r="D41" s="259"/>
      <c r="E41" s="106"/>
    </row>
    <row r="42" spans="1:5" s="54" customFormat="1" ht="12" customHeight="1">
      <c r="A42" s="200" t="s">
        <v>115</v>
      </c>
      <c r="B42" s="183" t="s">
        <v>187</v>
      </c>
      <c r="C42" s="170"/>
      <c r="D42" s="259"/>
      <c r="E42" s="106"/>
    </row>
    <row r="43" spans="1:5" s="54" customFormat="1" ht="12" customHeight="1">
      <c r="A43" s="200" t="s">
        <v>116</v>
      </c>
      <c r="B43" s="183" t="s">
        <v>188</v>
      </c>
      <c r="C43" s="170"/>
      <c r="D43" s="259"/>
      <c r="E43" s="106"/>
    </row>
    <row r="44" spans="1:5" s="54" customFormat="1" ht="12" customHeight="1">
      <c r="A44" s="200" t="s">
        <v>117</v>
      </c>
      <c r="B44" s="183" t="s">
        <v>189</v>
      </c>
      <c r="C44" s="170"/>
      <c r="D44" s="259"/>
      <c r="E44" s="106"/>
    </row>
    <row r="45" spans="1:5" s="54" customFormat="1" ht="12" customHeight="1">
      <c r="A45" s="200" t="s">
        <v>118</v>
      </c>
      <c r="B45" s="183" t="s">
        <v>480</v>
      </c>
      <c r="C45" s="170"/>
      <c r="D45" s="259"/>
      <c r="E45" s="106"/>
    </row>
    <row r="46" spans="1:5" s="54" customFormat="1" ht="12" customHeight="1">
      <c r="A46" s="200" t="s">
        <v>181</v>
      </c>
      <c r="B46" s="183" t="s">
        <v>191</v>
      </c>
      <c r="C46" s="173"/>
      <c r="D46" s="291"/>
      <c r="E46" s="109"/>
    </row>
    <row r="47" spans="1:5" s="54" customFormat="1" ht="12" customHeight="1">
      <c r="A47" s="201" t="s">
        <v>182</v>
      </c>
      <c r="B47" s="184" t="s">
        <v>335</v>
      </c>
      <c r="C47" s="174"/>
      <c r="D47" s="292"/>
      <c r="E47" s="110"/>
    </row>
    <row r="48" spans="1:5" s="54" customFormat="1" ht="12" customHeight="1" thickBot="1">
      <c r="A48" s="201" t="s">
        <v>334</v>
      </c>
      <c r="B48" s="184" t="s">
        <v>192</v>
      </c>
      <c r="C48" s="174"/>
      <c r="D48" s="292"/>
      <c r="E48" s="110"/>
    </row>
    <row r="49" spans="1:5" s="54" customFormat="1" ht="12" customHeight="1" thickBot="1">
      <c r="A49" s="25" t="s">
        <v>11</v>
      </c>
      <c r="B49" s="19" t="s">
        <v>193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>
      <c r="A50" s="199" t="s">
        <v>59</v>
      </c>
      <c r="B50" s="182" t="s">
        <v>197</v>
      </c>
      <c r="C50" s="222"/>
      <c r="D50" s="293"/>
      <c r="E50" s="111"/>
    </row>
    <row r="51" spans="1:5" s="54" customFormat="1" ht="12" customHeight="1">
      <c r="A51" s="200" t="s">
        <v>60</v>
      </c>
      <c r="B51" s="183" t="s">
        <v>198</v>
      </c>
      <c r="C51" s="173"/>
      <c r="D51" s="291"/>
      <c r="E51" s="109"/>
    </row>
    <row r="52" spans="1:5" s="54" customFormat="1" ht="12" customHeight="1">
      <c r="A52" s="200" t="s">
        <v>194</v>
      </c>
      <c r="B52" s="183" t="s">
        <v>199</v>
      </c>
      <c r="C52" s="173"/>
      <c r="D52" s="291"/>
      <c r="E52" s="109"/>
    </row>
    <row r="53" spans="1:5" s="54" customFormat="1" ht="12" customHeight="1">
      <c r="A53" s="200" t="s">
        <v>195</v>
      </c>
      <c r="B53" s="183" t="s">
        <v>200</v>
      </c>
      <c r="C53" s="173"/>
      <c r="D53" s="291"/>
      <c r="E53" s="109"/>
    </row>
    <row r="54" spans="1:5" s="54" customFormat="1" ht="12" customHeight="1" thickBot="1">
      <c r="A54" s="201" t="s">
        <v>196</v>
      </c>
      <c r="B54" s="184" t="s">
        <v>201</v>
      </c>
      <c r="C54" s="174"/>
      <c r="D54" s="292"/>
      <c r="E54" s="110"/>
    </row>
    <row r="55" spans="1:5" s="54" customFormat="1" ht="12" customHeight="1" thickBot="1">
      <c r="A55" s="25" t="s">
        <v>119</v>
      </c>
      <c r="B55" s="19" t="s">
        <v>202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>
      <c r="A56" s="199" t="s">
        <v>61</v>
      </c>
      <c r="B56" s="182" t="s">
        <v>203</v>
      </c>
      <c r="C56" s="171"/>
      <c r="D56" s="258"/>
      <c r="E56" s="107"/>
    </row>
    <row r="57" spans="1:5" s="54" customFormat="1" ht="12" customHeight="1">
      <c r="A57" s="200" t="s">
        <v>62</v>
      </c>
      <c r="B57" s="183" t="s">
        <v>327</v>
      </c>
      <c r="C57" s="170"/>
      <c r="D57" s="259"/>
      <c r="E57" s="106"/>
    </row>
    <row r="58" spans="1:5" s="54" customFormat="1" ht="12" customHeight="1">
      <c r="A58" s="200" t="s">
        <v>206</v>
      </c>
      <c r="B58" s="183" t="s">
        <v>204</v>
      </c>
      <c r="C58" s="170"/>
      <c r="D58" s="259"/>
      <c r="E58" s="106"/>
    </row>
    <row r="59" spans="1:5" s="54" customFormat="1" ht="12" customHeight="1" thickBot="1">
      <c r="A59" s="201" t="s">
        <v>207</v>
      </c>
      <c r="B59" s="184" t="s">
        <v>205</v>
      </c>
      <c r="C59" s="172"/>
      <c r="D59" s="260"/>
      <c r="E59" s="108"/>
    </row>
    <row r="60" spans="1:5" s="54" customFormat="1" ht="12" customHeight="1" thickBot="1">
      <c r="A60" s="25" t="s">
        <v>13</v>
      </c>
      <c r="B60" s="112" t="s">
        <v>208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>
      <c r="A61" s="199" t="s">
        <v>120</v>
      </c>
      <c r="B61" s="182" t="s">
        <v>210</v>
      </c>
      <c r="C61" s="173"/>
      <c r="D61" s="291"/>
      <c r="E61" s="109"/>
    </row>
    <row r="62" spans="1:5" s="54" customFormat="1" ht="12" customHeight="1">
      <c r="A62" s="200" t="s">
        <v>121</v>
      </c>
      <c r="B62" s="183" t="s">
        <v>328</v>
      </c>
      <c r="C62" s="173"/>
      <c r="D62" s="291"/>
      <c r="E62" s="109"/>
    </row>
    <row r="63" spans="1:5" s="54" customFormat="1" ht="12" customHeight="1">
      <c r="A63" s="200" t="s">
        <v>143</v>
      </c>
      <c r="B63" s="183" t="s">
        <v>211</v>
      </c>
      <c r="C63" s="173"/>
      <c r="D63" s="291"/>
      <c r="E63" s="109"/>
    </row>
    <row r="64" spans="1:5" s="54" customFormat="1" ht="12" customHeight="1" thickBot="1">
      <c r="A64" s="201" t="s">
        <v>209</v>
      </c>
      <c r="B64" s="184" t="s">
        <v>212</v>
      </c>
      <c r="C64" s="173"/>
      <c r="D64" s="291"/>
      <c r="E64" s="109"/>
    </row>
    <row r="65" spans="1:5" s="54" customFormat="1" ht="12" customHeight="1" thickBot="1">
      <c r="A65" s="25" t="s">
        <v>14</v>
      </c>
      <c r="B65" s="19" t="s">
        <v>213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>
      <c r="A66" s="202" t="s">
        <v>297</v>
      </c>
      <c r="B66" s="112" t="s">
        <v>215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>
      <c r="A67" s="199" t="s">
        <v>243</v>
      </c>
      <c r="B67" s="182" t="s">
        <v>216</v>
      </c>
      <c r="C67" s="173"/>
      <c r="D67" s="291"/>
      <c r="E67" s="109"/>
    </row>
    <row r="68" spans="1:5" s="54" customFormat="1" ht="12" customHeight="1">
      <c r="A68" s="200" t="s">
        <v>252</v>
      </c>
      <c r="B68" s="183" t="s">
        <v>217</v>
      </c>
      <c r="C68" s="173"/>
      <c r="D68" s="291"/>
      <c r="E68" s="109"/>
    </row>
    <row r="69" spans="1:5" s="54" customFormat="1" ht="12" customHeight="1" thickBot="1">
      <c r="A69" s="201" t="s">
        <v>253</v>
      </c>
      <c r="B69" s="185" t="s">
        <v>218</v>
      </c>
      <c r="C69" s="173"/>
      <c r="D69" s="294"/>
      <c r="E69" s="109"/>
    </row>
    <row r="70" spans="1:5" s="54" customFormat="1" ht="12" customHeight="1" thickBot="1">
      <c r="A70" s="202" t="s">
        <v>219</v>
      </c>
      <c r="B70" s="112" t="s">
        <v>220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>
      <c r="A71" s="199" t="s">
        <v>98</v>
      </c>
      <c r="B71" s="312" t="s">
        <v>221</v>
      </c>
      <c r="C71" s="173"/>
      <c r="D71" s="173"/>
      <c r="E71" s="109"/>
    </row>
    <row r="72" spans="1:5" s="54" customFormat="1" ht="12" customHeight="1">
      <c r="A72" s="200" t="s">
        <v>99</v>
      </c>
      <c r="B72" s="312" t="s">
        <v>487</v>
      </c>
      <c r="C72" s="173"/>
      <c r="D72" s="173"/>
      <c r="E72" s="109"/>
    </row>
    <row r="73" spans="1:5" s="54" customFormat="1" ht="12" customHeight="1">
      <c r="A73" s="200" t="s">
        <v>244</v>
      </c>
      <c r="B73" s="312" t="s">
        <v>222</v>
      </c>
      <c r="C73" s="173"/>
      <c r="D73" s="173"/>
      <c r="E73" s="109"/>
    </row>
    <row r="74" spans="1:5" s="54" customFormat="1" ht="12" customHeight="1" thickBot="1">
      <c r="A74" s="201" t="s">
        <v>245</v>
      </c>
      <c r="B74" s="313" t="s">
        <v>488</v>
      </c>
      <c r="C74" s="173"/>
      <c r="D74" s="173"/>
      <c r="E74" s="109"/>
    </row>
    <row r="75" spans="1:5" s="54" customFormat="1" ht="12" customHeight="1" thickBot="1">
      <c r="A75" s="202" t="s">
        <v>223</v>
      </c>
      <c r="B75" s="112" t="s">
        <v>224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>
      <c r="A76" s="199" t="s">
        <v>246</v>
      </c>
      <c r="B76" s="182" t="s">
        <v>225</v>
      </c>
      <c r="C76" s="173"/>
      <c r="D76" s="173"/>
      <c r="E76" s="109"/>
    </row>
    <row r="77" spans="1:5" s="54" customFormat="1" ht="12" customHeight="1" thickBot="1">
      <c r="A77" s="201" t="s">
        <v>247</v>
      </c>
      <c r="B77" s="184" t="s">
        <v>226</v>
      </c>
      <c r="C77" s="173"/>
      <c r="D77" s="173"/>
      <c r="E77" s="109"/>
    </row>
    <row r="78" spans="1:5" s="53" customFormat="1" ht="12" customHeight="1" thickBot="1">
      <c r="A78" s="202" t="s">
        <v>227</v>
      </c>
      <c r="B78" s="112" t="s">
        <v>228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>
      <c r="A79" s="199" t="s">
        <v>248</v>
      </c>
      <c r="B79" s="182" t="s">
        <v>229</v>
      </c>
      <c r="C79" s="173"/>
      <c r="D79" s="173"/>
      <c r="E79" s="109"/>
    </row>
    <row r="80" spans="1:5" s="54" customFormat="1" ht="12" customHeight="1">
      <c r="A80" s="200" t="s">
        <v>249</v>
      </c>
      <c r="B80" s="183" t="s">
        <v>230</v>
      </c>
      <c r="C80" s="173"/>
      <c r="D80" s="173"/>
      <c r="E80" s="109"/>
    </row>
    <row r="81" spans="1:5" s="54" customFormat="1" ht="12" customHeight="1" thickBot="1">
      <c r="A81" s="201" t="s">
        <v>250</v>
      </c>
      <c r="B81" s="184" t="s">
        <v>489</v>
      </c>
      <c r="C81" s="173"/>
      <c r="D81" s="173"/>
      <c r="E81" s="109"/>
    </row>
    <row r="82" spans="1:5" s="54" customFormat="1" ht="12" customHeight="1" thickBot="1">
      <c r="A82" s="202" t="s">
        <v>231</v>
      </c>
      <c r="B82" s="112" t="s">
        <v>251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>
      <c r="A83" s="203" t="s">
        <v>232</v>
      </c>
      <c r="B83" s="182" t="s">
        <v>233</v>
      </c>
      <c r="C83" s="173"/>
      <c r="D83" s="173"/>
      <c r="E83" s="109"/>
    </row>
    <row r="84" spans="1:5" s="54" customFormat="1" ht="12" customHeight="1">
      <c r="A84" s="204" t="s">
        <v>234</v>
      </c>
      <c r="B84" s="183" t="s">
        <v>235</v>
      </c>
      <c r="C84" s="173"/>
      <c r="D84" s="173"/>
      <c r="E84" s="109"/>
    </row>
    <row r="85" spans="1:5" s="54" customFormat="1" ht="12" customHeight="1">
      <c r="A85" s="204" t="s">
        <v>236</v>
      </c>
      <c r="B85" s="183" t="s">
        <v>237</v>
      </c>
      <c r="C85" s="173"/>
      <c r="D85" s="173"/>
      <c r="E85" s="109"/>
    </row>
    <row r="86" spans="1:5" s="53" customFormat="1" ht="12" customHeight="1" thickBot="1">
      <c r="A86" s="205" t="s">
        <v>238</v>
      </c>
      <c r="B86" s="184" t="s">
        <v>239</v>
      </c>
      <c r="C86" s="173"/>
      <c r="D86" s="173"/>
      <c r="E86" s="109"/>
    </row>
    <row r="87" spans="1:5" s="53" customFormat="1" ht="12" customHeight="1" thickBot="1">
      <c r="A87" s="202" t="s">
        <v>240</v>
      </c>
      <c r="B87" s="112" t="s">
        <v>374</v>
      </c>
      <c r="C87" s="225"/>
      <c r="D87" s="225"/>
      <c r="E87" s="226"/>
    </row>
    <row r="88" spans="1:5" s="53" customFormat="1" ht="12" customHeight="1" thickBot="1">
      <c r="A88" s="202" t="s">
        <v>391</v>
      </c>
      <c r="B88" s="112" t="s">
        <v>241</v>
      </c>
      <c r="C88" s="225"/>
      <c r="D88" s="225"/>
      <c r="E88" s="226"/>
    </row>
    <row r="89" spans="1:5" s="53" customFormat="1" ht="12" customHeight="1" thickBot="1">
      <c r="A89" s="202" t="s">
        <v>392</v>
      </c>
      <c r="B89" s="189" t="s">
        <v>377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>
      <c r="A90" s="206" t="s">
        <v>393</v>
      </c>
      <c r="B90" s="190" t="s">
        <v>394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>
      <c r="A91" s="89"/>
      <c r="B91" s="90"/>
      <c r="C91" s="151"/>
    </row>
    <row r="92" spans="1:5" s="47" customFormat="1" ht="16.5" customHeight="1" thickBot="1">
      <c r="A92" s="850" t="s">
        <v>40</v>
      </c>
      <c r="B92" s="851"/>
      <c r="C92" s="851"/>
      <c r="D92" s="851"/>
      <c r="E92" s="852"/>
    </row>
    <row r="93" spans="1:5" s="55" customFormat="1" ht="12" customHeight="1" thickBot="1">
      <c r="A93" s="176" t="s">
        <v>6</v>
      </c>
      <c r="B93" s="24" t="s">
        <v>398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>
      <c r="A94" s="207" t="s">
        <v>63</v>
      </c>
      <c r="B94" s="8" t="s">
        <v>35</v>
      </c>
      <c r="C94" s="247"/>
      <c r="D94" s="247"/>
      <c r="E94" s="241"/>
    </row>
    <row r="95" spans="1:5" ht="12" customHeight="1">
      <c r="A95" s="200" t="s">
        <v>64</v>
      </c>
      <c r="B95" s="6" t="s">
        <v>122</v>
      </c>
      <c r="C95" s="170"/>
      <c r="D95" s="170"/>
      <c r="E95" s="106"/>
    </row>
    <row r="96" spans="1:5" ht="12" customHeight="1">
      <c r="A96" s="200" t="s">
        <v>65</v>
      </c>
      <c r="B96" s="6" t="s">
        <v>90</v>
      </c>
      <c r="C96" s="172"/>
      <c r="D96" s="170"/>
      <c r="E96" s="108"/>
    </row>
    <row r="97" spans="1:5" ht="12" customHeight="1">
      <c r="A97" s="200" t="s">
        <v>66</v>
      </c>
      <c r="B97" s="9" t="s">
        <v>123</v>
      </c>
      <c r="C97" s="172"/>
      <c r="D97" s="260"/>
      <c r="E97" s="108"/>
    </row>
    <row r="98" spans="1:5" ht="12" customHeight="1">
      <c r="A98" s="200" t="s">
        <v>75</v>
      </c>
      <c r="B98" s="17" t="s">
        <v>124</v>
      </c>
      <c r="C98" s="172"/>
      <c r="D98" s="260"/>
      <c r="E98" s="108"/>
    </row>
    <row r="99" spans="1:5" ht="12" customHeight="1">
      <c r="A99" s="200" t="s">
        <v>67</v>
      </c>
      <c r="B99" s="6" t="s">
        <v>395</v>
      </c>
      <c r="C99" s="172"/>
      <c r="D99" s="260"/>
      <c r="E99" s="108"/>
    </row>
    <row r="100" spans="1:5" ht="12" customHeight="1">
      <c r="A100" s="200" t="s">
        <v>68</v>
      </c>
      <c r="B100" s="65" t="s">
        <v>340</v>
      </c>
      <c r="C100" s="172"/>
      <c r="D100" s="260"/>
      <c r="E100" s="108"/>
    </row>
    <row r="101" spans="1:5" ht="12" customHeight="1">
      <c r="A101" s="200" t="s">
        <v>76</v>
      </c>
      <c r="B101" s="65" t="s">
        <v>339</v>
      </c>
      <c r="C101" s="172"/>
      <c r="D101" s="260"/>
      <c r="E101" s="108"/>
    </row>
    <row r="102" spans="1:5" ht="12" customHeight="1">
      <c r="A102" s="200" t="s">
        <v>77</v>
      </c>
      <c r="B102" s="65" t="s">
        <v>257</v>
      </c>
      <c r="C102" s="172"/>
      <c r="D102" s="260"/>
      <c r="E102" s="108"/>
    </row>
    <row r="103" spans="1:5" ht="12" customHeight="1">
      <c r="A103" s="200" t="s">
        <v>78</v>
      </c>
      <c r="B103" s="66" t="s">
        <v>258</v>
      </c>
      <c r="C103" s="172"/>
      <c r="D103" s="260"/>
      <c r="E103" s="108"/>
    </row>
    <row r="104" spans="1:5" ht="12" customHeight="1">
      <c r="A104" s="200" t="s">
        <v>79</v>
      </c>
      <c r="B104" s="66" t="s">
        <v>259</v>
      </c>
      <c r="C104" s="172"/>
      <c r="D104" s="260"/>
      <c r="E104" s="108"/>
    </row>
    <row r="105" spans="1:5" ht="12" customHeight="1">
      <c r="A105" s="200" t="s">
        <v>81</v>
      </c>
      <c r="B105" s="65" t="s">
        <v>260</v>
      </c>
      <c r="C105" s="172"/>
      <c r="D105" s="260"/>
      <c r="E105" s="108"/>
    </row>
    <row r="106" spans="1:5" ht="12" customHeight="1">
      <c r="A106" s="200" t="s">
        <v>125</v>
      </c>
      <c r="B106" s="65" t="s">
        <v>261</v>
      </c>
      <c r="C106" s="172"/>
      <c r="D106" s="260"/>
      <c r="E106" s="108"/>
    </row>
    <row r="107" spans="1:5" ht="12" customHeight="1">
      <c r="A107" s="200" t="s">
        <v>255</v>
      </c>
      <c r="B107" s="66" t="s">
        <v>262</v>
      </c>
      <c r="C107" s="170"/>
      <c r="D107" s="260"/>
      <c r="E107" s="108"/>
    </row>
    <row r="108" spans="1:5" ht="12" customHeight="1">
      <c r="A108" s="208" t="s">
        <v>256</v>
      </c>
      <c r="B108" s="67" t="s">
        <v>263</v>
      </c>
      <c r="C108" s="172"/>
      <c r="D108" s="260"/>
      <c r="E108" s="108"/>
    </row>
    <row r="109" spans="1:5" ht="12" customHeight="1">
      <c r="A109" s="200" t="s">
        <v>337</v>
      </c>
      <c r="B109" s="67" t="s">
        <v>264</v>
      </c>
      <c r="C109" s="172"/>
      <c r="D109" s="260"/>
      <c r="E109" s="108"/>
    </row>
    <row r="110" spans="1:5" ht="12" customHeight="1">
      <c r="A110" s="200" t="s">
        <v>338</v>
      </c>
      <c r="B110" s="66" t="s">
        <v>265</v>
      </c>
      <c r="C110" s="170"/>
      <c r="D110" s="259"/>
      <c r="E110" s="106"/>
    </row>
    <row r="111" spans="1:5" ht="12" customHeight="1">
      <c r="A111" s="200" t="s">
        <v>342</v>
      </c>
      <c r="B111" s="9" t="s">
        <v>36</v>
      </c>
      <c r="C111" s="170"/>
      <c r="D111" s="259"/>
      <c r="E111" s="106"/>
    </row>
    <row r="112" spans="1:5" ht="12" customHeight="1">
      <c r="A112" s="201" t="s">
        <v>343</v>
      </c>
      <c r="B112" s="6" t="s">
        <v>396</v>
      </c>
      <c r="C112" s="172"/>
      <c r="D112" s="260"/>
      <c r="E112" s="108"/>
    </row>
    <row r="113" spans="1:5" ht="12" customHeight="1" thickBot="1">
      <c r="A113" s="209" t="s">
        <v>344</v>
      </c>
      <c r="B113" s="68" t="s">
        <v>397</v>
      </c>
      <c r="C113" s="248"/>
      <c r="D113" s="297"/>
      <c r="E113" s="242"/>
    </row>
    <row r="114" spans="1:5" ht="12" customHeight="1" thickBot="1">
      <c r="A114" s="25" t="s">
        <v>7</v>
      </c>
      <c r="B114" s="23" t="s">
        <v>266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>
      <c r="A115" s="199" t="s">
        <v>69</v>
      </c>
      <c r="B115" s="6" t="s">
        <v>142</v>
      </c>
      <c r="C115" s="171"/>
      <c r="D115" s="258"/>
      <c r="E115" s="107"/>
    </row>
    <row r="116" spans="1:5" ht="12" customHeight="1">
      <c r="A116" s="199" t="s">
        <v>70</v>
      </c>
      <c r="B116" s="10" t="s">
        <v>270</v>
      </c>
      <c r="C116" s="171"/>
      <c r="D116" s="258"/>
      <c r="E116" s="107"/>
    </row>
    <row r="117" spans="1:5" ht="12" customHeight="1">
      <c r="A117" s="199" t="s">
        <v>71</v>
      </c>
      <c r="B117" s="10" t="s">
        <v>126</v>
      </c>
      <c r="C117" s="170"/>
      <c r="D117" s="259"/>
      <c r="E117" s="106"/>
    </row>
    <row r="118" spans="1:5" ht="12" customHeight="1">
      <c r="A118" s="199" t="s">
        <v>72</v>
      </c>
      <c r="B118" s="10" t="s">
        <v>271</v>
      </c>
      <c r="C118" s="170"/>
      <c r="D118" s="259"/>
      <c r="E118" s="106"/>
    </row>
    <row r="119" spans="1:5" ht="12" customHeight="1">
      <c r="A119" s="199" t="s">
        <v>73</v>
      </c>
      <c r="B119" s="114" t="s">
        <v>144</v>
      </c>
      <c r="C119" s="170"/>
      <c r="D119" s="259"/>
      <c r="E119" s="106"/>
    </row>
    <row r="120" spans="1:5" ht="12" customHeight="1">
      <c r="A120" s="199" t="s">
        <v>80</v>
      </c>
      <c r="B120" s="113" t="s">
        <v>329</v>
      </c>
      <c r="C120" s="170"/>
      <c r="D120" s="259"/>
      <c r="E120" s="106"/>
    </row>
    <row r="121" spans="1:5" ht="12" customHeight="1">
      <c r="A121" s="199" t="s">
        <v>82</v>
      </c>
      <c r="B121" s="178" t="s">
        <v>276</v>
      </c>
      <c r="C121" s="170"/>
      <c r="D121" s="259"/>
      <c r="E121" s="106"/>
    </row>
    <row r="122" spans="1:5" ht="12" customHeight="1">
      <c r="A122" s="199" t="s">
        <v>127</v>
      </c>
      <c r="B122" s="66" t="s">
        <v>259</v>
      </c>
      <c r="C122" s="170"/>
      <c r="D122" s="259"/>
      <c r="E122" s="106"/>
    </row>
    <row r="123" spans="1:5" ht="12" customHeight="1">
      <c r="A123" s="199" t="s">
        <v>128</v>
      </c>
      <c r="B123" s="66" t="s">
        <v>275</v>
      </c>
      <c r="C123" s="170"/>
      <c r="D123" s="259"/>
      <c r="E123" s="106"/>
    </row>
    <row r="124" spans="1:5" ht="12" customHeight="1">
      <c r="A124" s="199" t="s">
        <v>129</v>
      </c>
      <c r="B124" s="66" t="s">
        <v>274</v>
      </c>
      <c r="C124" s="170"/>
      <c r="D124" s="259"/>
      <c r="E124" s="106"/>
    </row>
    <row r="125" spans="1:5" ht="12" customHeight="1">
      <c r="A125" s="199" t="s">
        <v>267</v>
      </c>
      <c r="B125" s="66" t="s">
        <v>262</v>
      </c>
      <c r="C125" s="170"/>
      <c r="D125" s="259"/>
      <c r="E125" s="106"/>
    </row>
    <row r="126" spans="1:5" ht="12" customHeight="1">
      <c r="A126" s="199" t="s">
        <v>268</v>
      </c>
      <c r="B126" s="66" t="s">
        <v>273</v>
      </c>
      <c r="C126" s="170"/>
      <c r="D126" s="259"/>
      <c r="E126" s="106"/>
    </row>
    <row r="127" spans="1:5" ht="12" customHeight="1" thickBot="1">
      <c r="A127" s="208" t="s">
        <v>269</v>
      </c>
      <c r="B127" s="66" t="s">
        <v>272</v>
      </c>
      <c r="C127" s="172"/>
      <c r="D127" s="260"/>
      <c r="E127" s="108"/>
    </row>
    <row r="128" spans="1:5" ht="12" customHeight="1" thickBot="1">
      <c r="A128" s="25" t="s">
        <v>8</v>
      </c>
      <c r="B128" s="59" t="s">
        <v>347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>
      <c r="A129" s="25" t="s">
        <v>9</v>
      </c>
      <c r="B129" s="59" t="s">
        <v>348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>
      <c r="A130" s="199" t="s">
        <v>176</v>
      </c>
      <c r="B130" s="7" t="s">
        <v>401</v>
      </c>
      <c r="C130" s="170"/>
      <c r="D130" s="259"/>
      <c r="E130" s="106"/>
    </row>
    <row r="131" spans="1:11" ht="12" customHeight="1">
      <c r="A131" s="199" t="s">
        <v>177</v>
      </c>
      <c r="B131" s="7" t="s">
        <v>356</v>
      </c>
      <c r="C131" s="170"/>
      <c r="D131" s="259"/>
      <c r="E131" s="106"/>
    </row>
    <row r="132" spans="1:11" ht="12" customHeight="1" thickBot="1">
      <c r="A132" s="208" t="s">
        <v>178</v>
      </c>
      <c r="B132" s="5" t="s">
        <v>400</v>
      </c>
      <c r="C132" s="170"/>
      <c r="D132" s="259"/>
      <c r="E132" s="106"/>
    </row>
    <row r="133" spans="1:11" ht="12" customHeight="1" thickBot="1">
      <c r="A133" s="25" t="s">
        <v>10</v>
      </c>
      <c r="B133" s="59" t="s">
        <v>349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>
      <c r="A134" s="199" t="s">
        <v>56</v>
      </c>
      <c r="B134" s="7" t="s">
        <v>358</v>
      </c>
      <c r="C134" s="170"/>
      <c r="D134" s="259"/>
      <c r="E134" s="106"/>
    </row>
    <row r="135" spans="1:11" ht="12" customHeight="1">
      <c r="A135" s="199" t="s">
        <v>57</v>
      </c>
      <c r="B135" s="7" t="s">
        <v>350</v>
      </c>
      <c r="C135" s="170"/>
      <c r="D135" s="259"/>
      <c r="E135" s="106"/>
    </row>
    <row r="136" spans="1:11" ht="12" customHeight="1">
      <c r="A136" s="199" t="s">
        <v>58</v>
      </c>
      <c r="B136" s="7" t="s">
        <v>351</v>
      </c>
      <c r="C136" s="170"/>
      <c r="D136" s="259"/>
      <c r="E136" s="106"/>
    </row>
    <row r="137" spans="1:11" ht="12" customHeight="1">
      <c r="A137" s="199" t="s">
        <v>114</v>
      </c>
      <c r="B137" s="7" t="s">
        <v>399</v>
      </c>
      <c r="C137" s="170"/>
      <c r="D137" s="259"/>
      <c r="E137" s="106"/>
    </row>
    <row r="138" spans="1:11" ht="12" customHeight="1">
      <c r="A138" s="199" t="s">
        <v>115</v>
      </c>
      <c r="B138" s="7" t="s">
        <v>353</v>
      </c>
      <c r="C138" s="170"/>
      <c r="D138" s="259"/>
      <c r="E138" s="106"/>
    </row>
    <row r="139" spans="1:11" s="55" customFormat="1" ht="12" customHeight="1" thickBot="1">
      <c r="A139" s="208" t="s">
        <v>116</v>
      </c>
      <c r="B139" s="5" t="s">
        <v>354</v>
      </c>
      <c r="C139" s="170"/>
      <c r="D139" s="259"/>
      <c r="E139" s="106"/>
    </row>
    <row r="140" spans="1:11" ht="12" customHeight="1" thickBot="1">
      <c r="A140" s="25" t="s">
        <v>11</v>
      </c>
      <c r="B140" s="59" t="s">
        <v>414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>
      <c r="A141" s="199" t="s">
        <v>59</v>
      </c>
      <c r="B141" s="7" t="s">
        <v>277</v>
      </c>
      <c r="C141" s="170"/>
      <c r="D141" s="259"/>
      <c r="E141" s="106"/>
    </row>
    <row r="142" spans="1:11" ht="12" customHeight="1">
      <c r="A142" s="199" t="s">
        <v>60</v>
      </c>
      <c r="B142" s="7" t="s">
        <v>278</v>
      </c>
      <c r="C142" s="170"/>
      <c r="D142" s="259"/>
      <c r="E142" s="106"/>
    </row>
    <row r="143" spans="1:11" ht="12" customHeight="1">
      <c r="A143" s="199" t="s">
        <v>194</v>
      </c>
      <c r="B143" s="7" t="s">
        <v>413</v>
      </c>
      <c r="C143" s="170"/>
      <c r="D143" s="259"/>
      <c r="E143" s="106"/>
    </row>
    <row r="144" spans="1:11" s="55" customFormat="1" ht="12" customHeight="1">
      <c r="A144" s="199" t="s">
        <v>195</v>
      </c>
      <c r="B144" s="7" t="s">
        <v>363</v>
      </c>
      <c r="C144" s="170"/>
      <c r="D144" s="259"/>
      <c r="E144" s="106"/>
    </row>
    <row r="145" spans="1:5" s="55" customFormat="1" ht="12" customHeight="1" thickBot="1">
      <c r="A145" s="208" t="s">
        <v>196</v>
      </c>
      <c r="B145" s="5" t="s">
        <v>293</v>
      </c>
      <c r="C145" s="170"/>
      <c r="D145" s="259"/>
      <c r="E145" s="106"/>
    </row>
    <row r="146" spans="1:5" s="55" customFormat="1" ht="12" customHeight="1" thickBot="1">
      <c r="A146" s="25" t="s">
        <v>12</v>
      </c>
      <c r="B146" s="59" t="s">
        <v>364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>
      <c r="A147" s="199" t="s">
        <v>61</v>
      </c>
      <c r="B147" s="7" t="s">
        <v>359</v>
      </c>
      <c r="C147" s="170"/>
      <c r="D147" s="259"/>
      <c r="E147" s="106"/>
    </row>
    <row r="148" spans="1:5" s="55" customFormat="1" ht="12" customHeight="1">
      <c r="A148" s="199" t="s">
        <v>62</v>
      </c>
      <c r="B148" s="7" t="s">
        <v>366</v>
      </c>
      <c r="C148" s="170"/>
      <c r="D148" s="259"/>
      <c r="E148" s="106"/>
    </row>
    <row r="149" spans="1:5" s="55" customFormat="1" ht="12" customHeight="1">
      <c r="A149" s="199" t="s">
        <v>206</v>
      </c>
      <c r="B149" s="7" t="s">
        <v>361</v>
      </c>
      <c r="C149" s="170"/>
      <c r="D149" s="259"/>
      <c r="E149" s="106"/>
    </row>
    <row r="150" spans="1:5" s="55" customFormat="1" ht="12" customHeight="1">
      <c r="A150" s="199" t="s">
        <v>207</v>
      </c>
      <c r="B150" s="7" t="s">
        <v>402</v>
      </c>
      <c r="C150" s="170"/>
      <c r="D150" s="259"/>
      <c r="E150" s="106"/>
    </row>
    <row r="151" spans="1:5" ht="12.75" customHeight="1" thickBot="1">
      <c r="A151" s="208" t="s">
        <v>365</v>
      </c>
      <c r="B151" s="5" t="s">
        <v>368</v>
      </c>
      <c r="C151" s="172"/>
      <c r="D151" s="260"/>
      <c r="E151" s="108"/>
    </row>
    <row r="152" spans="1:5" ht="12.75" customHeight="1" thickBot="1">
      <c r="A152" s="239" t="s">
        <v>13</v>
      </c>
      <c r="B152" s="59" t="s">
        <v>369</v>
      </c>
      <c r="C152" s="250"/>
      <c r="D152" s="262"/>
      <c r="E152" s="244"/>
    </row>
    <row r="153" spans="1:5" ht="12.75" customHeight="1" thickBot="1">
      <c r="A153" s="239" t="s">
        <v>14</v>
      </c>
      <c r="B153" s="59" t="s">
        <v>370</v>
      </c>
      <c r="C153" s="250"/>
      <c r="D153" s="262"/>
      <c r="E153" s="244"/>
    </row>
    <row r="154" spans="1:5" ht="12" customHeight="1" thickBot="1">
      <c r="A154" s="25" t="s">
        <v>15</v>
      </c>
      <c r="B154" s="59" t="s">
        <v>372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>
      <c r="A155" s="210" t="s">
        <v>16</v>
      </c>
      <c r="B155" s="156" t="s">
        <v>371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>
      <c r="A156" s="159"/>
      <c r="B156" s="160"/>
      <c r="C156" s="660">
        <f>C90-C155</f>
        <v>0</v>
      </c>
      <c r="D156" s="660">
        <f>D90-D155</f>
        <v>0</v>
      </c>
      <c r="E156" s="161"/>
    </row>
    <row r="157" spans="1:5" ht="15.2" customHeight="1" thickBot="1">
      <c r="A157" s="306" t="s">
        <v>482</v>
      </c>
      <c r="B157" s="307"/>
      <c r="C157" s="296"/>
      <c r="D157" s="296"/>
      <c r="E157" s="295"/>
    </row>
    <row r="158" spans="1:5" ht="14.45" customHeight="1" thickBot="1">
      <c r="A158" s="308" t="s">
        <v>483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topLeftCell="A4" zoomScale="120" zoomScaleNormal="120" workbookViewId="0">
      <selection activeCell="C40" sqref="C40"/>
    </sheetView>
  </sheetViews>
  <sheetFormatPr defaultRowHeight="12.75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CONCATENATE("6.2. melléklet ",Z_ALAPADATOK!A7," ",Z_ALAPADATOK!B7," ",Z_ALAPADATOK!C7," ",Z_ALAPADATOK!D7," ",Z_ALAPADATOK!E7," ",Z_ALAPADATOK!F7," ",Z_ALAPADATOK!G7," ",Z_ALAPADATOK!H7)</f>
        <v>6.2. melléklet a … / 2021. ( … ) önkormányzati rendelethez</v>
      </c>
      <c r="C1" s="855"/>
      <c r="D1" s="855"/>
      <c r="E1" s="855"/>
    </row>
    <row r="2" spans="1:5" s="217" customFormat="1" ht="24.75" thickBot="1">
      <c r="A2" s="329" t="s">
        <v>450</v>
      </c>
      <c r="B2" s="856" t="s">
        <v>888</v>
      </c>
      <c r="C2" s="857"/>
      <c r="D2" s="858"/>
      <c r="E2" s="330" t="s">
        <v>42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Z_6.1.3.sz.mell!E4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14963140</v>
      </c>
      <c r="D8" s="122">
        <f>SUM(D9:D19)</f>
        <v>19272570</v>
      </c>
      <c r="E8" s="150">
        <f>SUM(E9:E19)</f>
        <v>18593881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>
        <v>33036</v>
      </c>
    </row>
    <row r="10" spans="1:5" s="155" customFormat="1" ht="12" customHeight="1">
      <c r="A10" s="213" t="s">
        <v>64</v>
      </c>
      <c r="B10" s="6" t="s">
        <v>184</v>
      </c>
      <c r="C10" s="119">
        <v>3430000</v>
      </c>
      <c r="D10" s="119">
        <v>4289715</v>
      </c>
      <c r="E10" s="271">
        <v>4292181</v>
      </c>
    </row>
    <row r="11" spans="1:5" s="155" customFormat="1" ht="12" customHeight="1">
      <c r="A11" s="213" t="s">
        <v>65</v>
      </c>
      <c r="B11" s="6" t="s">
        <v>185</v>
      </c>
      <c r="C11" s="119"/>
      <c r="D11" s="119"/>
      <c r="E11" s="271">
        <v>155614</v>
      </c>
    </row>
    <row r="12" spans="1:5" s="155" customFormat="1" ht="12" customHeight="1">
      <c r="A12" s="213" t="s">
        <v>66</v>
      </c>
      <c r="B12" s="6" t="s">
        <v>186</v>
      </c>
      <c r="C12" s="119"/>
      <c r="D12" s="119"/>
      <c r="E12" s="271"/>
    </row>
    <row r="13" spans="1:5" s="155" customFormat="1" ht="12" customHeight="1">
      <c r="A13" s="213" t="s">
        <v>97</v>
      </c>
      <c r="B13" s="6" t="s">
        <v>187</v>
      </c>
      <c r="C13" s="119">
        <v>8352000</v>
      </c>
      <c r="D13" s="119">
        <v>10296715</v>
      </c>
      <c r="E13" s="271">
        <v>10159612</v>
      </c>
    </row>
    <row r="14" spans="1:5" s="155" customFormat="1" ht="12" customHeight="1">
      <c r="A14" s="213" t="s">
        <v>67</v>
      </c>
      <c r="B14" s="6" t="s">
        <v>302</v>
      </c>
      <c r="C14" s="119">
        <v>3181140</v>
      </c>
      <c r="D14" s="119">
        <v>4381140</v>
      </c>
      <c r="E14" s="271">
        <v>3953302</v>
      </c>
    </row>
    <row r="15" spans="1:5" s="155" customFormat="1" ht="12" customHeight="1">
      <c r="A15" s="213" t="s">
        <v>68</v>
      </c>
      <c r="B15" s="5" t="s">
        <v>303</v>
      </c>
      <c r="C15" s="119"/>
      <c r="D15" s="119">
        <v>305000</v>
      </c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277"/>
      <c r="E16" s="275">
        <v>136</v>
      </c>
    </row>
    <row r="17" spans="1:5" s="220" customFormat="1" ht="12" customHeight="1">
      <c r="A17" s="213" t="s">
        <v>77</v>
      </c>
      <c r="B17" s="6" t="s">
        <v>191</v>
      </c>
      <c r="C17" s="119"/>
      <c r="D17" s="119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121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121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119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119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119"/>
      <c r="E23" s="271"/>
    </row>
    <row r="24" spans="1:5" s="220" customFormat="1" ht="12" customHeight="1" thickBot="1">
      <c r="A24" s="213" t="s">
        <v>72</v>
      </c>
      <c r="B24" s="6" t="s">
        <v>404</v>
      </c>
      <c r="C24" s="119"/>
      <c r="D24" s="119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>
      <c r="A26" s="81" t="s">
        <v>9</v>
      </c>
      <c r="B26" s="59" t="s">
        <v>405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>
      <c r="A27" s="214" t="s">
        <v>176</v>
      </c>
      <c r="B27" s="215" t="s">
        <v>172</v>
      </c>
      <c r="C27" s="278"/>
      <c r="D27" s="278"/>
      <c r="E27" s="276"/>
    </row>
    <row r="28" spans="1:5" s="220" customFormat="1" ht="12" customHeight="1">
      <c r="A28" s="214" t="s">
        <v>177</v>
      </c>
      <c r="B28" s="215" t="s">
        <v>305</v>
      </c>
      <c r="C28" s="119"/>
      <c r="D28" s="119"/>
      <c r="E28" s="271"/>
    </row>
    <row r="29" spans="1:5" s="220" customFormat="1" ht="12" customHeight="1">
      <c r="A29" s="214" t="s">
        <v>178</v>
      </c>
      <c r="B29" s="216" t="s">
        <v>308</v>
      </c>
      <c r="C29" s="119"/>
      <c r="D29" s="119"/>
      <c r="E29" s="271"/>
    </row>
    <row r="30" spans="1:5" s="220" customFormat="1" ht="12" customHeight="1" thickBot="1">
      <c r="A30" s="213" t="s">
        <v>179</v>
      </c>
      <c r="B30" s="64" t="s">
        <v>406</v>
      </c>
      <c r="C30" s="50"/>
      <c r="D30" s="50"/>
      <c r="E30" s="300"/>
    </row>
    <row r="31" spans="1:5" s="220" customFormat="1" ht="12" customHeight="1" thickBot="1">
      <c r="A31" s="81" t="s">
        <v>10</v>
      </c>
      <c r="B31" s="59" t="s">
        <v>309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>
      <c r="A32" s="214" t="s">
        <v>56</v>
      </c>
      <c r="B32" s="215" t="s">
        <v>197</v>
      </c>
      <c r="C32" s="278"/>
      <c r="D32" s="278"/>
      <c r="E32" s="276"/>
    </row>
    <row r="33" spans="1:5" s="220" customFormat="1" ht="12" customHeight="1">
      <c r="A33" s="214" t="s">
        <v>57</v>
      </c>
      <c r="B33" s="216" t="s">
        <v>198</v>
      </c>
      <c r="C33" s="123"/>
      <c r="D33" s="123"/>
      <c r="E33" s="273"/>
    </row>
    <row r="34" spans="1:5" s="220" customFormat="1" ht="12" customHeight="1" thickBot="1">
      <c r="A34" s="213" t="s">
        <v>58</v>
      </c>
      <c r="B34" s="64" t="s">
        <v>199</v>
      </c>
      <c r="C34" s="50"/>
      <c r="D34" s="50"/>
      <c r="E34" s="300"/>
    </row>
    <row r="35" spans="1:5" s="155" customFormat="1" ht="12" customHeight="1" thickBot="1">
      <c r="A35" s="81" t="s">
        <v>11</v>
      </c>
      <c r="B35" s="59" t="s">
        <v>282</v>
      </c>
      <c r="C35" s="301"/>
      <c r="D35" s="301"/>
      <c r="E35" s="149"/>
    </row>
    <row r="36" spans="1:5" s="155" customFormat="1" ht="12" customHeight="1" thickBot="1">
      <c r="A36" s="81" t="s">
        <v>12</v>
      </c>
      <c r="B36" s="59" t="s">
        <v>310</v>
      </c>
      <c r="C36" s="301"/>
      <c r="D36" s="301"/>
      <c r="E36" s="149"/>
    </row>
    <row r="37" spans="1:5" s="155" customFormat="1" ht="12" customHeight="1" thickBot="1">
      <c r="A37" s="77" t="s">
        <v>13</v>
      </c>
      <c r="B37" s="59" t="s">
        <v>311</v>
      </c>
      <c r="C37" s="122">
        <f>+C8+C20+C25+C26+C31+C35+C36</f>
        <v>14963140</v>
      </c>
      <c r="D37" s="122">
        <f>+D8+D20+D25+D26+D31+D35+D36</f>
        <v>19272570</v>
      </c>
      <c r="E37" s="150">
        <f>+E8+E20+E25+E26+E31+E35+E36</f>
        <v>18593881</v>
      </c>
    </row>
    <row r="38" spans="1:5" s="155" customFormat="1" ht="12" customHeight="1" thickBot="1">
      <c r="A38" s="87" t="s">
        <v>14</v>
      </c>
      <c r="B38" s="59" t="s">
        <v>312</v>
      </c>
      <c r="C38" s="122">
        <f>+C39+C40+C41</f>
        <v>13267451</v>
      </c>
      <c r="D38" s="122">
        <f>+D39+D40+D41</f>
        <v>15519028</v>
      </c>
      <c r="E38" s="150">
        <f>+E39+E40+E41</f>
        <v>15519028</v>
      </c>
    </row>
    <row r="39" spans="1:5" s="155" customFormat="1" ht="12" customHeight="1">
      <c r="A39" s="214" t="s">
        <v>313</v>
      </c>
      <c r="B39" s="215" t="s">
        <v>149</v>
      </c>
      <c r="C39" s="278">
        <v>667451</v>
      </c>
      <c r="D39" s="278">
        <v>667451</v>
      </c>
      <c r="E39" s="276">
        <v>667451</v>
      </c>
    </row>
    <row r="40" spans="1:5" s="155" customFormat="1" ht="12" customHeight="1">
      <c r="A40" s="214" t="s">
        <v>314</v>
      </c>
      <c r="B40" s="216" t="s">
        <v>0</v>
      </c>
      <c r="C40" s="123"/>
      <c r="D40" s="123"/>
      <c r="E40" s="273"/>
    </row>
    <row r="41" spans="1:5" s="220" customFormat="1" ht="12" customHeight="1" thickBot="1">
      <c r="A41" s="213" t="s">
        <v>315</v>
      </c>
      <c r="B41" s="64" t="s">
        <v>316</v>
      </c>
      <c r="C41" s="50">
        <v>12600000</v>
      </c>
      <c r="D41" s="50">
        <v>14851577</v>
      </c>
      <c r="E41" s="300">
        <v>14851577</v>
      </c>
    </row>
    <row r="42" spans="1:5" s="220" customFormat="1" ht="15.2" customHeight="1" thickBot="1">
      <c r="A42" s="87" t="s">
        <v>15</v>
      </c>
      <c r="B42" s="88" t="s">
        <v>317</v>
      </c>
      <c r="C42" s="302">
        <f>+C37+C38</f>
        <v>28230591</v>
      </c>
      <c r="D42" s="302">
        <f>+D37+D38</f>
        <v>34791598</v>
      </c>
      <c r="E42" s="153">
        <f>+E37+E38</f>
        <v>34112909</v>
      </c>
    </row>
    <row r="43" spans="1:5" s="220" customFormat="1" ht="15.2" customHeight="1">
      <c r="A43" s="89"/>
      <c r="B43" s="90"/>
      <c r="C43" s="151"/>
    </row>
    <row r="44" spans="1:5" ht="13.5" thickBot="1">
      <c r="A44" s="91"/>
      <c r="B44" s="92"/>
      <c r="C44" s="152"/>
    </row>
    <row r="45" spans="1:5" s="219" customFormat="1" ht="16.5" customHeight="1" thickBot="1">
      <c r="A45" s="850" t="s">
        <v>40</v>
      </c>
      <c r="B45" s="851"/>
      <c r="C45" s="851"/>
      <c r="D45" s="851"/>
      <c r="E45" s="852"/>
    </row>
    <row r="46" spans="1:5" s="221" customFormat="1" ht="12" customHeight="1" thickBot="1">
      <c r="A46" s="81" t="s">
        <v>6</v>
      </c>
      <c r="B46" s="59" t="s">
        <v>318</v>
      </c>
      <c r="C46" s="122">
        <f>SUM(C47:C51)</f>
        <v>28230591</v>
      </c>
      <c r="D46" s="122">
        <f>SUM(D47:D51)</f>
        <v>34783598</v>
      </c>
      <c r="E46" s="150">
        <f>SUM(E47:E51)</f>
        <v>33393599</v>
      </c>
    </row>
    <row r="47" spans="1:5" ht="12" customHeight="1">
      <c r="A47" s="213" t="s">
        <v>63</v>
      </c>
      <c r="B47" s="7" t="s">
        <v>35</v>
      </c>
      <c r="C47" s="278">
        <v>10209780</v>
      </c>
      <c r="D47" s="278">
        <v>9948087</v>
      </c>
      <c r="E47" s="276">
        <v>9312852</v>
      </c>
    </row>
    <row r="48" spans="1:5" ht="12" customHeight="1">
      <c r="A48" s="213" t="s">
        <v>64</v>
      </c>
      <c r="B48" s="6" t="s">
        <v>122</v>
      </c>
      <c r="C48" s="49">
        <v>1734212</v>
      </c>
      <c r="D48" s="49">
        <v>1798875</v>
      </c>
      <c r="E48" s="274">
        <v>1551314</v>
      </c>
    </row>
    <row r="49" spans="1:5" ht="12" customHeight="1">
      <c r="A49" s="213" t="s">
        <v>65</v>
      </c>
      <c r="B49" s="6" t="s">
        <v>90</v>
      </c>
      <c r="C49" s="49">
        <v>16286599</v>
      </c>
      <c r="D49" s="49">
        <v>23036636</v>
      </c>
      <c r="E49" s="274">
        <v>22529433</v>
      </c>
    </row>
    <row r="50" spans="1:5" ht="12" customHeight="1">
      <c r="A50" s="213" t="s">
        <v>66</v>
      </c>
      <c r="B50" s="6" t="s">
        <v>123</v>
      </c>
      <c r="C50" s="49"/>
      <c r="D50" s="49"/>
      <c r="E50" s="274"/>
    </row>
    <row r="51" spans="1:5" ht="12" customHeight="1" thickBot="1">
      <c r="A51" s="213" t="s">
        <v>97</v>
      </c>
      <c r="B51" s="6" t="s">
        <v>124</v>
      </c>
      <c r="C51" s="49"/>
      <c r="D51" s="49"/>
      <c r="E51" s="274"/>
    </row>
    <row r="52" spans="1:5" ht="12" customHeight="1" thickBot="1">
      <c r="A52" s="81" t="s">
        <v>7</v>
      </c>
      <c r="B52" s="59" t="s">
        <v>319</v>
      </c>
      <c r="C52" s="122">
        <f>SUM(C53:C55)</f>
        <v>0</v>
      </c>
      <c r="D52" s="122">
        <f>SUM(D53:D55)</f>
        <v>8000</v>
      </c>
      <c r="E52" s="150">
        <f>SUM(E53:E55)</f>
        <v>6930</v>
      </c>
    </row>
    <row r="53" spans="1:5" s="221" customFormat="1" ht="12" customHeight="1">
      <c r="A53" s="213" t="s">
        <v>69</v>
      </c>
      <c r="B53" s="7" t="s">
        <v>142</v>
      </c>
      <c r="C53" s="278"/>
      <c r="D53" s="278">
        <v>8000</v>
      </c>
      <c r="E53" s="276">
        <v>6930</v>
      </c>
    </row>
    <row r="54" spans="1:5" ht="12" customHeight="1">
      <c r="A54" s="213" t="s">
        <v>70</v>
      </c>
      <c r="B54" s="6" t="s">
        <v>126</v>
      </c>
      <c r="C54" s="49"/>
      <c r="D54" s="49"/>
      <c r="E54" s="274"/>
    </row>
    <row r="55" spans="1:5" ht="12" customHeight="1">
      <c r="A55" s="213" t="s">
        <v>71</v>
      </c>
      <c r="B55" s="6" t="s">
        <v>41</v>
      </c>
      <c r="C55" s="49"/>
      <c r="D55" s="49"/>
      <c r="E55" s="274"/>
    </row>
    <row r="56" spans="1:5" ht="12" customHeight="1" thickBot="1">
      <c r="A56" s="213" t="s">
        <v>72</v>
      </c>
      <c r="B56" s="6" t="s">
        <v>407</v>
      </c>
      <c r="C56" s="49"/>
      <c r="D56" s="49"/>
      <c r="E56" s="274"/>
    </row>
    <row r="57" spans="1:5" ht="12" customHeight="1" thickBot="1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>
      <c r="A58" s="81" t="s">
        <v>9</v>
      </c>
      <c r="B58" s="93" t="s">
        <v>411</v>
      </c>
      <c r="C58" s="302">
        <f>+C46+C52+C57</f>
        <v>28230591</v>
      </c>
      <c r="D58" s="302">
        <f>+D46+D52+D57</f>
        <v>34791598</v>
      </c>
      <c r="E58" s="153">
        <f>+E46+E52+E57</f>
        <v>33400529</v>
      </c>
    </row>
    <row r="59" spans="1:5" ht="13.5" thickBot="1">
      <c r="C59" s="660">
        <f>C42-C58</f>
        <v>0</v>
      </c>
      <c r="D59" s="660">
        <f>D42-D58</f>
        <v>0</v>
      </c>
      <c r="E59" s="154"/>
    </row>
    <row r="60" spans="1:5" ht="15.2" customHeight="1" thickBot="1">
      <c r="A60" s="306" t="s">
        <v>482</v>
      </c>
      <c r="B60" s="307"/>
      <c r="C60" s="296"/>
      <c r="D60" s="296"/>
      <c r="E60" s="295"/>
    </row>
    <row r="61" spans="1:5" ht="14.45" customHeight="1" thickBot="1">
      <c r="A61" s="308" t="s">
        <v>483</v>
      </c>
      <c r="B61" s="309"/>
      <c r="C61" s="296"/>
      <c r="D61" s="296"/>
      <c r="E61" s="295"/>
    </row>
  </sheetData>
  <sheetProtection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topLeftCell="A28" zoomScale="120" zoomScaleNormal="120" workbookViewId="0">
      <selection activeCell="D14" sqref="D14"/>
    </sheetView>
  </sheetViews>
  <sheetFormatPr defaultRowHeight="12.75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CONCATENATE("6.2.1. melléklet ",Z_ALAPADATOK!A7," ",Z_ALAPADATOK!B7," ",Z_ALAPADATOK!C7," ",Z_ALAPADATOK!D7," ",Z_ALAPADATOK!E7," ",Z_ALAPADATOK!F7," ",Z_ALAPADATOK!G7," ",Z_ALAPADATOK!H7)</f>
        <v>6.2.1. melléklet a … / 2021. ( … ) önkormányzati rendelethez</v>
      </c>
      <c r="C1" s="855"/>
      <c r="D1" s="855"/>
      <c r="E1" s="855"/>
    </row>
    <row r="2" spans="1:5" s="217" customFormat="1" ht="24.75" thickBot="1">
      <c r="A2" s="329" t="s">
        <v>450</v>
      </c>
      <c r="B2" s="856" t="s">
        <v>888</v>
      </c>
      <c r="C2" s="857"/>
      <c r="D2" s="858"/>
      <c r="E2" s="330" t="s">
        <v>42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14963140</v>
      </c>
      <c r="D8" s="122">
        <f>SUM(D9:D19)</f>
        <v>19272570</v>
      </c>
      <c r="E8" s="150">
        <f>SUM(E9:E19)</f>
        <v>18593881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>
        <v>33036</v>
      </c>
    </row>
    <row r="10" spans="1:5" s="155" customFormat="1" ht="12" customHeight="1">
      <c r="A10" s="213" t="s">
        <v>64</v>
      </c>
      <c r="B10" s="6" t="s">
        <v>184</v>
      </c>
      <c r="C10" s="119">
        <v>3430000</v>
      </c>
      <c r="D10" s="119">
        <v>4289715</v>
      </c>
      <c r="E10" s="271">
        <v>4292181</v>
      </c>
    </row>
    <row r="11" spans="1:5" s="155" customFormat="1" ht="12" customHeight="1">
      <c r="A11" s="213" t="s">
        <v>65</v>
      </c>
      <c r="B11" s="6" t="s">
        <v>185</v>
      </c>
      <c r="C11" s="119"/>
      <c r="D11" s="119"/>
      <c r="E11" s="271">
        <v>155614</v>
      </c>
    </row>
    <row r="12" spans="1:5" s="155" customFormat="1" ht="12" customHeight="1">
      <c r="A12" s="213" t="s">
        <v>66</v>
      </c>
      <c r="B12" s="6" t="s">
        <v>186</v>
      </c>
      <c r="C12" s="119"/>
      <c r="D12" s="119"/>
      <c r="E12" s="271"/>
    </row>
    <row r="13" spans="1:5" s="155" customFormat="1" ht="12" customHeight="1">
      <c r="A13" s="213" t="s">
        <v>97</v>
      </c>
      <c r="B13" s="6" t="s">
        <v>187</v>
      </c>
      <c r="C13" s="119">
        <v>8352000</v>
      </c>
      <c r="D13" s="119">
        <v>10296715</v>
      </c>
      <c r="E13" s="271">
        <v>10159612</v>
      </c>
    </row>
    <row r="14" spans="1:5" s="155" customFormat="1" ht="12" customHeight="1">
      <c r="A14" s="213" t="s">
        <v>67</v>
      </c>
      <c r="B14" s="6" t="s">
        <v>302</v>
      </c>
      <c r="C14" s="119">
        <v>3181140</v>
      </c>
      <c r="D14" s="119">
        <v>4381140</v>
      </c>
      <c r="E14" s="271">
        <v>3953302</v>
      </c>
    </row>
    <row r="15" spans="1:5" s="155" customFormat="1" ht="12" customHeight="1">
      <c r="A15" s="213" t="s">
        <v>68</v>
      </c>
      <c r="B15" s="5" t="s">
        <v>303</v>
      </c>
      <c r="C15" s="119"/>
      <c r="D15" s="119">
        <v>305000</v>
      </c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277"/>
      <c r="E16" s="275">
        <v>136</v>
      </c>
    </row>
    <row r="17" spans="1:5" s="220" customFormat="1" ht="12" customHeight="1">
      <c r="A17" s="213" t="s">
        <v>77</v>
      </c>
      <c r="B17" s="6" t="s">
        <v>191</v>
      </c>
      <c r="C17" s="119"/>
      <c r="D17" s="119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121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121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119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119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119"/>
      <c r="E23" s="271"/>
    </row>
    <row r="24" spans="1:5" s="220" customFormat="1" ht="12" customHeight="1" thickBot="1">
      <c r="A24" s="213" t="s">
        <v>72</v>
      </c>
      <c r="B24" s="6" t="s">
        <v>404</v>
      </c>
      <c r="C24" s="119"/>
      <c r="D24" s="119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>
      <c r="A26" s="81" t="s">
        <v>9</v>
      </c>
      <c r="B26" s="59" t="s">
        <v>405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>
      <c r="A27" s="214" t="s">
        <v>176</v>
      </c>
      <c r="B27" s="215" t="s">
        <v>172</v>
      </c>
      <c r="C27" s="278"/>
      <c r="D27" s="278"/>
      <c r="E27" s="276"/>
    </row>
    <row r="28" spans="1:5" s="220" customFormat="1" ht="12" customHeight="1">
      <c r="A28" s="214" t="s">
        <v>177</v>
      </c>
      <c r="B28" s="215" t="s">
        <v>305</v>
      </c>
      <c r="C28" s="119"/>
      <c r="D28" s="119"/>
      <c r="E28" s="271"/>
    </row>
    <row r="29" spans="1:5" s="220" customFormat="1" ht="12" customHeight="1">
      <c r="A29" s="214" t="s">
        <v>178</v>
      </c>
      <c r="B29" s="216" t="s">
        <v>308</v>
      </c>
      <c r="C29" s="119"/>
      <c r="D29" s="119"/>
      <c r="E29" s="271"/>
    </row>
    <row r="30" spans="1:5" s="220" customFormat="1" ht="12" customHeight="1" thickBot="1">
      <c r="A30" s="213" t="s">
        <v>179</v>
      </c>
      <c r="B30" s="64" t="s">
        <v>406</v>
      </c>
      <c r="C30" s="50"/>
      <c r="D30" s="50"/>
      <c r="E30" s="300"/>
    </row>
    <row r="31" spans="1:5" s="220" customFormat="1" ht="12" customHeight="1" thickBot="1">
      <c r="A31" s="81" t="s">
        <v>10</v>
      </c>
      <c r="B31" s="59" t="s">
        <v>309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>
      <c r="A32" s="214" t="s">
        <v>56</v>
      </c>
      <c r="B32" s="215" t="s">
        <v>197</v>
      </c>
      <c r="C32" s="278"/>
      <c r="D32" s="278"/>
      <c r="E32" s="276"/>
    </row>
    <row r="33" spans="1:5" s="220" customFormat="1" ht="12" customHeight="1">
      <c r="A33" s="214" t="s">
        <v>57</v>
      </c>
      <c r="B33" s="216" t="s">
        <v>198</v>
      </c>
      <c r="C33" s="123"/>
      <c r="D33" s="123"/>
      <c r="E33" s="273"/>
    </row>
    <row r="34" spans="1:5" s="220" customFormat="1" ht="12" customHeight="1" thickBot="1">
      <c r="A34" s="213" t="s">
        <v>58</v>
      </c>
      <c r="B34" s="64" t="s">
        <v>199</v>
      </c>
      <c r="C34" s="50"/>
      <c r="D34" s="50"/>
      <c r="E34" s="300"/>
    </row>
    <row r="35" spans="1:5" s="155" customFormat="1" ht="12" customHeight="1" thickBot="1">
      <c r="A35" s="81" t="s">
        <v>11</v>
      </c>
      <c r="B35" s="59" t="s">
        <v>282</v>
      </c>
      <c r="C35" s="301"/>
      <c r="D35" s="301"/>
      <c r="E35" s="149"/>
    </row>
    <row r="36" spans="1:5" s="155" customFormat="1" ht="12" customHeight="1" thickBot="1">
      <c r="A36" s="81" t="s">
        <v>12</v>
      </c>
      <c r="B36" s="59" t="s">
        <v>310</v>
      </c>
      <c r="C36" s="301"/>
      <c r="D36" s="301"/>
      <c r="E36" s="149"/>
    </row>
    <row r="37" spans="1:5" s="155" customFormat="1" ht="12" customHeight="1" thickBot="1">
      <c r="A37" s="77" t="s">
        <v>13</v>
      </c>
      <c r="B37" s="59" t="s">
        <v>311</v>
      </c>
      <c r="C37" s="122">
        <f>+C8+C20+C25+C26+C31+C35+C36</f>
        <v>14963140</v>
      </c>
      <c r="D37" s="122">
        <f>+D8+D20+D25+D26+D31+D35+D36</f>
        <v>19272570</v>
      </c>
      <c r="E37" s="150">
        <f>+E8+E20+E25+E26+E31+E35+E36</f>
        <v>18593881</v>
      </c>
    </row>
    <row r="38" spans="1:5" s="155" customFormat="1" ht="12" customHeight="1" thickBot="1">
      <c r="A38" s="87" t="s">
        <v>14</v>
      </c>
      <c r="B38" s="59" t="s">
        <v>312</v>
      </c>
      <c r="C38" s="122">
        <f>+C39+C40+C41</f>
        <v>13267451</v>
      </c>
      <c r="D38" s="122">
        <f>+D39+D40+D41</f>
        <v>15519028</v>
      </c>
      <c r="E38" s="150">
        <f>+E39+E40+E41</f>
        <v>15519028</v>
      </c>
    </row>
    <row r="39" spans="1:5" s="155" customFormat="1" ht="12" customHeight="1">
      <c r="A39" s="214" t="s">
        <v>313</v>
      </c>
      <c r="B39" s="215" t="s">
        <v>149</v>
      </c>
      <c r="C39" s="278">
        <v>667451</v>
      </c>
      <c r="D39" s="278">
        <v>667451</v>
      </c>
      <c r="E39" s="276">
        <v>667451</v>
      </c>
    </row>
    <row r="40" spans="1:5" s="155" customFormat="1" ht="12" customHeight="1">
      <c r="A40" s="214" t="s">
        <v>314</v>
      </c>
      <c r="B40" s="216" t="s">
        <v>0</v>
      </c>
      <c r="C40" s="123">
        <v>12600000</v>
      </c>
      <c r="D40" s="123">
        <v>14851577</v>
      </c>
      <c r="E40" s="273">
        <v>14851577</v>
      </c>
    </row>
    <row r="41" spans="1:5" s="220" customFormat="1" ht="12" customHeight="1" thickBot="1">
      <c r="A41" s="213" t="s">
        <v>315</v>
      </c>
      <c r="B41" s="64" t="s">
        <v>316</v>
      </c>
      <c r="C41" s="50"/>
      <c r="D41" s="50"/>
      <c r="E41" s="300"/>
    </row>
    <row r="42" spans="1:5" s="220" customFormat="1" ht="15.2" customHeight="1" thickBot="1">
      <c r="A42" s="87" t="s">
        <v>15</v>
      </c>
      <c r="B42" s="88" t="s">
        <v>317</v>
      </c>
      <c r="C42" s="302">
        <f>+C37+C38</f>
        <v>28230591</v>
      </c>
      <c r="D42" s="302">
        <f>+D37+D38</f>
        <v>34791598</v>
      </c>
      <c r="E42" s="153">
        <f>+E37+E38</f>
        <v>34112909</v>
      </c>
    </row>
    <row r="43" spans="1:5" s="220" customFormat="1" ht="15.2" customHeight="1">
      <c r="A43" s="89"/>
      <c r="B43" s="90"/>
      <c r="C43" s="151"/>
    </row>
    <row r="44" spans="1:5" ht="13.5" thickBot="1">
      <c r="A44" s="91"/>
      <c r="B44" s="92"/>
      <c r="C44" s="152"/>
    </row>
    <row r="45" spans="1:5" s="219" customFormat="1" ht="16.5" customHeight="1" thickBot="1">
      <c r="A45" s="850" t="s">
        <v>40</v>
      </c>
      <c r="B45" s="851"/>
      <c r="C45" s="851"/>
      <c r="D45" s="851"/>
      <c r="E45" s="852"/>
    </row>
    <row r="46" spans="1:5" s="221" customFormat="1" ht="12" customHeight="1" thickBot="1">
      <c r="A46" s="81" t="s">
        <v>6</v>
      </c>
      <c r="B46" s="59" t="s">
        <v>318</v>
      </c>
      <c r="C46" s="122">
        <f>SUM(C47:C51)</f>
        <v>28230591</v>
      </c>
      <c r="D46" s="122">
        <f>SUM(D47:D51)</f>
        <v>34783598</v>
      </c>
      <c r="E46" s="150">
        <f>SUM(E47:E51)</f>
        <v>33393599</v>
      </c>
    </row>
    <row r="47" spans="1:5" ht="12" customHeight="1">
      <c r="A47" s="213" t="s">
        <v>63</v>
      </c>
      <c r="B47" s="7" t="s">
        <v>35</v>
      </c>
      <c r="C47" s="278">
        <v>10209780</v>
      </c>
      <c r="D47" s="278">
        <v>9948087</v>
      </c>
      <c r="E47" s="276">
        <v>9312852</v>
      </c>
    </row>
    <row r="48" spans="1:5" ht="12" customHeight="1">
      <c r="A48" s="213" t="s">
        <v>64</v>
      </c>
      <c r="B48" s="6" t="s">
        <v>122</v>
      </c>
      <c r="C48" s="49">
        <v>1734212</v>
      </c>
      <c r="D48" s="49">
        <v>1798875</v>
      </c>
      <c r="E48" s="274">
        <v>1551314</v>
      </c>
    </row>
    <row r="49" spans="1:5" ht="12" customHeight="1">
      <c r="A49" s="213" t="s">
        <v>65</v>
      </c>
      <c r="B49" s="6" t="s">
        <v>90</v>
      </c>
      <c r="C49" s="49">
        <v>16286599</v>
      </c>
      <c r="D49" s="49">
        <v>23036636</v>
      </c>
      <c r="E49" s="274">
        <v>22529433</v>
      </c>
    </row>
    <row r="50" spans="1:5" ht="12" customHeight="1">
      <c r="A50" s="213" t="s">
        <v>66</v>
      </c>
      <c r="B50" s="6" t="s">
        <v>123</v>
      </c>
      <c r="C50" s="49"/>
      <c r="D50" s="49"/>
      <c r="E50" s="274"/>
    </row>
    <row r="51" spans="1:5" ht="12" customHeight="1" thickBot="1">
      <c r="A51" s="213" t="s">
        <v>97</v>
      </c>
      <c r="B51" s="6" t="s">
        <v>124</v>
      </c>
      <c r="C51" s="49"/>
      <c r="D51" s="49"/>
      <c r="E51" s="274"/>
    </row>
    <row r="52" spans="1:5" ht="12" customHeight="1" thickBot="1">
      <c r="A52" s="81" t="s">
        <v>7</v>
      </c>
      <c r="B52" s="59" t="s">
        <v>319</v>
      </c>
      <c r="C52" s="122">
        <f>SUM(C53:C55)</f>
        <v>0</v>
      </c>
      <c r="D52" s="122">
        <f>SUM(D53:D55)</f>
        <v>8000</v>
      </c>
      <c r="E52" s="150">
        <f>SUM(E53:E55)</f>
        <v>6930</v>
      </c>
    </row>
    <row r="53" spans="1:5" s="221" customFormat="1" ht="12" customHeight="1">
      <c r="A53" s="213" t="s">
        <v>69</v>
      </c>
      <c r="B53" s="7" t="s">
        <v>142</v>
      </c>
      <c r="C53" s="278"/>
      <c r="D53" s="278">
        <v>8000</v>
      </c>
      <c r="E53" s="276">
        <v>6930</v>
      </c>
    </row>
    <row r="54" spans="1:5" ht="12" customHeight="1">
      <c r="A54" s="213" t="s">
        <v>70</v>
      </c>
      <c r="B54" s="6" t="s">
        <v>126</v>
      </c>
      <c r="C54" s="49"/>
      <c r="D54" s="49"/>
      <c r="E54" s="274"/>
    </row>
    <row r="55" spans="1:5" ht="12" customHeight="1">
      <c r="A55" s="213" t="s">
        <v>71</v>
      </c>
      <c r="B55" s="6" t="s">
        <v>41</v>
      </c>
      <c r="C55" s="49"/>
      <c r="D55" s="49"/>
      <c r="E55" s="274"/>
    </row>
    <row r="56" spans="1:5" ht="12" customHeight="1" thickBot="1">
      <c r="A56" s="213" t="s">
        <v>72</v>
      </c>
      <c r="B56" s="6" t="s">
        <v>407</v>
      </c>
      <c r="C56" s="49"/>
      <c r="D56" s="49"/>
      <c r="E56" s="274"/>
    </row>
    <row r="57" spans="1:5" ht="12" customHeight="1" thickBot="1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>
      <c r="A58" s="81" t="s">
        <v>9</v>
      </c>
      <c r="B58" s="93" t="s">
        <v>411</v>
      </c>
      <c r="C58" s="302">
        <f>+C46+C52+C57</f>
        <v>28230591</v>
      </c>
      <c r="D58" s="302">
        <f>+D46+D52+D57</f>
        <v>34791598</v>
      </c>
      <c r="E58" s="153">
        <f>+E46+E52+E57</f>
        <v>33400529</v>
      </c>
    </row>
    <row r="59" spans="1:5" ht="13.5" thickBot="1">
      <c r="C59" s="660">
        <f>C42-C58</f>
        <v>0</v>
      </c>
      <c r="D59" s="660">
        <f>D42-D58</f>
        <v>0</v>
      </c>
      <c r="E59" s="154"/>
    </row>
    <row r="60" spans="1:5" ht="15.2" customHeight="1" thickBot="1">
      <c r="A60" s="306" t="s">
        <v>482</v>
      </c>
      <c r="B60" s="307"/>
      <c r="C60" s="296"/>
      <c r="D60" s="296"/>
      <c r="E60" s="295"/>
    </row>
    <row r="61" spans="1:5" ht="14.45" customHeight="1" thickBot="1">
      <c r="A61" s="308" t="s">
        <v>483</v>
      </c>
      <c r="B61" s="309"/>
      <c r="C61" s="296"/>
      <c r="D61" s="296"/>
      <c r="E61" s="295"/>
    </row>
  </sheetData>
  <sheetProtection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zoomScale="120" zoomScaleNormal="120" workbookViewId="0">
      <selection activeCell="B24" sqref="B2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80" t="s">
        <v>521</v>
      </c>
      <c r="B1" s="82"/>
    </row>
    <row r="2" spans="1:2">
      <c r="A2" s="82"/>
      <c r="B2" s="82"/>
    </row>
    <row r="3" spans="1:2">
      <c r="A3" s="282"/>
      <c r="B3" s="282"/>
    </row>
    <row r="4" spans="1:2" ht="15.75">
      <c r="A4" s="84"/>
      <c r="B4" s="286"/>
    </row>
    <row r="5" spans="1:2" ht="15.75">
      <c r="A5" s="84"/>
      <c r="B5" s="286"/>
    </row>
    <row r="6" spans="1:2" s="69" customFormat="1" ht="15.75">
      <c r="A6" s="84" t="str">
        <f>CONCATENATE(Z_ALAPADATOK!B1,". évi eredeti előirányzat BEVÉTELEK")</f>
        <v>2020. évi eredeti előirányzat BEVÉTELEK</v>
      </c>
      <c r="B6" s="282"/>
    </row>
    <row r="7" spans="1:2" s="69" customFormat="1">
      <c r="A7" s="282"/>
      <c r="B7" s="282"/>
    </row>
    <row r="8" spans="1:2" s="69" customFormat="1">
      <c r="A8" s="282"/>
      <c r="B8" s="282"/>
    </row>
    <row r="9" spans="1:2">
      <c r="A9" s="282" t="s">
        <v>453</v>
      </c>
      <c r="B9" s="282" t="s">
        <v>422</v>
      </c>
    </row>
    <row r="10" spans="1:2">
      <c r="A10" s="282" t="s">
        <v>451</v>
      </c>
      <c r="B10" s="282" t="s">
        <v>428</v>
      </c>
    </row>
    <row r="11" spans="1:2">
      <c r="A11" s="282" t="s">
        <v>452</v>
      </c>
      <c r="B11" s="282" t="s">
        <v>429</v>
      </c>
    </row>
    <row r="12" spans="1:2">
      <c r="A12" s="282"/>
      <c r="B12" s="282"/>
    </row>
    <row r="13" spans="1:2" ht="15.75">
      <c r="A13" s="84" t="str">
        <f>+CONCATENATE(LEFT(A6,4),". évi módosított előirányzat BEVÉTELEK")</f>
        <v>2020. évi módosított előirányzat BEVÉTELEK</v>
      </c>
      <c r="B13" s="286"/>
    </row>
    <row r="14" spans="1:2">
      <c r="A14" s="282"/>
      <c r="B14" s="282"/>
    </row>
    <row r="15" spans="1:2" s="69" customFormat="1">
      <c r="A15" s="282" t="s">
        <v>454</v>
      </c>
      <c r="B15" s="282" t="s">
        <v>423</v>
      </c>
    </row>
    <row r="16" spans="1:2">
      <c r="A16" s="282" t="s">
        <v>455</v>
      </c>
      <c r="B16" s="282" t="s">
        <v>430</v>
      </c>
    </row>
    <row r="17" spans="1:2">
      <c r="A17" s="282" t="s">
        <v>456</v>
      </c>
      <c r="B17" s="282" t="s">
        <v>431</v>
      </c>
    </row>
    <row r="18" spans="1:2">
      <c r="A18" s="282"/>
      <c r="B18" s="282"/>
    </row>
    <row r="19" spans="1:2" ht="14.25">
      <c r="A19" s="289" t="str">
        <f>+CONCATENATE(LEFT(A6,4),".évi teljesített BEVÉTELEK")</f>
        <v>2020.évi teljesített BEVÉTELEK</v>
      </c>
      <c r="B19" s="286"/>
    </row>
    <row r="20" spans="1:2">
      <c r="A20" s="282"/>
      <c r="B20" s="282"/>
    </row>
    <row r="21" spans="1:2">
      <c r="A21" s="282" t="s">
        <v>457</v>
      </c>
      <c r="B21" s="282" t="s">
        <v>424</v>
      </c>
    </row>
    <row r="22" spans="1:2">
      <c r="A22" s="282" t="s">
        <v>458</v>
      </c>
      <c r="B22" s="282" t="s">
        <v>432</v>
      </c>
    </row>
    <row r="23" spans="1:2">
      <c r="A23" s="282" t="s">
        <v>459</v>
      </c>
      <c r="B23" s="282" t="s">
        <v>433</v>
      </c>
    </row>
    <row r="24" spans="1:2">
      <c r="A24" s="282"/>
      <c r="B24" s="282"/>
    </row>
    <row r="25" spans="1:2" ht="15.75">
      <c r="A25" s="84" t="str">
        <f>+CONCATENATE(LEFT(A6,4),". évi eredeti előirányzat KIADÁSOK")</f>
        <v>2020. évi eredeti előirányzat KIADÁSOK</v>
      </c>
      <c r="B25" s="286"/>
    </row>
    <row r="26" spans="1:2">
      <c r="A26" s="282"/>
      <c r="B26" s="282"/>
    </row>
    <row r="27" spans="1:2">
      <c r="A27" s="282" t="s">
        <v>460</v>
      </c>
      <c r="B27" s="282" t="s">
        <v>425</v>
      </c>
    </row>
    <row r="28" spans="1:2">
      <c r="A28" s="282" t="s">
        <v>461</v>
      </c>
      <c r="B28" s="282" t="s">
        <v>434</v>
      </c>
    </row>
    <row r="29" spans="1:2">
      <c r="A29" s="282" t="s">
        <v>462</v>
      </c>
      <c r="B29" s="282" t="s">
        <v>435</v>
      </c>
    </row>
    <row r="30" spans="1:2">
      <c r="A30" s="282"/>
      <c r="B30" s="282"/>
    </row>
    <row r="31" spans="1:2" ht="15.75">
      <c r="A31" s="84" t="str">
        <f>+CONCATENATE(LEFT(A6,4),". évi módosított előirányzat KIADÁSOK")</f>
        <v>2020. évi módosított előirányzat KIADÁSOK</v>
      </c>
      <c r="B31" s="286"/>
    </row>
    <row r="32" spans="1:2">
      <c r="A32" s="282"/>
      <c r="B32" s="282"/>
    </row>
    <row r="33" spans="1:2">
      <c r="A33" s="282" t="s">
        <v>463</v>
      </c>
      <c r="B33" s="282" t="s">
        <v>426</v>
      </c>
    </row>
    <row r="34" spans="1:2">
      <c r="A34" s="282" t="s">
        <v>464</v>
      </c>
      <c r="B34" s="282" t="s">
        <v>436</v>
      </c>
    </row>
    <row r="35" spans="1:2">
      <c r="A35" s="282" t="s">
        <v>465</v>
      </c>
      <c r="B35" s="282" t="s">
        <v>437</v>
      </c>
    </row>
    <row r="36" spans="1:2">
      <c r="A36" s="282"/>
      <c r="B36" s="282"/>
    </row>
    <row r="37" spans="1:2" ht="15.75">
      <c r="A37" s="288" t="str">
        <f>+CONCATENATE(LEFT(A6,4),".évi teljesített KIADÁSOK")</f>
        <v>2020.évi teljesített KIADÁSOK</v>
      </c>
      <c r="B37" s="286"/>
    </row>
    <row r="38" spans="1:2">
      <c r="A38" s="282"/>
      <c r="B38" s="282"/>
    </row>
    <row r="39" spans="1:2">
      <c r="A39" s="282" t="s">
        <v>466</v>
      </c>
      <c r="B39" s="282" t="s">
        <v>427</v>
      </c>
    </row>
    <row r="40" spans="1:2">
      <c r="A40" s="282" t="s">
        <v>467</v>
      </c>
      <c r="B40" s="282" t="s">
        <v>438</v>
      </c>
    </row>
    <row r="41" spans="1:2">
      <c r="A41" s="282" t="s">
        <v>468</v>
      </c>
      <c r="B41" s="282" t="s">
        <v>439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CONCATENATE("6.2.2. melléklet ",Z_ALAPADATOK!A7," ",Z_ALAPADATOK!B7," ",Z_ALAPADATOK!C7," ",Z_ALAPADATOK!D7," ",Z_ALAPADATOK!E7," ",Z_ALAPADATOK!F7," ",Z_ALAPADATOK!G7," ",Z_ALAPADATOK!H7)</f>
        <v>6.2.2. melléklet a … / 2021. ( … ) önkormányzati rendelethez</v>
      </c>
      <c r="C1" s="855"/>
      <c r="D1" s="855"/>
      <c r="E1" s="855"/>
    </row>
    <row r="2" spans="1:5" s="217" customFormat="1" ht="24.75" thickBot="1">
      <c r="A2" s="329" t="s">
        <v>450</v>
      </c>
      <c r="B2" s="856" t="str">
        <f>CONCATENATE(Z_6.2.1.sz.mell!B2:D2)</f>
        <v>Borsodivánka Község Élelmezési és Ellátó Központ</v>
      </c>
      <c r="C2" s="857"/>
      <c r="D2" s="858"/>
      <c r="E2" s="330" t="s">
        <v>42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Z_6.2.1.sz.mell!E4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CONCATENATE(Z_6.2.1.sz.mell!E5)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119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119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119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119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119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119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277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119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121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121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119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119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119"/>
      <c r="E23" s="271"/>
    </row>
    <row r="24" spans="1:5" s="220" customFormat="1" ht="12" customHeight="1" thickBot="1">
      <c r="A24" s="213" t="s">
        <v>72</v>
      </c>
      <c r="B24" s="6" t="s">
        <v>404</v>
      </c>
      <c r="C24" s="119"/>
      <c r="D24" s="119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>
      <c r="A26" s="81" t="s">
        <v>9</v>
      </c>
      <c r="B26" s="59" t="s">
        <v>405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>
      <c r="A27" s="214" t="s">
        <v>176</v>
      </c>
      <c r="B27" s="215" t="s">
        <v>172</v>
      </c>
      <c r="C27" s="278"/>
      <c r="D27" s="278"/>
      <c r="E27" s="276"/>
    </row>
    <row r="28" spans="1:5" s="220" customFormat="1" ht="12" customHeight="1">
      <c r="A28" s="214" t="s">
        <v>177</v>
      </c>
      <c r="B28" s="215" t="s">
        <v>305</v>
      </c>
      <c r="C28" s="119"/>
      <c r="D28" s="119"/>
      <c r="E28" s="271"/>
    </row>
    <row r="29" spans="1:5" s="220" customFormat="1" ht="12" customHeight="1">
      <c r="A29" s="214" t="s">
        <v>178</v>
      </c>
      <c r="B29" s="216" t="s">
        <v>308</v>
      </c>
      <c r="C29" s="119"/>
      <c r="D29" s="119"/>
      <c r="E29" s="271"/>
    </row>
    <row r="30" spans="1:5" s="220" customFormat="1" ht="12" customHeight="1" thickBot="1">
      <c r="A30" s="213" t="s">
        <v>179</v>
      </c>
      <c r="B30" s="64" t="s">
        <v>406</v>
      </c>
      <c r="C30" s="50"/>
      <c r="D30" s="50"/>
      <c r="E30" s="300"/>
    </row>
    <row r="31" spans="1:5" s="220" customFormat="1" ht="12" customHeight="1" thickBot="1">
      <c r="A31" s="81" t="s">
        <v>10</v>
      </c>
      <c r="B31" s="59" t="s">
        <v>309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>
      <c r="A32" s="214" t="s">
        <v>56</v>
      </c>
      <c r="B32" s="215" t="s">
        <v>197</v>
      </c>
      <c r="C32" s="278"/>
      <c r="D32" s="278"/>
      <c r="E32" s="276"/>
    </row>
    <row r="33" spans="1:5" s="220" customFormat="1" ht="12" customHeight="1">
      <c r="A33" s="214" t="s">
        <v>57</v>
      </c>
      <c r="B33" s="216" t="s">
        <v>198</v>
      </c>
      <c r="C33" s="123"/>
      <c r="D33" s="123"/>
      <c r="E33" s="273"/>
    </row>
    <row r="34" spans="1:5" s="220" customFormat="1" ht="12" customHeight="1" thickBot="1">
      <c r="A34" s="213" t="s">
        <v>58</v>
      </c>
      <c r="B34" s="64" t="s">
        <v>199</v>
      </c>
      <c r="C34" s="50"/>
      <c r="D34" s="50"/>
      <c r="E34" s="300"/>
    </row>
    <row r="35" spans="1:5" s="155" customFormat="1" ht="12" customHeight="1" thickBot="1">
      <c r="A35" s="81" t="s">
        <v>11</v>
      </c>
      <c r="B35" s="59" t="s">
        <v>282</v>
      </c>
      <c r="C35" s="301"/>
      <c r="D35" s="301"/>
      <c r="E35" s="149"/>
    </row>
    <row r="36" spans="1:5" s="155" customFormat="1" ht="12" customHeight="1" thickBot="1">
      <c r="A36" s="81" t="s">
        <v>12</v>
      </c>
      <c r="B36" s="59" t="s">
        <v>310</v>
      </c>
      <c r="C36" s="301"/>
      <c r="D36" s="301"/>
      <c r="E36" s="149"/>
    </row>
    <row r="37" spans="1:5" s="155" customFormat="1" ht="12" customHeight="1" thickBot="1">
      <c r="A37" s="77" t="s">
        <v>13</v>
      </c>
      <c r="B37" s="59" t="s">
        <v>311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>
      <c r="A38" s="87" t="s">
        <v>14</v>
      </c>
      <c r="B38" s="59" t="s">
        <v>312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>
      <c r="A39" s="214" t="s">
        <v>313</v>
      </c>
      <c r="B39" s="215" t="s">
        <v>149</v>
      </c>
      <c r="C39" s="278"/>
      <c r="D39" s="278"/>
      <c r="E39" s="276"/>
    </row>
    <row r="40" spans="1:5" s="155" customFormat="1" ht="12" customHeight="1">
      <c r="A40" s="214" t="s">
        <v>314</v>
      </c>
      <c r="B40" s="216" t="s">
        <v>0</v>
      </c>
      <c r="C40" s="123"/>
      <c r="D40" s="123"/>
      <c r="E40" s="273"/>
    </row>
    <row r="41" spans="1:5" s="220" customFormat="1" ht="12" customHeight="1" thickBot="1">
      <c r="A41" s="213" t="s">
        <v>315</v>
      </c>
      <c r="B41" s="64" t="s">
        <v>316</v>
      </c>
      <c r="C41" s="50"/>
      <c r="D41" s="50"/>
      <c r="E41" s="300"/>
    </row>
    <row r="42" spans="1:5" s="220" customFormat="1" ht="15.2" customHeight="1" thickBot="1">
      <c r="A42" s="87" t="s">
        <v>15</v>
      </c>
      <c r="B42" s="88" t="s">
        <v>317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>
      <c r="A43" s="89"/>
      <c r="B43" s="90"/>
      <c r="C43" s="151"/>
    </row>
    <row r="44" spans="1:5" ht="13.5" thickBot="1">
      <c r="A44" s="91"/>
      <c r="B44" s="92"/>
      <c r="C44" s="152"/>
    </row>
    <row r="45" spans="1:5" s="219" customFormat="1" ht="16.5" customHeight="1" thickBot="1">
      <c r="A45" s="850" t="s">
        <v>40</v>
      </c>
      <c r="B45" s="851"/>
      <c r="C45" s="851"/>
      <c r="D45" s="851"/>
      <c r="E45" s="852"/>
    </row>
    <row r="46" spans="1:5" s="221" customFormat="1" ht="12" customHeight="1" thickBot="1">
      <c r="A46" s="81" t="s">
        <v>6</v>
      </c>
      <c r="B46" s="59" t="s">
        <v>318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>
      <c r="A47" s="213" t="s">
        <v>63</v>
      </c>
      <c r="B47" s="7" t="s">
        <v>35</v>
      </c>
      <c r="C47" s="278"/>
      <c r="D47" s="278"/>
      <c r="E47" s="276"/>
    </row>
    <row r="48" spans="1:5" ht="12" customHeight="1">
      <c r="A48" s="213" t="s">
        <v>64</v>
      </c>
      <c r="B48" s="6" t="s">
        <v>122</v>
      </c>
      <c r="C48" s="49"/>
      <c r="D48" s="49"/>
      <c r="E48" s="274"/>
    </row>
    <row r="49" spans="1:5" ht="12" customHeight="1">
      <c r="A49" s="213" t="s">
        <v>65</v>
      </c>
      <c r="B49" s="6" t="s">
        <v>90</v>
      </c>
      <c r="C49" s="49"/>
      <c r="D49" s="49"/>
      <c r="E49" s="274"/>
    </row>
    <row r="50" spans="1:5" ht="12" customHeight="1">
      <c r="A50" s="213" t="s">
        <v>66</v>
      </c>
      <c r="B50" s="6" t="s">
        <v>123</v>
      </c>
      <c r="C50" s="49"/>
      <c r="D50" s="49"/>
      <c r="E50" s="274"/>
    </row>
    <row r="51" spans="1:5" ht="12" customHeight="1" thickBot="1">
      <c r="A51" s="213" t="s">
        <v>97</v>
      </c>
      <c r="B51" s="6" t="s">
        <v>124</v>
      </c>
      <c r="C51" s="49"/>
      <c r="D51" s="49"/>
      <c r="E51" s="274"/>
    </row>
    <row r="52" spans="1:5" ht="12" customHeight="1" thickBot="1">
      <c r="A52" s="81" t="s">
        <v>7</v>
      </c>
      <c r="B52" s="59" t="s">
        <v>319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>
      <c r="A53" s="213" t="s">
        <v>69</v>
      </c>
      <c r="B53" s="7" t="s">
        <v>142</v>
      </c>
      <c r="C53" s="278"/>
      <c r="D53" s="278"/>
      <c r="E53" s="276"/>
    </row>
    <row r="54" spans="1:5" ht="12" customHeight="1">
      <c r="A54" s="213" t="s">
        <v>70</v>
      </c>
      <c r="B54" s="6" t="s">
        <v>126</v>
      </c>
      <c r="C54" s="49"/>
      <c r="D54" s="49"/>
      <c r="E54" s="274"/>
    </row>
    <row r="55" spans="1:5" ht="12" customHeight="1">
      <c r="A55" s="213" t="s">
        <v>71</v>
      </c>
      <c r="B55" s="6" t="s">
        <v>41</v>
      </c>
      <c r="C55" s="49"/>
      <c r="D55" s="49"/>
      <c r="E55" s="274"/>
    </row>
    <row r="56" spans="1:5" ht="12" customHeight="1" thickBot="1">
      <c r="A56" s="213" t="s">
        <v>72</v>
      </c>
      <c r="B56" s="6" t="s">
        <v>407</v>
      </c>
      <c r="C56" s="49"/>
      <c r="D56" s="49"/>
      <c r="E56" s="274"/>
    </row>
    <row r="57" spans="1:5" ht="12" customHeight="1" thickBot="1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>
      <c r="A58" s="81" t="s">
        <v>9</v>
      </c>
      <c r="B58" s="93" t="s">
        <v>411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>
      <c r="C59" s="660">
        <f>C42-C58</f>
        <v>0</v>
      </c>
      <c r="D59" s="660">
        <f>D42-D58</f>
        <v>0</v>
      </c>
      <c r="E59" s="154"/>
    </row>
    <row r="60" spans="1:5" ht="15.2" customHeight="1" thickBot="1">
      <c r="A60" s="306" t="s">
        <v>482</v>
      </c>
      <c r="B60" s="307"/>
      <c r="C60" s="296"/>
      <c r="D60" s="296"/>
      <c r="E60" s="295"/>
    </row>
    <row r="61" spans="1:5" ht="14.45" customHeight="1" thickBot="1">
      <c r="A61" s="308" t="s">
        <v>483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>
      <c r="A1" s="328"/>
      <c r="B1" s="859" t="str">
        <f>CONCATENATE("6.2.3. melléklet ",Z_ALAPADATOK!A7," ",Z_ALAPADATOK!B7," ",Z_ALAPADATOK!C7," ",Z_ALAPADATOK!D7," ",Z_ALAPADATOK!E7," ",Z_ALAPADATOK!F7," ",Z_ALAPADATOK!G7," ",Z_ALAPADATOK!H7)</f>
        <v>6.2.3. melléklet a … / 2021. ( … ) önkormányzati rendelethez</v>
      </c>
      <c r="C1" s="860"/>
      <c r="D1" s="860"/>
      <c r="E1" s="860"/>
    </row>
    <row r="2" spans="1:5" s="217" customFormat="1" ht="24.75" thickBot="1">
      <c r="A2" s="329" t="s">
        <v>450</v>
      </c>
      <c r="B2" s="856" t="str">
        <f>CONCATENATE(Z_6.2.2.sz.mell!B2:D2)</f>
        <v>Borsodivánka Község Élelmezési és Ellátó Központ</v>
      </c>
      <c r="C2" s="857"/>
      <c r="D2" s="858"/>
      <c r="E2" s="330" t="s">
        <v>42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Z_6.2.2.sz.mell!E4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CONCATENATE(Z_6.2.2.sz.mell!E5)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119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119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119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119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119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119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277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119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121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121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119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119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119"/>
      <c r="E23" s="271"/>
    </row>
    <row r="24" spans="1:5" s="220" customFormat="1" ht="12" customHeight="1" thickBot="1">
      <c r="A24" s="213" t="s">
        <v>72</v>
      </c>
      <c r="B24" s="6" t="s">
        <v>404</v>
      </c>
      <c r="C24" s="119"/>
      <c r="D24" s="119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>
      <c r="A26" s="81" t="s">
        <v>9</v>
      </c>
      <c r="B26" s="59" t="s">
        <v>405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>
      <c r="A27" s="214" t="s">
        <v>176</v>
      </c>
      <c r="B27" s="215" t="s">
        <v>172</v>
      </c>
      <c r="C27" s="278"/>
      <c r="D27" s="278"/>
      <c r="E27" s="276"/>
    </row>
    <row r="28" spans="1:5" s="220" customFormat="1" ht="12" customHeight="1">
      <c r="A28" s="214" t="s">
        <v>177</v>
      </c>
      <c r="B28" s="215" t="s">
        <v>305</v>
      </c>
      <c r="C28" s="119"/>
      <c r="D28" s="119"/>
      <c r="E28" s="271"/>
    </row>
    <row r="29" spans="1:5" s="220" customFormat="1" ht="12" customHeight="1">
      <c r="A29" s="214" t="s">
        <v>178</v>
      </c>
      <c r="B29" s="216" t="s">
        <v>308</v>
      </c>
      <c r="C29" s="119"/>
      <c r="D29" s="119"/>
      <c r="E29" s="271"/>
    </row>
    <row r="30" spans="1:5" s="220" customFormat="1" ht="12" customHeight="1" thickBot="1">
      <c r="A30" s="213" t="s">
        <v>179</v>
      </c>
      <c r="B30" s="64" t="s">
        <v>406</v>
      </c>
      <c r="C30" s="50"/>
      <c r="D30" s="50"/>
      <c r="E30" s="300"/>
    </row>
    <row r="31" spans="1:5" s="220" customFormat="1" ht="12" customHeight="1" thickBot="1">
      <c r="A31" s="81" t="s">
        <v>10</v>
      </c>
      <c r="B31" s="59" t="s">
        <v>309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>
      <c r="A32" s="214" t="s">
        <v>56</v>
      </c>
      <c r="B32" s="215" t="s">
        <v>197</v>
      </c>
      <c r="C32" s="278"/>
      <c r="D32" s="278"/>
      <c r="E32" s="276"/>
    </row>
    <row r="33" spans="1:5" s="220" customFormat="1" ht="12" customHeight="1">
      <c r="A33" s="214" t="s">
        <v>57</v>
      </c>
      <c r="B33" s="216" t="s">
        <v>198</v>
      </c>
      <c r="C33" s="123"/>
      <c r="D33" s="123"/>
      <c r="E33" s="273"/>
    </row>
    <row r="34" spans="1:5" s="220" customFormat="1" ht="12" customHeight="1" thickBot="1">
      <c r="A34" s="213" t="s">
        <v>58</v>
      </c>
      <c r="B34" s="64" t="s">
        <v>199</v>
      </c>
      <c r="C34" s="50"/>
      <c r="D34" s="50"/>
      <c r="E34" s="300"/>
    </row>
    <row r="35" spans="1:5" s="155" customFormat="1" ht="12" customHeight="1" thickBot="1">
      <c r="A35" s="81" t="s">
        <v>11</v>
      </c>
      <c r="B35" s="59" t="s">
        <v>282</v>
      </c>
      <c r="C35" s="301"/>
      <c r="D35" s="301"/>
      <c r="E35" s="149"/>
    </row>
    <row r="36" spans="1:5" s="155" customFormat="1" ht="12" customHeight="1" thickBot="1">
      <c r="A36" s="81" t="s">
        <v>12</v>
      </c>
      <c r="B36" s="59" t="s">
        <v>310</v>
      </c>
      <c r="C36" s="301"/>
      <c r="D36" s="301"/>
      <c r="E36" s="149"/>
    </row>
    <row r="37" spans="1:5" s="155" customFormat="1" ht="12" customHeight="1" thickBot="1">
      <c r="A37" s="77" t="s">
        <v>13</v>
      </c>
      <c r="B37" s="59" t="s">
        <v>311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>
      <c r="A38" s="87" t="s">
        <v>14</v>
      </c>
      <c r="B38" s="59" t="s">
        <v>312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>
      <c r="A39" s="214" t="s">
        <v>313</v>
      </c>
      <c r="B39" s="215" t="s">
        <v>149</v>
      </c>
      <c r="C39" s="278"/>
      <c r="D39" s="278"/>
      <c r="E39" s="276"/>
    </row>
    <row r="40" spans="1:5" s="155" customFormat="1" ht="12" customHeight="1">
      <c r="A40" s="214" t="s">
        <v>314</v>
      </c>
      <c r="B40" s="216" t="s">
        <v>0</v>
      </c>
      <c r="C40" s="123"/>
      <c r="D40" s="123"/>
      <c r="E40" s="273"/>
    </row>
    <row r="41" spans="1:5" s="220" customFormat="1" ht="12" customHeight="1" thickBot="1">
      <c r="A41" s="213" t="s">
        <v>315</v>
      </c>
      <c r="B41" s="64" t="s">
        <v>316</v>
      </c>
      <c r="C41" s="50"/>
      <c r="D41" s="50"/>
      <c r="E41" s="300"/>
    </row>
    <row r="42" spans="1:5" s="220" customFormat="1" ht="15.2" customHeight="1" thickBot="1">
      <c r="A42" s="87" t="s">
        <v>15</v>
      </c>
      <c r="B42" s="88" t="s">
        <v>317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>
      <c r="A43" s="89"/>
      <c r="B43" s="90"/>
      <c r="C43" s="151"/>
    </row>
    <row r="44" spans="1:5" ht="13.5" thickBot="1">
      <c r="A44" s="91"/>
      <c r="B44" s="92"/>
      <c r="C44" s="152"/>
    </row>
    <row r="45" spans="1:5" s="219" customFormat="1" ht="16.5" customHeight="1" thickBot="1">
      <c r="A45" s="850" t="s">
        <v>40</v>
      </c>
      <c r="B45" s="851"/>
      <c r="C45" s="851"/>
      <c r="D45" s="851"/>
      <c r="E45" s="852"/>
    </row>
    <row r="46" spans="1:5" s="221" customFormat="1" ht="12" customHeight="1" thickBot="1">
      <c r="A46" s="81" t="s">
        <v>6</v>
      </c>
      <c r="B46" s="59" t="s">
        <v>318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>
      <c r="A47" s="213" t="s">
        <v>63</v>
      </c>
      <c r="B47" s="7" t="s">
        <v>35</v>
      </c>
      <c r="C47" s="278"/>
      <c r="D47" s="278"/>
      <c r="E47" s="276"/>
    </row>
    <row r="48" spans="1:5" ht="12" customHeight="1">
      <c r="A48" s="213" t="s">
        <v>64</v>
      </c>
      <c r="B48" s="6" t="s">
        <v>122</v>
      </c>
      <c r="C48" s="49"/>
      <c r="D48" s="49"/>
      <c r="E48" s="274"/>
    </row>
    <row r="49" spans="1:5" ht="12" customHeight="1">
      <c r="A49" s="213" t="s">
        <v>65</v>
      </c>
      <c r="B49" s="6" t="s">
        <v>90</v>
      </c>
      <c r="C49" s="49"/>
      <c r="D49" s="49"/>
      <c r="E49" s="274"/>
    </row>
    <row r="50" spans="1:5" ht="12" customHeight="1">
      <c r="A50" s="213" t="s">
        <v>66</v>
      </c>
      <c r="B50" s="6" t="s">
        <v>123</v>
      </c>
      <c r="C50" s="49"/>
      <c r="D50" s="49"/>
      <c r="E50" s="274"/>
    </row>
    <row r="51" spans="1:5" ht="12" customHeight="1" thickBot="1">
      <c r="A51" s="213" t="s">
        <v>97</v>
      </c>
      <c r="B51" s="6" t="s">
        <v>124</v>
      </c>
      <c r="C51" s="49"/>
      <c r="D51" s="49"/>
      <c r="E51" s="274"/>
    </row>
    <row r="52" spans="1:5" ht="12" customHeight="1" thickBot="1">
      <c r="A52" s="81" t="s">
        <v>7</v>
      </c>
      <c r="B52" s="59" t="s">
        <v>319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>
      <c r="A53" s="213" t="s">
        <v>69</v>
      </c>
      <c r="B53" s="7" t="s">
        <v>142</v>
      </c>
      <c r="C53" s="278"/>
      <c r="D53" s="278"/>
      <c r="E53" s="276"/>
    </row>
    <row r="54" spans="1:5" ht="12" customHeight="1">
      <c r="A54" s="213" t="s">
        <v>70</v>
      </c>
      <c r="B54" s="6" t="s">
        <v>126</v>
      </c>
      <c r="C54" s="49"/>
      <c r="D54" s="49"/>
      <c r="E54" s="274"/>
    </row>
    <row r="55" spans="1:5" ht="12" customHeight="1">
      <c r="A55" s="213" t="s">
        <v>71</v>
      </c>
      <c r="B55" s="6" t="s">
        <v>41</v>
      </c>
      <c r="C55" s="49"/>
      <c r="D55" s="49"/>
      <c r="E55" s="274"/>
    </row>
    <row r="56" spans="1:5" ht="12" customHeight="1" thickBot="1">
      <c r="A56" s="213" t="s">
        <v>72</v>
      </c>
      <c r="B56" s="6" t="s">
        <v>407</v>
      </c>
      <c r="C56" s="49"/>
      <c r="D56" s="49"/>
      <c r="E56" s="274"/>
    </row>
    <row r="57" spans="1:5" ht="12" customHeight="1" thickBot="1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>
      <c r="A58" s="81" t="s">
        <v>9</v>
      </c>
      <c r="B58" s="93" t="s">
        <v>411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>
      <c r="C59" s="660">
        <f>C42-C58</f>
        <v>0</v>
      </c>
      <c r="D59" s="660">
        <f>D42-D58</f>
        <v>0</v>
      </c>
      <c r="E59" s="154"/>
    </row>
    <row r="60" spans="1:5" ht="15.2" customHeight="1" thickBot="1">
      <c r="A60" s="306" t="s">
        <v>482</v>
      </c>
      <c r="B60" s="307"/>
      <c r="C60" s="296"/>
      <c r="D60" s="296"/>
      <c r="E60" s="295"/>
    </row>
    <row r="61" spans="1:5" ht="14.45" customHeight="1" thickBot="1">
      <c r="A61" s="308" t="s">
        <v>483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7" sqref="H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CONCATENATE(Z_ALAPADATOK!M13," melléklet ",Z_ALAPADATOK!A7," ",Z_ALAPADATOK!B7," ",Z_ALAPADATOK!C7," ",Z_ALAPADATOK!D7," ",Z_ALAPADATOK!E7," ",Z_ALAPADATOK!F7," ",Z_ALAPADATOK!G7," ",Z_ALAPADATOK!H7)</f>
        <v>6.3.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CONCATENATE(Z_ALAPADATOK!B13)</f>
        <v>1 kvi név</v>
      </c>
      <c r="C2" s="857"/>
      <c r="D2" s="858"/>
      <c r="E2" s="330" t="s">
        <v>43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CONCATENATE(Z_6.2.3.sz.mell!E5)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3" sqref="H13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CONCATENATE(Z_ALAPADATOK!M13,"1. melléklet ",Z_ALAPADATOK!A7," ",Z_ALAPADATOK!B7," ",Z_ALAPADATOK!C7," ",Z_ALAPADATOK!D7," ",Z_ALAPADATOK!E7," ",Z_ALAPADATOK!F7," ",Z_ALAPADATOK!G7," ",Z_ALAPADATOK!H7)</f>
        <v>6.3.1.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CONCATENATE(Z_6.3.sz.mell!B2:D2)</f>
        <v>1 kvi név</v>
      </c>
      <c r="C2" s="857"/>
      <c r="D2" s="858"/>
      <c r="E2" s="330" t="s">
        <v>43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CONCATENATE(Z_ALAPADATOK!M13,"2. melléklet ",Z_ALAPADATOK!A7," ",Z_ALAPADATOK!B7," ",Z_ALAPADATOK!C7," ",Z_ALAPADATOK!D7," ",Z_ALAPADATOK!E7," ",Z_ALAPADATOK!F7," ",Z_ALAPADATOK!G7," ",Z_ALAPADATOK!H7)</f>
        <v>6.3.2.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CONCATENATE(Z_6.3.1.sz.mell!B2:D2)</f>
        <v>1 kvi név</v>
      </c>
      <c r="C2" s="857"/>
      <c r="D2" s="858"/>
      <c r="E2" s="330" t="s">
        <v>43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Z_6.3.1.sz.mell!E4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CONCATENATE(Z_ALAPADATOK!M13,"3. melléklet ",Z_ALAPADATOK!A7," ",Z_ALAPADATOK!B7," ",Z_ALAPADATOK!C7," ",Z_ALAPADATOK!D7," ",Z_ALAPADATOK!E7," ",Z_ALAPADATOK!F7," ",Z_ALAPADATOK!G7," ",Z_ALAPADATOK!H7)</f>
        <v>6.3.3.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CONCATENATE(Z_6.3.2.sz.mell!B2:D2)</f>
        <v>1 kvi név</v>
      </c>
      <c r="C2" s="857"/>
      <c r="D2" s="858"/>
      <c r="E2" s="330" t="s">
        <v>43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Z_6.3.2.sz.mell!E4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CONCATENATE(Z_6.3.2.sz.mell!E5)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CONCATENATE(Z_ALAPADATOK!M15," melléklet ",Z_ALAPADATOK!A7," ",Z_ALAPADATOK!B7," ",Z_ALAPADATOK!C7," ",Z_ALAPADATOK!D7," ",Z_ALAPADATOK!E7," ",Z_ALAPADATOK!F7," ",Z_ALAPADATOK!G7," ",Z_ALAPADATOK!H7)</f>
        <v>6.4.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CONCATENATE(Z_ALAPADATOK!B15)</f>
        <v>2 kvi név</v>
      </c>
      <c r="C2" s="857"/>
      <c r="D2" s="858"/>
      <c r="E2" s="330" t="s">
        <v>330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CONCATENATE(Z_6.3.3.sz.mell!E5)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CONCATENATE(Z_ALAPADATOK!M15,"1. melléklet ",Z_ALAPADATOK!A7," ",Z_ALAPADATOK!B7," ",Z_ALAPADATOK!C7," ",Z_ALAPADATOK!D7," ",Z_ALAPADATOK!E7," ",Z_ALAPADATOK!F7," ",Z_ALAPADATOK!G7," ",Z_ALAPADATOK!H7)</f>
        <v>6.4.1.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CONCATENATE(Z_6.4.sz.mell!B2:D2)</f>
        <v>2 kvi név</v>
      </c>
      <c r="C2" s="857"/>
      <c r="D2" s="858"/>
      <c r="E2" s="330" t="s">
        <v>330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Z_6.4.sz.mell!E4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CONCATENATE(Z_6.4.sz.mell!E5)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CONCATENATE(Z_ALAPADATOK!M15,"2. melléklet ",Z_ALAPADATOK!A7," ",Z_ALAPADATOK!B7," ",Z_ALAPADATOK!C7," ",Z_ALAPADATOK!D7," ",Z_ALAPADATOK!E7," ",Z_ALAPADATOK!F7," ",Z_ALAPADATOK!G7," ",Z_ALAPADATOK!H7)</f>
        <v>6.4.2.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CONCATENATE(Z_6.4.1.sz.mell!B2:D2)</f>
        <v>2 kvi név</v>
      </c>
      <c r="C2" s="857"/>
      <c r="D2" s="858"/>
      <c r="E2" s="330" t="s">
        <v>330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Z_6.4.1.sz.mell!E4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CONCATENATE(Z_6.4.1.sz.mell!E5)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CONCATENATE(Z_ALAPADATOK!M15,"3. melléklet ",Z_ALAPADATOK!A7," ",Z_ALAPADATOK!B7," ",Z_ALAPADATOK!C7," ",Z_ALAPADATOK!D7," ",Z_ALAPADATOK!E7," ",Z_ALAPADATOK!F7," ",Z_ALAPADATOK!G7," ",Z_ALAPADATOK!H7)</f>
        <v>6.4.3.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CONCATENATE(Z_6.4.2.sz.mell!B2:D2)</f>
        <v>2 kvi név</v>
      </c>
      <c r="C2" s="857"/>
      <c r="D2" s="858"/>
      <c r="E2" s="330" t="s">
        <v>330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Z_6.4.2.sz.mell!E4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CONCATENATE(Z_6.4.2.sz.mell!E5)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6"/>
  <sheetViews>
    <sheetView topLeftCell="A126" zoomScale="120" zoomScaleNormal="120" zoomScaleSheetLayoutView="100" workbookViewId="0">
      <selection activeCell="E41" sqref="E41:E51"/>
    </sheetView>
  </sheetViews>
  <sheetFormatPr defaultRowHeight="15.7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>
      <c r="A1" s="321"/>
      <c r="B1" s="778" t="str">
        <f>CONCATENATE("1.1. melléklet ",Z_ALAPADATOK!A7," ",Z_ALAPADATOK!B7," ",Z_ALAPADATOK!C7," ",Z_ALAPADATOK!D7," ",Z_ALAPADATOK!E7," ",Z_ALAPADATOK!F7," ",Z_ALAPADATOK!G7," ",Z_ALAPADATOK!H7)</f>
        <v>1.1. melléklet a … / 2021. ( … ) önkormányzati rendelethez</v>
      </c>
      <c r="C1" s="779"/>
      <c r="D1" s="779"/>
      <c r="E1" s="779"/>
    </row>
    <row r="2" spans="1:5">
      <c r="A2" s="780" t="str">
        <f>CONCATENATE(Z_ALAPADATOK!A3)</f>
        <v>Borsodivánka Község Önkormányzata</v>
      </c>
      <c r="B2" s="781"/>
      <c r="C2" s="781"/>
      <c r="D2" s="781"/>
      <c r="E2" s="781"/>
    </row>
    <row r="3" spans="1:5">
      <c r="A3" s="780" t="str">
        <f>CONCATENATE(Z_ALAPADATOK!B1,". évi ZÁRSZÁMADÁSÁNAK PÉNZÜGYI MÉRLEGE")</f>
        <v>2020. évi ZÁRSZÁMADÁSÁNAK PÉNZÜGYI MÉRLEGE</v>
      </c>
      <c r="B3" s="780"/>
      <c r="C3" s="782"/>
      <c r="D3" s="780"/>
      <c r="E3" s="780"/>
    </row>
    <row r="4" spans="1:5" ht="12" customHeight="1">
      <c r="A4" s="780"/>
      <c r="B4" s="780"/>
      <c r="C4" s="782"/>
      <c r="D4" s="780"/>
      <c r="E4" s="780"/>
    </row>
    <row r="5" spans="1:5">
      <c r="A5" s="321"/>
      <c r="B5" s="321"/>
      <c r="C5" s="322"/>
      <c r="D5" s="323"/>
      <c r="E5" s="323"/>
    </row>
    <row r="6" spans="1:5" ht="15.95" customHeight="1">
      <c r="A6" s="792" t="s">
        <v>3</v>
      </c>
      <c r="B6" s="792"/>
      <c r="C6" s="792"/>
      <c r="D6" s="792"/>
      <c r="E6" s="792"/>
    </row>
    <row r="7" spans="1:5" ht="15.95" customHeight="1" thickBot="1">
      <c r="A7" s="794" t="s">
        <v>100</v>
      </c>
      <c r="B7" s="794"/>
      <c r="C7" s="324"/>
      <c r="D7" s="323"/>
      <c r="E7" s="324" t="s">
        <v>484</v>
      </c>
    </row>
    <row r="8" spans="1:5">
      <c r="A8" s="784" t="s">
        <v>51</v>
      </c>
      <c r="B8" s="786" t="s">
        <v>5</v>
      </c>
      <c r="C8" s="788" t="str">
        <f>+CONCATENATE(LEFT(Z_ÖSSZEFÜGGÉSEK!A6,4),". évi")</f>
        <v>2020. évi</v>
      </c>
      <c r="D8" s="789"/>
      <c r="E8" s="790"/>
    </row>
    <row r="9" spans="1:5" ht="24.75" thickBot="1">
      <c r="A9" s="785"/>
      <c r="B9" s="787"/>
      <c r="C9" s="254" t="s">
        <v>415</v>
      </c>
      <c r="D9" s="253" t="s">
        <v>416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>
      <c r="A10" s="176" t="s">
        <v>382</v>
      </c>
      <c r="B10" s="177" t="s">
        <v>383</v>
      </c>
      <c r="C10" s="177" t="s">
        <v>384</v>
      </c>
      <c r="D10" s="177" t="s">
        <v>386</v>
      </c>
      <c r="E10" s="255" t="s">
        <v>385</v>
      </c>
    </row>
    <row r="11" spans="1:5" s="181" customFormat="1" ht="12" customHeight="1" thickBot="1">
      <c r="A11" s="18" t="s">
        <v>6</v>
      </c>
      <c r="B11" s="19" t="s">
        <v>161</v>
      </c>
      <c r="C11" s="169">
        <f>+C12+C13+C14+C15+C16+C17</f>
        <v>11589426</v>
      </c>
      <c r="D11" s="169">
        <f>+D12+D13+D14+D15+D16+D17</f>
        <v>18642576</v>
      </c>
      <c r="E11" s="105">
        <f>+E12+E13+E14+E15+E16+E17</f>
        <v>18642576</v>
      </c>
    </row>
    <row r="12" spans="1:5" s="181" customFormat="1" ht="12" customHeight="1">
      <c r="A12" s="13" t="s">
        <v>63</v>
      </c>
      <c r="B12" s="182" t="s">
        <v>162</v>
      </c>
      <c r="C12" s="171">
        <v>1883804</v>
      </c>
      <c r="D12" s="171">
        <v>1901292</v>
      </c>
      <c r="E12" s="107">
        <v>1901292</v>
      </c>
    </row>
    <row r="13" spans="1:5" s="181" customFormat="1" ht="12" customHeight="1">
      <c r="A13" s="12" t="s">
        <v>64</v>
      </c>
      <c r="B13" s="183" t="s">
        <v>163</v>
      </c>
      <c r="C13" s="170"/>
      <c r="D13" s="170"/>
      <c r="E13" s="106"/>
    </row>
    <row r="14" spans="1:5" s="181" customFormat="1" ht="12" customHeight="1">
      <c r="A14" s="12" t="s">
        <v>65</v>
      </c>
      <c r="B14" s="183" t="s">
        <v>164</v>
      </c>
      <c r="C14" s="170">
        <v>7905622</v>
      </c>
      <c r="D14" s="170">
        <v>14073614</v>
      </c>
      <c r="E14" s="106">
        <v>14073614</v>
      </c>
    </row>
    <row r="15" spans="1:5" s="181" customFormat="1" ht="12" customHeight="1">
      <c r="A15" s="12" t="s">
        <v>66</v>
      </c>
      <c r="B15" s="183" t="s">
        <v>165</v>
      </c>
      <c r="C15" s="170">
        <v>1800000</v>
      </c>
      <c r="D15" s="170">
        <v>2089820</v>
      </c>
      <c r="E15" s="106">
        <v>2089820</v>
      </c>
    </row>
    <row r="16" spans="1:5" s="181" customFormat="1" ht="12" customHeight="1">
      <c r="A16" s="12" t="s">
        <v>97</v>
      </c>
      <c r="B16" s="113" t="s">
        <v>331</v>
      </c>
      <c r="C16" s="170"/>
      <c r="D16" s="170">
        <v>577850</v>
      </c>
      <c r="E16" s="106">
        <v>577850</v>
      </c>
    </row>
    <row r="17" spans="1:5" s="181" customFormat="1" ht="12" customHeight="1" thickBot="1">
      <c r="A17" s="14" t="s">
        <v>67</v>
      </c>
      <c r="B17" s="114" t="s">
        <v>332</v>
      </c>
      <c r="C17" s="170"/>
      <c r="D17" s="170"/>
      <c r="E17" s="106"/>
    </row>
    <row r="18" spans="1:5" s="181" customFormat="1" ht="12" customHeight="1" thickBot="1">
      <c r="A18" s="18" t="s">
        <v>7</v>
      </c>
      <c r="B18" s="112" t="s">
        <v>166</v>
      </c>
      <c r="C18" s="169">
        <f>+C19+C20+C21+C22+C23</f>
        <v>13592850</v>
      </c>
      <c r="D18" s="169">
        <f>+D19+D20+D21+D22+D23</f>
        <v>20641962</v>
      </c>
      <c r="E18" s="105">
        <f>+E19+E20+E21+E22+E23</f>
        <v>31211511</v>
      </c>
    </row>
    <row r="19" spans="1:5" s="181" customFormat="1" ht="12" customHeight="1">
      <c r="A19" s="13" t="s">
        <v>69</v>
      </c>
      <c r="B19" s="182" t="s">
        <v>167</v>
      </c>
      <c r="C19" s="171"/>
      <c r="D19" s="171"/>
      <c r="E19" s="107"/>
    </row>
    <row r="20" spans="1:5" s="181" customFormat="1" ht="12" customHeight="1">
      <c r="A20" s="12" t="s">
        <v>70</v>
      </c>
      <c r="B20" s="183" t="s">
        <v>168</v>
      </c>
      <c r="C20" s="170"/>
      <c r="D20" s="170"/>
      <c r="E20" s="106"/>
    </row>
    <row r="21" spans="1:5" s="181" customFormat="1" ht="12" customHeight="1">
      <c r="A21" s="12" t="s">
        <v>71</v>
      </c>
      <c r="B21" s="183" t="s">
        <v>323</v>
      </c>
      <c r="C21" s="170"/>
      <c r="D21" s="170"/>
      <c r="E21" s="106"/>
    </row>
    <row r="22" spans="1:5" s="181" customFormat="1" ht="12" customHeight="1">
      <c r="A22" s="12" t="s">
        <v>72</v>
      </c>
      <c r="B22" s="183" t="s">
        <v>324</v>
      </c>
      <c r="C22" s="170"/>
      <c r="D22" s="170"/>
      <c r="E22" s="106"/>
    </row>
    <row r="23" spans="1:5" s="181" customFormat="1" ht="12" customHeight="1">
      <c r="A23" s="12" t="s">
        <v>73</v>
      </c>
      <c r="B23" s="183" t="s">
        <v>169</v>
      </c>
      <c r="C23" s="170">
        <v>13592850</v>
      </c>
      <c r="D23" s="170">
        <v>20641962</v>
      </c>
      <c r="E23" s="106">
        <v>31211511</v>
      </c>
    </row>
    <row r="24" spans="1:5" s="181" customFormat="1" ht="12" customHeight="1" thickBot="1">
      <c r="A24" s="14" t="s">
        <v>80</v>
      </c>
      <c r="B24" s="114" t="s">
        <v>170</v>
      </c>
      <c r="C24" s="172"/>
      <c r="D24" s="172"/>
      <c r="E24" s="108"/>
    </row>
    <row r="25" spans="1:5" s="181" customFormat="1" ht="12" customHeight="1" thickBot="1">
      <c r="A25" s="18" t="s">
        <v>8</v>
      </c>
      <c r="B25" s="19" t="s">
        <v>171</v>
      </c>
      <c r="C25" s="169">
        <f>+C26+C27+C28+C29+C30</f>
        <v>0</v>
      </c>
      <c r="D25" s="169">
        <f>+D26+D27+D28+D29+D30</f>
        <v>1602874</v>
      </c>
      <c r="E25" s="105">
        <f>+E26+E27+E28+E29+E30</f>
        <v>7907940</v>
      </c>
    </row>
    <row r="26" spans="1:5" s="181" customFormat="1" ht="12" customHeight="1">
      <c r="A26" s="13" t="s">
        <v>52</v>
      </c>
      <c r="B26" s="182" t="s">
        <v>172</v>
      </c>
      <c r="C26" s="171"/>
      <c r="D26" s="171"/>
      <c r="E26" s="107"/>
    </row>
    <row r="27" spans="1:5" s="181" customFormat="1" ht="12" customHeight="1">
      <c r="A27" s="12" t="s">
        <v>53</v>
      </c>
      <c r="B27" s="183" t="s">
        <v>173</v>
      </c>
      <c r="C27" s="170"/>
      <c r="D27" s="170"/>
      <c r="E27" s="106"/>
    </row>
    <row r="28" spans="1:5" s="181" customFormat="1" ht="12" customHeight="1">
      <c r="A28" s="12" t="s">
        <v>54</v>
      </c>
      <c r="B28" s="183" t="s">
        <v>325</v>
      </c>
      <c r="C28" s="170"/>
      <c r="D28" s="170"/>
      <c r="E28" s="106"/>
    </row>
    <row r="29" spans="1:5" s="181" customFormat="1" ht="12" customHeight="1">
      <c r="A29" s="12" t="s">
        <v>55</v>
      </c>
      <c r="B29" s="183" t="s">
        <v>326</v>
      </c>
      <c r="C29" s="170"/>
      <c r="D29" s="170"/>
      <c r="E29" s="106"/>
    </row>
    <row r="30" spans="1:5" s="181" customFormat="1" ht="12" customHeight="1">
      <c r="A30" s="12" t="s">
        <v>110</v>
      </c>
      <c r="B30" s="183" t="s">
        <v>174</v>
      </c>
      <c r="C30" s="170"/>
      <c r="D30" s="170">
        <v>1602874</v>
      </c>
      <c r="E30" s="106">
        <v>7907940</v>
      </c>
    </row>
    <row r="31" spans="1:5" s="181" customFormat="1" ht="12" customHeight="1" thickBot="1">
      <c r="A31" s="14" t="s">
        <v>111</v>
      </c>
      <c r="B31" s="184" t="s">
        <v>175</v>
      </c>
      <c r="C31" s="172"/>
      <c r="D31" s="172"/>
      <c r="E31" s="108"/>
    </row>
    <row r="32" spans="1:5" s="181" customFormat="1" ht="12" customHeight="1" thickBot="1">
      <c r="A32" s="18" t="s">
        <v>112</v>
      </c>
      <c r="B32" s="19" t="s">
        <v>473</v>
      </c>
      <c r="C32" s="175">
        <f>SUM(C33:C39)</f>
        <v>37017000</v>
      </c>
      <c r="D32" s="175">
        <f>SUM(D33:D39)</f>
        <v>35981813</v>
      </c>
      <c r="E32" s="211">
        <f>SUM(E33:E39)</f>
        <v>33235878</v>
      </c>
    </row>
    <row r="33" spans="1:5" s="181" customFormat="1" ht="12" customHeight="1">
      <c r="A33" s="13" t="s">
        <v>176</v>
      </c>
      <c r="B33" s="756" t="s">
        <v>474</v>
      </c>
      <c r="C33" s="171"/>
      <c r="D33" s="171"/>
      <c r="E33" s="107"/>
    </row>
    <row r="34" spans="1:5" s="181" customFormat="1" ht="12" customHeight="1">
      <c r="A34" s="12" t="s">
        <v>177</v>
      </c>
      <c r="B34" s="757" t="s">
        <v>868</v>
      </c>
      <c r="C34" s="170"/>
      <c r="D34" s="170"/>
      <c r="E34" s="106"/>
    </row>
    <row r="35" spans="1:5" s="181" customFormat="1" ht="12" customHeight="1">
      <c r="A35" s="12" t="s">
        <v>178</v>
      </c>
      <c r="B35" s="757" t="s">
        <v>475</v>
      </c>
      <c r="C35" s="170">
        <v>34000000</v>
      </c>
      <c r="D35" s="170">
        <v>34000000</v>
      </c>
      <c r="E35" s="106">
        <v>33107383</v>
      </c>
    </row>
    <row r="36" spans="1:5" s="181" customFormat="1" ht="12" customHeight="1">
      <c r="A36" s="12" t="s">
        <v>179</v>
      </c>
      <c r="B36" s="757" t="s">
        <v>476</v>
      </c>
      <c r="C36" s="170"/>
      <c r="D36" s="170"/>
      <c r="E36" s="106"/>
    </row>
    <row r="37" spans="1:5" s="181" customFormat="1" ht="12" customHeight="1">
      <c r="A37" s="12" t="s">
        <v>477</v>
      </c>
      <c r="B37" s="757" t="s">
        <v>180</v>
      </c>
      <c r="C37" s="170">
        <v>1500000</v>
      </c>
      <c r="D37" s="170">
        <v>877072</v>
      </c>
      <c r="E37" s="106"/>
    </row>
    <row r="38" spans="1:5" s="181" customFormat="1" ht="12" customHeight="1">
      <c r="A38" s="12" t="s">
        <v>478</v>
      </c>
      <c r="B38" s="757" t="s">
        <v>879</v>
      </c>
      <c r="C38" s="170">
        <v>1517000</v>
      </c>
      <c r="D38" s="170">
        <v>1104741</v>
      </c>
      <c r="E38" s="106">
        <v>128495</v>
      </c>
    </row>
    <row r="39" spans="1:5" s="181" customFormat="1" ht="12" customHeight="1" thickBot="1">
      <c r="A39" s="14" t="s">
        <v>479</v>
      </c>
      <c r="B39" s="758" t="s">
        <v>855</v>
      </c>
      <c r="C39" s="172"/>
      <c r="D39" s="172"/>
      <c r="E39" s="108"/>
    </row>
    <row r="40" spans="1:5" s="181" customFormat="1" ht="12" customHeight="1" thickBot="1">
      <c r="A40" s="18" t="s">
        <v>10</v>
      </c>
      <c r="B40" s="19" t="s">
        <v>333</v>
      </c>
      <c r="C40" s="169">
        <f>SUM(C41:C51)</f>
        <v>20319713</v>
      </c>
      <c r="D40" s="169">
        <f>SUM(D41:D51)</f>
        <v>24629143</v>
      </c>
      <c r="E40" s="105">
        <f>SUM(E41:E51)</f>
        <v>25630333</v>
      </c>
    </row>
    <row r="41" spans="1:5" s="181" customFormat="1" ht="12" customHeight="1">
      <c r="A41" s="13" t="s">
        <v>56</v>
      </c>
      <c r="B41" s="182" t="s">
        <v>183</v>
      </c>
      <c r="C41" s="171"/>
      <c r="D41" s="171"/>
      <c r="E41" s="107">
        <v>42836</v>
      </c>
    </row>
    <row r="42" spans="1:5" s="181" customFormat="1" ht="12" customHeight="1">
      <c r="A42" s="12" t="s">
        <v>57</v>
      </c>
      <c r="B42" s="183" t="s">
        <v>184</v>
      </c>
      <c r="C42" s="170">
        <v>8080000</v>
      </c>
      <c r="D42" s="170">
        <v>8939715</v>
      </c>
      <c r="E42" s="106">
        <v>9137330</v>
      </c>
    </row>
    <row r="43" spans="1:5" s="181" customFormat="1" ht="12" customHeight="1">
      <c r="A43" s="12" t="s">
        <v>58</v>
      </c>
      <c r="B43" s="183" t="s">
        <v>185</v>
      </c>
      <c r="C43" s="170">
        <v>706573</v>
      </c>
      <c r="D43" s="170">
        <v>706573</v>
      </c>
      <c r="E43" s="106">
        <v>1776147</v>
      </c>
    </row>
    <row r="44" spans="1:5" s="181" customFormat="1" ht="12" customHeight="1">
      <c r="A44" s="12" t="s">
        <v>114</v>
      </c>
      <c r="B44" s="183" t="s">
        <v>186</v>
      </c>
      <c r="C44" s="170"/>
      <c r="D44" s="170"/>
      <c r="E44" s="106"/>
    </row>
    <row r="45" spans="1:5" s="181" customFormat="1" ht="12" customHeight="1">
      <c r="A45" s="12" t="s">
        <v>115</v>
      </c>
      <c r="B45" s="183" t="s">
        <v>187</v>
      </c>
      <c r="C45" s="170">
        <v>8352000</v>
      </c>
      <c r="D45" s="170">
        <v>10296715</v>
      </c>
      <c r="E45" s="106">
        <v>10341495</v>
      </c>
    </row>
    <row r="46" spans="1:5" s="181" customFormat="1" ht="12" customHeight="1">
      <c r="A46" s="12" t="s">
        <v>116</v>
      </c>
      <c r="B46" s="183" t="s">
        <v>188</v>
      </c>
      <c r="C46" s="170">
        <v>3181140</v>
      </c>
      <c r="D46" s="170">
        <v>4381140</v>
      </c>
      <c r="E46" s="106">
        <v>3953302</v>
      </c>
    </row>
    <row r="47" spans="1:5" s="181" customFormat="1" ht="12" customHeight="1">
      <c r="A47" s="12" t="s">
        <v>117</v>
      </c>
      <c r="B47" s="183" t="s">
        <v>189</v>
      </c>
      <c r="C47" s="170"/>
      <c r="D47" s="170">
        <v>305000</v>
      </c>
      <c r="E47" s="106"/>
    </row>
    <row r="48" spans="1:5" s="181" customFormat="1" ht="12" customHeight="1">
      <c r="A48" s="12" t="s">
        <v>118</v>
      </c>
      <c r="B48" s="183" t="s">
        <v>480</v>
      </c>
      <c r="C48" s="170"/>
      <c r="D48" s="170"/>
      <c r="E48" s="106"/>
    </row>
    <row r="49" spans="1:5" s="181" customFormat="1" ht="12" customHeight="1">
      <c r="A49" s="12" t="s">
        <v>181</v>
      </c>
      <c r="B49" s="183" t="s">
        <v>191</v>
      </c>
      <c r="C49" s="173"/>
      <c r="D49" s="173"/>
      <c r="E49" s="109">
        <v>136</v>
      </c>
    </row>
    <row r="50" spans="1:5" s="181" customFormat="1" ht="12" customHeight="1">
      <c r="A50" s="14" t="s">
        <v>182</v>
      </c>
      <c r="B50" s="184" t="s">
        <v>335</v>
      </c>
      <c r="C50" s="174"/>
      <c r="D50" s="174"/>
      <c r="E50" s="110"/>
    </row>
    <row r="51" spans="1:5" s="181" customFormat="1" ht="12" customHeight="1" thickBot="1">
      <c r="A51" s="14" t="s">
        <v>334</v>
      </c>
      <c r="B51" s="114" t="s">
        <v>192</v>
      </c>
      <c r="C51" s="174"/>
      <c r="D51" s="174"/>
      <c r="E51" s="110">
        <v>379087</v>
      </c>
    </row>
    <row r="52" spans="1:5" s="181" customFormat="1" ht="12" customHeight="1" thickBot="1">
      <c r="A52" s="18" t="s">
        <v>11</v>
      </c>
      <c r="B52" s="19" t="s">
        <v>193</v>
      </c>
      <c r="C52" s="169">
        <f>SUM(C53:C57)</f>
        <v>0</v>
      </c>
      <c r="D52" s="169">
        <f>SUM(D53:D57)</f>
        <v>0</v>
      </c>
      <c r="E52" s="105">
        <f>SUM(E53:E57)</f>
        <v>4000000</v>
      </c>
    </row>
    <row r="53" spans="1:5" s="181" customFormat="1" ht="12" customHeight="1">
      <c r="A53" s="13" t="s">
        <v>59</v>
      </c>
      <c r="B53" s="182" t="s">
        <v>197</v>
      </c>
      <c r="C53" s="222"/>
      <c r="D53" s="222"/>
      <c r="E53" s="111"/>
    </row>
    <row r="54" spans="1:5" s="181" customFormat="1" ht="12" customHeight="1">
      <c r="A54" s="12" t="s">
        <v>60</v>
      </c>
      <c r="B54" s="183" t="s">
        <v>198</v>
      </c>
      <c r="C54" s="173"/>
      <c r="D54" s="173"/>
      <c r="E54" s="109">
        <v>4000000</v>
      </c>
    </row>
    <row r="55" spans="1:5" s="181" customFormat="1" ht="12" customHeight="1">
      <c r="A55" s="12" t="s">
        <v>194</v>
      </c>
      <c r="B55" s="183" t="s">
        <v>199</v>
      </c>
      <c r="C55" s="173"/>
      <c r="D55" s="173"/>
      <c r="E55" s="109"/>
    </row>
    <row r="56" spans="1:5" s="181" customFormat="1" ht="12" customHeight="1">
      <c r="A56" s="12" t="s">
        <v>195</v>
      </c>
      <c r="B56" s="183" t="s">
        <v>200</v>
      </c>
      <c r="C56" s="173"/>
      <c r="D56" s="173"/>
      <c r="E56" s="109"/>
    </row>
    <row r="57" spans="1:5" s="181" customFormat="1" ht="12" customHeight="1" thickBot="1">
      <c r="A57" s="14" t="s">
        <v>196</v>
      </c>
      <c r="B57" s="114" t="s">
        <v>201</v>
      </c>
      <c r="C57" s="174"/>
      <c r="D57" s="174"/>
      <c r="E57" s="110"/>
    </row>
    <row r="58" spans="1:5" s="181" customFormat="1" ht="12" customHeight="1" thickBot="1">
      <c r="A58" s="18" t="s">
        <v>119</v>
      </c>
      <c r="B58" s="19" t="s">
        <v>202</v>
      </c>
      <c r="C58" s="169">
        <f>SUM(C59:C61)</f>
        <v>0</v>
      </c>
      <c r="D58" s="169">
        <f>SUM(D59:D61)</f>
        <v>0</v>
      </c>
      <c r="E58" s="105">
        <f>SUM(E59:E61)</f>
        <v>100000</v>
      </c>
    </row>
    <row r="59" spans="1:5" s="181" customFormat="1" ht="12" customHeight="1">
      <c r="A59" s="13" t="s">
        <v>61</v>
      </c>
      <c r="B59" s="182" t="s">
        <v>203</v>
      </c>
      <c r="C59" s="171"/>
      <c r="D59" s="171"/>
      <c r="E59" s="107"/>
    </row>
    <row r="60" spans="1:5" s="181" customFormat="1" ht="12" customHeight="1">
      <c r="A60" s="12" t="s">
        <v>62</v>
      </c>
      <c r="B60" s="183" t="s">
        <v>327</v>
      </c>
      <c r="C60" s="170"/>
      <c r="D60" s="170"/>
      <c r="E60" s="106"/>
    </row>
    <row r="61" spans="1:5" s="181" customFormat="1" ht="12" customHeight="1">
      <c r="A61" s="12" t="s">
        <v>206</v>
      </c>
      <c r="B61" s="183" t="s">
        <v>204</v>
      </c>
      <c r="C61" s="170"/>
      <c r="D61" s="170"/>
      <c r="E61" s="106">
        <v>100000</v>
      </c>
    </row>
    <row r="62" spans="1:5" s="181" customFormat="1" ht="12" customHeight="1" thickBot="1">
      <c r="A62" s="14" t="s">
        <v>207</v>
      </c>
      <c r="B62" s="114" t="s">
        <v>205</v>
      </c>
      <c r="C62" s="172"/>
      <c r="D62" s="172"/>
      <c r="E62" s="108"/>
    </row>
    <row r="63" spans="1:5" s="181" customFormat="1" ht="12" customHeight="1" thickBot="1">
      <c r="A63" s="18" t="s">
        <v>13</v>
      </c>
      <c r="B63" s="112" t="s">
        <v>208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>
      <c r="A64" s="13" t="s">
        <v>120</v>
      </c>
      <c r="B64" s="182" t="s">
        <v>210</v>
      </c>
      <c r="C64" s="173"/>
      <c r="D64" s="173"/>
      <c r="E64" s="109"/>
    </row>
    <row r="65" spans="1:5" s="181" customFormat="1" ht="12" customHeight="1">
      <c r="A65" s="12" t="s">
        <v>121</v>
      </c>
      <c r="B65" s="183" t="s">
        <v>328</v>
      </c>
      <c r="C65" s="173"/>
      <c r="D65" s="173"/>
      <c r="E65" s="109"/>
    </row>
    <row r="66" spans="1:5" s="181" customFormat="1" ht="12" customHeight="1">
      <c r="A66" s="12" t="s">
        <v>143</v>
      </c>
      <c r="B66" s="183" t="s">
        <v>211</v>
      </c>
      <c r="C66" s="173"/>
      <c r="D66" s="173"/>
      <c r="E66" s="109"/>
    </row>
    <row r="67" spans="1:5" s="181" customFormat="1" ht="12" customHeight="1" thickBot="1">
      <c r="A67" s="14" t="s">
        <v>209</v>
      </c>
      <c r="B67" s="114" t="s">
        <v>212</v>
      </c>
      <c r="C67" s="173"/>
      <c r="D67" s="173"/>
      <c r="E67" s="109"/>
    </row>
    <row r="68" spans="1:5" s="181" customFormat="1" ht="12" customHeight="1" thickBot="1">
      <c r="A68" s="237" t="s">
        <v>375</v>
      </c>
      <c r="B68" s="19" t="s">
        <v>213</v>
      </c>
      <c r="C68" s="175">
        <f>+C11+C18+C25+C32+C40+C52+C58+C63</f>
        <v>82518989</v>
      </c>
      <c r="D68" s="175">
        <f>+D11+D18+D25+D32+D40+D52+D58+D63</f>
        <v>101498368</v>
      </c>
      <c r="E68" s="211">
        <f>+E11+E18+E25+E32+E40+E52+E58+E63</f>
        <v>120728238</v>
      </c>
    </row>
    <row r="69" spans="1:5" s="181" customFormat="1" ht="12" customHeight="1" thickBot="1">
      <c r="A69" s="223" t="s">
        <v>214</v>
      </c>
      <c r="B69" s="112" t="s">
        <v>215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>
      <c r="A70" s="13" t="s">
        <v>243</v>
      </c>
      <c r="B70" s="182" t="s">
        <v>216</v>
      </c>
      <c r="C70" s="173"/>
      <c r="D70" s="173"/>
      <c r="E70" s="109"/>
    </row>
    <row r="71" spans="1:5" s="181" customFormat="1" ht="12" customHeight="1">
      <c r="A71" s="12" t="s">
        <v>252</v>
      </c>
      <c r="B71" s="183" t="s">
        <v>217</v>
      </c>
      <c r="C71" s="173"/>
      <c r="D71" s="173"/>
      <c r="E71" s="109"/>
    </row>
    <row r="72" spans="1:5" s="181" customFormat="1" ht="12" customHeight="1" thickBot="1">
      <c r="A72" s="14" t="s">
        <v>253</v>
      </c>
      <c r="B72" s="233" t="s">
        <v>360</v>
      </c>
      <c r="C72" s="173"/>
      <c r="D72" s="173"/>
      <c r="E72" s="109"/>
    </row>
    <row r="73" spans="1:5" s="181" customFormat="1" ht="12" customHeight="1" thickBot="1">
      <c r="A73" s="223" t="s">
        <v>219</v>
      </c>
      <c r="B73" s="112" t="s">
        <v>220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>
      <c r="A74" s="13" t="s">
        <v>98</v>
      </c>
      <c r="B74" s="312" t="s">
        <v>221</v>
      </c>
      <c r="C74" s="173"/>
      <c r="D74" s="173"/>
      <c r="E74" s="109"/>
    </row>
    <row r="75" spans="1:5" s="181" customFormat="1" ht="12" customHeight="1">
      <c r="A75" s="12" t="s">
        <v>99</v>
      </c>
      <c r="B75" s="312" t="s">
        <v>487</v>
      </c>
      <c r="C75" s="173"/>
      <c r="D75" s="173"/>
      <c r="E75" s="109"/>
    </row>
    <row r="76" spans="1:5" s="181" customFormat="1" ht="12" customHeight="1">
      <c r="A76" s="12" t="s">
        <v>244</v>
      </c>
      <c r="B76" s="312" t="s">
        <v>222</v>
      </c>
      <c r="C76" s="173"/>
      <c r="D76" s="173"/>
      <c r="E76" s="109"/>
    </row>
    <row r="77" spans="1:5" s="181" customFormat="1" ht="12" customHeight="1" thickBot="1">
      <c r="A77" s="14" t="s">
        <v>245</v>
      </c>
      <c r="B77" s="313" t="s">
        <v>488</v>
      </c>
      <c r="C77" s="173"/>
      <c r="D77" s="173"/>
      <c r="E77" s="109"/>
    </row>
    <row r="78" spans="1:5" s="181" customFormat="1" ht="12" customHeight="1" thickBot="1">
      <c r="A78" s="223" t="s">
        <v>223</v>
      </c>
      <c r="B78" s="112" t="s">
        <v>224</v>
      </c>
      <c r="C78" s="169">
        <f>SUM(C79:C80)</f>
        <v>113599319</v>
      </c>
      <c r="D78" s="169">
        <f>SUM(D79:D80)</f>
        <v>113599319</v>
      </c>
      <c r="E78" s="105">
        <f>SUM(E79:E80)</f>
        <v>109303836</v>
      </c>
    </row>
    <row r="79" spans="1:5" s="181" customFormat="1" ht="12" customHeight="1">
      <c r="A79" s="13" t="s">
        <v>246</v>
      </c>
      <c r="B79" s="182" t="s">
        <v>225</v>
      </c>
      <c r="C79" s="173">
        <v>113599319</v>
      </c>
      <c r="D79" s="173">
        <v>113599319</v>
      </c>
      <c r="E79" s="109">
        <v>109303836</v>
      </c>
    </row>
    <row r="80" spans="1:5" s="181" customFormat="1" ht="12" customHeight="1" thickBot="1">
      <c r="A80" s="14" t="s">
        <v>247</v>
      </c>
      <c r="B80" s="114" t="s">
        <v>226</v>
      </c>
      <c r="C80" s="173"/>
      <c r="D80" s="173"/>
      <c r="E80" s="109"/>
    </row>
    <row r="81" spans="1:5" s="181" customFormat="1" ht="12" customHeight="1" thickBot="1">
      <c r="A81" s="223" t="s">
        <v>227</v>
      </c>
      <c r="B81" s="112" t="s">
        <v>228</v>
      </c>
      <c r="C81" s="169">
        <f>SUM(C82:C84)</f>
        <v>0</v>
      </c>
      <c r="D81" s="169">
        <f>SUM(D82:D84)</f>
        <v>1309301</v>
      </c>
      <c r="E81" s="105">
        <f>SUM(E82:E84)</f>
        <v>2400550</v>
      </c>
    </row>
    <row r="82" spans="1:5" s="181" customFormat="1" ht="12" customHeight="1">
      <c r="A82" s="13" t="s">
        <v>248</v>
      </c>
      <c r="B82" s="182" t="s">
        <v>229</v>
      </c>
      <c r="C82" s="173"/>
      <c r="D82" s="173">
        <v>1309301</v>
      </c>
      <c r="E82" s="109">
        <v>2400550</v>
      </c>
    </row>
    <row r="83" spans="1:5" s="181" customFormat="1" ht="12" customHeight="1">
      <c r="A83" s="12" t="s">
        <v>249</v>
      </c>
      <c r="B83" s="183" t="s">
        <v>230</v>
      </c>
      <c r="C83" s="173"/>
      <c r="D83" s="173"/>
      <c r="E83" s="109"/>
    </row>
    <row r="84" spans="1:5" s="181" customFormat="1" ht="12" customHeight="1" thickBot="1">
      <c r="A84" s="14" t="s">
        <v>250</v>
      </c>
      <c r="B84" s="114" t="s">
        <v>489</v>
      </c>
      <c r="C84" s="173"/>
      <c r="D84" s="173"/>
      <c r="E84" s="109"/>
    </row>
    <row r="85" spans="1:5" s="181" customFormat="1" ht="12" customHeight="1" thickBot="1">
      <c r="A85" s="223" t="s">
        <v>231</v>
      </c>
      <c r="B85" s="112" t="s">
        <v>251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>
      <c r="A86" s="186" t="s">
        <v>232</v>
      </c>
      <c r="B86" s="182" t="s">
        <v>233</v>
      </c>
      <c r="C86" s="173"/>
      <c r="D86" s="173"/>
      <c r="E86" s="109"/>
    </row>
    <row r="87" spans="1:5" s="181" customFormat="1" ht="12" customHeight="1">
      <c r="A87" s="187" t="s">
        <v>234</v>
      </c>
      <c r="B87" s="183" t="s">
        <v>235</v>
      </c>
      <c r="C87" s="173"/>
      <c r="D87" s="173"/>
      <c r="E87" s="109"/>
    </row>
    <row r="88" spans="1:5" s="181" customFormat="1" ht="12" customHeight="1">
      <c r="A88" s="187" t="s">
        <v>236</v>
      </c>
      <c r="B88" s="183" t="s">
        <v>237</v>
      </c>
      <c r="C88" s="173"/>
      <c r="D88" s="173"/>
      <c r="E88" s="109"/>
    </row>
    <row r="89" spans="1:5" s="181" customFormat="1" ht="12" customHeight="1" thickBot="1">
      <c r="A89" s="188" t="s">
        <v>238</v>
      </c>
      <c r="B89" s="114" t="s">
        <v>239</v>
      </c>
      <c r="C89" s="173"/>
      <c r="D89" s="173"/>
      <c r="E89" s="109"/>
    </row>
    <row r="90" spans="1:5" s="181" customFormat="1" ht="12" customHeight="1" thickBot="1">
      <c r="A90" s="223" t="s">
        <v>240</v>
      </c>
      <c r="B90" s="112" t="s">
        <v>374</v>
      </c>
      <c r="C90" s="225"/>
      <c r="D90" s="225"/>
      <c r="E90" s="226"/>
    </row>
    <row r="91" spans="1:5" s="181" customFormat="1" ht="13.5" customHeight="1" thickBot="1">
      <c r="A91" s="223" t="s">
        <v>242</v>
      </c>
      <c r="B91" s="112" t="s">
        <v>241</v>
      </c>
      <c r="C91" s="225"/>
      <c r="D91" s="225"/>
      <c r="E91" s="226"/>
    </row>
    <row r="92" spans="1:5" s="181" customFormat="1" ht="15.75" customHeight="1" thickBot="1">
      <c r="A92" s="223" t="s">
        <v>254</v>
      </c>
      <c r="B92" s="189" t="s">
        <v>377</v>
      </c>
      <c r="C92" s="175">
        <f>+C69+C73+C78+C81+C85+C91+C90</f>
        <v>113599319</v>
      </c>
      <c r="D92" s="175">
        <f>+D69+D73+D78+D81+D85+D91+D90</f>
        <v>114908620</v>
      </c>
      <c r="E92" s="211">
        <f>+E69+E73+E78+E81+E85+E91+E90</f>
        <v>111704386</v>
      </c>
    </row>
    <row r="93" spans="1:5" s="181" customFormat="1" ht="25.5" customHeight="1" thickBot="1">
      <c r="A93" s="224" t="s">
        <v>376</v>
      </c>
      <c r="B93" s="190" t="s">
        <v>378</v>
      </c>
      <c r="C93" s="175">
        <f>+C68+C92</f>
        <v>196118308</v>
      </c>
      <c r="D93" s="175">
        <f>+D68+D92</f>
        <v>216406988</v>
      </c>
      <c r="E93" s="211">
        <f>+E68+E92</f>
        <v>232432624</v>
      </c>
    </row>
    <row r="94" spans="1:5" s="181" customFormat="1" ht="15.2" customHeight="1">
      <c r="A94" s="3"/>
      <c r="B94" s="4"/>
      <c r="C94" s="116"/>
    </row>
    <row r="95" spans="1:5" ht="16.5" customHeight="1">
      <c r="A95" s="793" t="s">
        <v>34</v>
      </c>
      <c r="B95" s="793"/>
      <c r="C95" s="793"/>
      <c r="D95" s="793"/>
      <c r="E95" s="793"/>
    </row>
    <row r="96" spans="1:5" s="191" customFormat="1" ht="16.5" customHeight="1" thickBot="1">
      <c r="A96" s="795" t="s">
        <v>101</v>
      </c>
      <c r="B96" s="795"/>
      <c r="C96" s="63"/>
      <c r="E96" s="63" t="str">
        <f>E7</f>
        <v xml:space="preserve"> Forintban!</v>
      </c>
    </row>
    <row r="97" spans="1:5">
      <c r="A97" s="784" t="s">
        <v>51</v>
      </c>
      <c r="B97" s="786" t="s">
        <v>417</v>
      </c>
      <c r="C97" s="788" t="str">
        <f>+CONCATENATE(LEFT(Z_ÖSSZEFÜGGÉSEK!A6,4),". évi")</f>
        <v>2020. évi</v>
      </c>
      <c r="D97" s="789"/>
      <c r="E97" s="790"/>
    </row>
    <row r="98" spans="1:5" ht="24.75" thickBot="1">
      <c r="A98" s="785"/>
      <c r="B98" s="787"/>
      <c r="C98" s="254" t="s">
        <v>415</v>
      </c>
      <c r="D98" s="253" t="s">
        <v>416</v>
      </c>
      <c r="E98" s="314" t="str">
        <f>CONCATENATE(E9)</f>
        <v>2020. XII. 31.
teljesítés</v>
      </c>
    </row>
    <row r="99" spans="1:5" s="180" customFormat="1" ht="12" customHeight="1" thickBot="1">
      <c r="A99" s="25" t="s">
        <v>382</v>
      </c>
      <c r="B99" s="26" t="s">
        <v>383</v>
      </c>
      <c r="C99" s="26" t="s">
        <v>384</v>
      </c>
      <c r="D99" s="26" t="s">
        <v>386</v>
      </c>
      <c r="E99" s="265" t="s">
        <v>385</v>
      </c>
    </row>
    <row r="100" spans="1:5" ht="12" customHeight="1" thickBot="1">
      <c r="A100" s="20" t="s">
        <v>6</v>
      </c>
      <c r="B100" s="24" t="s">
        <v>336</v>
      </c>
      <c r="C100" s="168">
        <f>C101+C102+C103+C104+C105+C118</f>
        <v>102747481</v>
      </c>
      <c r="D100" s="168">
        <f>D101+D102+D103+D104+D105+D118</f>
        <v>115482903</v>
      </c>
      <c r="E100" s="240">
        <f>E101+E102+E103+E104+E105+E118</f>
        <v>94990592</v>
      </c>
    </row>
    <row r="101" spans="1:5" ht="12" customHeight="1">
      <c r="A101" s="15" t="s">
        <v>63</v>
      </c>
      <c r="B101" s="8" t="s">
        <v>35</v>
      </c>
      <c r="C101" s="247">
        <v>38799930</v>
      </c>
      <c r="D101" s="247">
        <v>38750937</v>
      </c>
      <c r="E101" s="241">
        <v>35281151</v>
      </c>
    </row>
    <row r="102" spans="1:5" ht="12" customHeight="1">
      <c r="A102" s="12" t="s">
        <v>64</v>
      </c>
      <c r="B102" s="6" t="s">
        <v>122</v>
      </c>
      <c r="C102" s="170">
        <v>6439612</v>
      </c>
      <c r="D102" s="170">
        <v>6506498</v>
      </c>
      <c r="E102" s="106">
        <v>5342314</v>
      </c>
    </row>
    <row r="103" spans="1:5" ht="12" customHeight="1">
      <c r="A103" s="12" t="s">
        <v>65</v>
      </c>
      <c r="B103" s="6" t="s">
        <v>90</v>
      </c>
      <c r="C103" s="172">
        <v>49002939</v>
      </c>
      <c r="D103" s="172">
        <v>56315669</v>
      </c>
      <c r="E103" s="108">
        <v>49407214</v>
      </c>
    </row>
    <row r="104" spans="1:5" ht="12" customHeight="1">
      <c r="A104" s="12" t="s">
        <v>66</v>
      </c>
      <c r="B104" s="9" t="s">
        <v>123</v>
      </c>
      <c r="C104" s="172">
        <v>2405000</v>
      </c>
      <c r="D104" s="172">
        <v>3855821</v>
      </c>
      <c r="E104" s="108">
        <v>2376139</v>
      </c>
    </row>
    <row r="105" spans="1:5" ht="12" customHeight="1">
      <c r="A105" s="12" t="s">
        <v>75</v>
      </c>
      <c r="B105" s="17" t="s">
        <v>124</v>
      </c>
      <c r="C105" s="172">
        <v>6100000</v>
      </c>
      <c r="D105" s="172">
        <v>5902905</v>
      </c>
      <c r="E105" s="108">
        <v>2583774</v>
      </c>
    </row>
    <row r="106" spans="1:5" ht="12" customHeight="1">
      <c r="A106" s="12" t="s">
        <v>67</v>
      </c>
      <c r="B106" s="6" t="s">
        <v>341</v>
      </c>
      <c r="C106" s="172"/>
      <c r="D106" s="172"/>
      <c r="E106" s="108"/>
    </row>
    <row r="107" spans="1:5" ht="12" customHeight="1">
      <c r="A107" s="12" t="s">
        <v>68</v>
      </c>
      <c r="B107" s="67" t="s">
        <v>340</v>
      </c>
      <c r="C107" s="172"/>
      <c r="D107" s="172"/>
      <c r="E107" s="108"/>
    </row>
    <row r="108" spans="1:5" ht="12" customHeight="1">
      <c r="A108" s="12" t="s">
        <v>76</v>
      </c>
      <c r="B108" s="67" t="s">
        <v>339</v>
      </c>
      <c r="C108" s="172"/>
      <c r="D108" s="172">
        <v>425833</v>
      </c>
      <c r="E108" s="108"/>
    </row>
    <row r="109" spans="1:5" ht="12" customHeight="1">
      <c r="A109" s="12" t="s">
        <v>77</v>
      </c>
      <c r="B109" s="65" t="s">
        <v>257</v>
      </c>
      <c r="C109" s="172"/>
      <c r="D109" s="172"/>
      <c r="E109" s="108"/>
    </row>
    <row r="110" spans="1:5" ht="12" customHeight="1">
      <c r="A110" s="12" t="s">
        <v>78</v>
      </c>
      <c r="B110" s="66" t="s">
        <v>258</v>
      </c>
      <c r="C110" s="172"/>
      <c r="D110" s="172"/>
      <c r="E110" s="108"/>
    </row>
    <row r="111" spans="1:5" ht="12" customHeight="1">
      <c r="A111" s="12" t="s">
        <v>79</v>
      </c>
      <c r="B111" s="66" t="s">
        <v>259</v>
      </c>
      <c r="C111" s="172"/>
      <c r="D111" s="172"/>
      <c r="E111" s="108"/>
    </row>
    <row r="112" spans="1:5" ht="12" customHeight="1">
      <c r="A112" s="12" t="s">
        <v>81</v>
      </c>
      <c r="B112" s="65" t="s">
        <v>260</v>
      </c>
      <c r="C112" s="172">
        <v>5200000</v>
      </c>
      <c r="D112" s="172">
        <v>4577072</v>
      </c>
      <c r="E112" s="108"/>
    </row>
    <row r="113" spans="1:5" ht="12" customHeight="1">
      <c r="A113" s="12" t="s">
        <v>125</v>
      </c>
      <c r="B113" s="65" t="s">
        <v>261</v>
      </c>
      <c r="C113" s="172"/>
      <c r="D113" s="172"/>
      <c r="E113" s="108"/>
    </row>
    <row r="114" spans="1:5" ht="12" customHeight="1">
      <c r="A114" s="12" t="s">
        <v>255</v>
      </c>
      <c r="B114" s="66" t="s">
        <v>262</v>
      </c>
      <c r="C114" s="172"/>
      <c r="D114" s="172"/>
      <c r="E114" s="108"/>
    </row>
    <row r="115" spans="1:5" ht="12" customHeight="1">
      <c r="A115" s="11" t="s">
        <v>256</v>
      </c>
      <c r="B115" s="67" t="s">
        <v>263</v>
      </c>
      <c r="C115" s="172"/>
      <c r="D115" s="172"/>
      <c r="E115" s="108"/>
    </row>
    <row r="116" spans="1:5" ht="12" customHeight="1">
      <c r="A116" s="12" t="s">
        <v>337</v>
      </c>
      <c r="B116" s="67" t="s">
        <v>264</v>
      </c>
      <c r="C116" s="172"/>
      <c r="D116" s="172"/>
      <c r="E116" s="108"/>
    </row>
    <row r="117" spans="1:5" ht="12" customHeight="1">
      <c r="A117" s="14" t="s">
        <v>338</v>
      </c>
      <c r="B117" s="67" t="s">
        <v>265</v>
      </c>
      <c r="C117" s="172">
        <v>900000</v>
      </c>
      <c r="D117" s="172">
        <v>900000</v>
      </c>
      <c r="E117" s="108"/>
    </row>
    <row r="118" spans="1:5" ht="12" customHeight="1">
      <c r="A118" s="12" t="s">
        <v>342</v>
      </c>
      <c r="B118" s="9" t="s">
        <v>36</v>
      </c>
      <c r="C118" s="170"/>
      <c r="D118" s="170">
        <v>4151073</v>
      </c>
      <c r="E118" s="106">
        <v>0</v>
      </c>
    </row>
    <row r="119" spans="1:5" ht="12" customHeight="1">
      <c r="A119" s="12" t="s">
        <v>343</v>
      </c>
      <c r="B119" s="6" t="s">
        <v>345</v>
      </c>
      <c r="C119" s="170"/>
      <c r="D119" s="170"/>
      <c r="E119" s="106"/>
    </row>
    <row r="120" spans="1:5" ht="12" customHeight="1" thickBot="1">
      <c r="A120" s="16" t="s">
        <v>344</v>
      </c>
      <c r="B120" s="236" t="s">
        <v>346</v>
      </c>
      <c r="C120" s="248"/>
      <c r="D120" s="248"/>
      <c r="E120" s="242"/>
    </row>
    <row r="121" spans="1:5" ht="12" customHeight="1" thickBot="1">
      <c r="A121" s="234" t="s">
        <v>7</v>
      </c>
      <c r="B121" s="235" t="s">
        <v>266</v>
      </c>
      <c r="C121" s="249">
        <f>+C122+C124+C126</f>
        <v>92907250</v>
      </c>
      <c r="D121" s="169">
        <f>+D122+D124+D126</f>
        <v>99165250</v>
      </c>
      <c r="E121" s="243">
        <f>+E122+E124+E126</f>
        <v>22204549</v>
      </c>
    </row>
    <row r="122" spans="1:5" ht="12" customHeight="1">
      <c r="A122" s="13" t="s">
        <v>69</v>
      </c>
      <c r="B122" s="6" t="s">
        <v>142</v>
      </c>
      <c r="C122" s="171">
        <v>92907250</v>
      </c>
      <c r="D122" s="258">
        <v>92915250</v>
      </c>
      <c r="E122" s="107">
        <v>16088288</v>
      </c>
    </row>
    <row r="123" spans="1:5" ht="12" customHeight="1">
      <c r="A123" s="13" t="s">
        <v>70</v>
      </c>
      <c r="B123" s="10" t="s">
        <v>270</v>
      </c>
      <c r="C123" s="171"/>
      <c r="D123" s="258"/>
      <c r="E123" s="107"/>
    </row>
    <row r="124" spans="1:5" ht="12" customHeight="1">
      <c r="A124" s="13" t="s">
        <v>71</v>
      </c>
      <c r="B124" s="10" t="s">
        <v>126</v>
      </c>
      <c r="C124" s="170"/>
      <c r="D124" s="259">
        <v>6250000</v>
      </c>
      <c r="E124" s="106">
        <v>6116261</v>
      </c>
    </row>
    <row r="125" spans="1:5" ht="12" customHeight="1">
      <c r="A125" s="13" t="s">
        <v>72</v>
      </c>
      <c r="B125" s="10" t="s">
        <v>271</v>
      </c>
      <c r="C125" s="170"/>
      <c r="D125" s="259"/>
      <c r="E125" s="106"/>
    </row>
    <row r="126" spans="1:5" ht="12" customHeight="1">
      <c r="A126" s="13" t="s">
        <v>73</v>
      </c>
      <c r="B126" s="114" t="s">
        <v>144</v>
      </c>
      <c r="C126" s="170"/>
      <c r="D126" s="259"/>
      <c r="E126" s="106"/>
    </row>
    <row r="127" spans="1:5" ht="12" customHeight="1">
      <c r="A127" s="13" t="s">
        <v>80</v>
      </c>
      <c r="B127" s="113" t="s">
        <v>329</v>
      </c>
      <c r="C127" s="170"/>
      <c r="D127" s="259"/>
      <c r="E127" s="106"/>
    </row>
    <row r="128" spans="1:5" ht="12" customHeight="1">
      <c r="A128" s="13" t="s">
        <v>82</v>
      </c>
      <c r="B128" s="178" t="s">
        <v>276</v>
      </c>
      <c r="C128" s="170"/>
      <c r="D128" s="259"/>
      <c r="E128" s="106"/>
    </row>
    <row r="129" spans="1:5">
      <c r="A129" s="13" t="s">
        <v>127</v>
      </c>
      <c r="B129" s="66" t="s">
        <v>259</v>
      </c>
      <c r="C129" s="170"/>
      <c r="D129" s="259"/>
      <c r="E129" s="106"/>
    </row>
    <row r="130" spans="1:5" ht="12" customHeight="1">
      <c r="A130" s="13" t="s">
        <v>128</v>
      </c>
      <c r="B130" s="66" t="s">
        <v>275</v>
      </c>
      <c r="C130" s="170"/>
      <c r="D130" s="259"/>
      <c r="E130" s="106"/>
    </row>
    <row r="131" spans="1:5" ht="12" customHeight="1">
      <c r="A131" s="13" t="s">
        <v>129</v>
      </c>
      <c r="B131" s="66" t="s">
        <v>274</v>
      </c>
      <c r="C131" s="170"/>
      <c r="D131" s="259"/>
      <c r="E131" s="106"/>
    </row>
    <row r="132" spans="1:5" ht="12" customHeight="1">
      <c r="A132" s="13" t="s">
        <v>267</v>
      </c>
      <c r="B132" s="66" t="s">
        <v>262</v>
      </c>
      <c r="C132" s="170"/>
      <c r="D132" s="259"/>
      <c r="E132" s="106"/>
    </row>
    <row r="133" spans="1:5" ht="12" customHeight="1">
      <c r="A133" s="13" t="s">
        <v>268</v>
      </c>
      <c r="B133" s="66" t="s">
        <v>273</v>
      </c>
      <c r="C133" s="170"/>
      <c r="D133" s="259"/>
      <c r="E133" s="106"/>
    </row>
    <row r="134" spans="1:5" ht="16.5" thickBot="1">
      <c r="A134" s="11" t="s">
        <v>269</v>
      </c>
      <c r="B134" s="66" t="s">
        <v>272</v>
      </c>
      <c r="C134" s="172"/>
      <c r="D134" s="260"/>
      <c r="E134" s="108"/>
    </row>
    <row r="135" spans="1:5" ht="12" customHeight="1" thickBot="1">
      <c r="A135" s="18" t="s">
        <v>8</v>
      </c>
      <c r="B135" s="59" t="s">
        <v>347</v>
      </c>
      <c r="C135" s="169">
        <f>+C100+C121</f>
        <v>195654731</v>
      </c>
      <c r="D135" s="257">
        <f>+D100+D121</f>
        <v>214648153</v>
      </c>
      <c r="E135" s="105">
        <f>+E100+E121</f>
        <v>117195141</v>
      </c>
    </row>
    <row r="136" spans="1:5" ht="12" customHeight="1" thickBot="1">
      <c r="A136" s="18" t="s">
        <v>9</v>
      </c>
      <c r="B136" s="59" t="s">
        <v>418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>
      <c r="A137" s="13" t="s">
        <v>176</v>
      </c>
      <c r="B137" s="10" t="s">
        <v>355</v>
      </c>
      <c r="C137" s="170"/>
      <c r="D137" s="259"/>
      <c r="E137" s="106"/>
    </row>
    <row r="138" spans="1:5" ht="12" customHeight="1">
      <c r="A138" s="13" t="s">
        <v>177</v>
      </c>
      <c r="B138" s="10" t="s">
        <v>356</v>
      </c>
      <c r="C138" s="170"/>
      <c r="D138" s="259"/>
      <c r="E138" s="106"/>
    </row>
    <row r="139" spans="1:5" ht="12" customHeight="1" thickBot="1">
      <c r="A139" s="11" t="s">
        <v>178</v>
      </c>
      <c r="B139" s="10" t="s">
        <v>357</v>
      </c>
      <c r="C139" s="170"/>
      <c r="D139" s="259"/>
      <c r="E139" s="106"/>
    </row>
    <row r="140" spans="1:5" ht="12" customHeight="1" thickBot="1">
      <c r="A140" s="18" t="s">
        <v>10</v>
      </c>
      <c r="B140" s="59" t="s">
        <v>349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>
      <c r="A141" s="13" t="s">
        <v>56</v>
      </c>
      <c r="B141" s="7" t="s">
        <v>358</v>
      </c>
      <c r="C141" s="170"/>
      <c r="D141" s="259"/>
      <c r="E141" s="106"/>
    </row>
    <row r="142" spans="1:5" ht="12" customHeight="1">
      <c r="A142" s="13" t="s">
        <v>57</v>
      </c>
      <c r="B142" s="7" t="s">
        <v>350</v>
      </c>
      <c r="C142" s="170"/>
      <c r="D142" s="259"/>
      <c r="E142" s="106"/>
    </row>
    <row r="143" spans="1:5" ht="12" customHeight="1">
      <c r="A143" s="13" t="s">
        <v>58</v>
      </c>
      <c r="B143" s="7" t="s">
        <v>351</v>
      </c>
      <c r="C143" s="170"/>
      <c r="D143" s="259"/>
      <c r="E143" s="106"/>
    </row>
    <row r="144" spans="1:5" ht="12" customHeight="1">
      <c r="A144" s="13" t="s">
        <v>114</v>
      </c>
      <c r="B144" s="7" t="s">
        <v>352</v>
      </c>
      <c r="C144" s="170"/>
      <c r="D144" s="259"/>
      <c r="E144" s="106"/>
    </row>
    <row r="145" spans="1:9" ht="12" customHeight="1">
      <c r="A145" s="13" t="s">
        <v>115</v>
      </c>
      <c r="B145" s="7" t="s">
        <v>353</v>
      </c>
      <c r="C145" s="170"/>
      <c r="D145" s="259"/>
      <c r="E145" s="106"/>
    </row>
    <row r="146" spans="1:9" ht="12" customHeight="1" thickBot="1">
      <c r="A146" s="16" t="s">
        <v>116</v>
      </c>
      <c r="B146" s="320" t="s">
        <v>354</v>
      </c>
      <c r="C146" s="248"/>
      <c r="D146" s="297"/>
      <c r="E146" s="242"/>
    </row>
    <row r="147" spans="1:9" ht="12" customHeight="1" thickBot="1">
      <c r="A147" s="18" t="s">
        <v>11</v>
      </c>
      <c r="B147" s="59" t="s">
        <v>362</v>
      </c>
      <c r="C147" s="175">
        <f>+C148+C149+C150+C151</f>
        <v>463577</v>
      </c>
      <c r="D147" s="261">
        <f>+D148+D149+D150+D151</f>
        <v>1758835</v>
      </c>
      <c r="E147" s="211">
        <f>+E148+E149+E150+E151</f>
        <v>1758835</v>
      </c>
    </row>
    <row r="148" spans="1:9" ht="12" customHeight="1">
      <c r="A148" s="13" t="s">
        <v>59</v>
      </c>
      <c r="B148" s="7" t="s">
        <v>277</v>
      </c>
      <c r="C148" s="170"/>
      <c r="D148" s="259"/>
      <c r="E148" s="106"/>
    </row>
    <row r="149" spans="1:9" ht="12" customHeight="1">
      <c r="A149" s="13" t="s">
        <v>60</v>
      </c>
      <c r="B149" s="7" t="s">
        <v>278</v>
      </c>
      <c r="C149" s="170">
        <v>463577</v>
      </c>
      <c r="D149" s="259">
        <v>1758835</v>
      </c>
      <c r="E149" s="106">
        <v>1758835</v>
      </c>
    </row>
    <row r="150" spans="1:9" ht="12" customHeight="1">
      <c r="A150" s="13" t="s">
        <v>194</v>
      </c>
      <c r="B150" s="7" t="s">
        <v>363</v>
      </c>
      <c r="C150" s="170"/>
      <c r="D150" s="259"/>
      <c r="E150" s="106"/>
    </row>
    <row r="151" spans="1:9" ht="12" customHeight="1" thickBot="1">
      <c r="A151" s="11" t="s">
        <v>195</v>
      </c>
      <c r="B151" s="5" t="s">
        <v>293</v>
      </c>
      <c r="C151" s="170"/>
      <c r="D151" s="259"/>
      <c r="E151" s="106"/>
    </row>
    <row r="152" spans="1:9" ht="12" customHeight="1" thickBot="1">
      <c r="A152" s="18" t="s">
        <v>12</v>
      </c>
      <c r="B152" s="59" t="s">
        <v>364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>
      <c r="A153" s="13" t="s">
        <v>61</v>
      </c>
      <c r="B153" s="7" t="s">
        <v>359</v>
      </c>
      <c r="C153" s="170"/>
      <c r="D153" s="259"/>
      <c r="E153" s="106"/>
    </row>
    <row r="154" spans="1:9" ht="12" customHeight="1">
      <c r="A154" s="13" t="s">
        <v>62</v>
      </c>
      <c r="B154" s="7" t="s">
        <v>366</v>
      </c>
      <c r="C154" s="170"/>
      <c r="D154" s="259"/>
      <c r="E154" s="106"/>
    </row>
    <row r="155" spans="1:9" ht="12" customHeight="1">
      <c r="A155" s="13" t="s">
        <v>206</v>
      </c>
      <c r="B155" s="7" t="s">
        <v>361</v>
      </c>
      <c r="C155" s="170"/>
      <c r="D155" s="259"/>
      <c r="E155" s="106"/>
    </row>
    <row r="156" spans="1:9" ht="12" customHeight="1">
      <c r="A156" s="13" t="s">
        <v>207</v>
      </c>
      <c r="B156" s="7" t="s">
        <v>367</v>
      </c>
      <c r="C156" s="170"/>
      <c r="D156" s="259"/>
      <c r="E156" s="106"/>
    </row>
    <row r="157" spans="1:9" ht="12" customHeight="1" thickBot="1">
      <c r="A157" s="13" t="s">
        <v>365</v>
      </c>
      <c r="B157" s="7" t="s">
        <v>368</v>
      </c>
      <c r="C157" s="170"/>
      <c r="D157" s="259"/>
      <c r="E157" s="106"/>
    </row>
    <row r="158" spans="1:9" ht="12" customHeight="1" thickBot="1">
      <c r="A158" s="18" t="s">
        <v>13</v>
      </c>
      <c r="B158" s="59" t="s">
        <v>369</v>
      </c>
      <c r="C158" s="251"/>
      <c r="D158" s="263"/>
      <c r="E158" s="245"/>
    </row>
    <row r="159" spans="1:9" ht="12" customHeight="1" thickBot="1">
      <c r="A159" s="18" t="s">
        <v>14</v>
      </c>
      <c r="B159" s="59" t="s">
        <v>370</v>
      </c>
      <c r="C159" s="251"/>
      <c r="D159" s="263"/>
      <c r="E159" s="245"/>
    </row>
    <row r="160" spans="1:9" ht="15.2" customHeight="1" thickBot="1">
      <c r="A160" s="18" t="s">
        <v>15</v>
      </c>
      <c r="B160" s="59" t="s">
        <v>372</v>
      </c>
      <c r="C160" s="252">
        <f>+C136+C140+C147+C152+C158+C159</f>
        <v>463577</v>
      </c>
      <c r="D160" s="264">
        <f>+D136+D140+D147+D152+D158+D159</f>
        <v>1758835</v>
      </c>
      <c r="E160" s="246">
        <f>+E136+E140+E147+E152+E158+E159</f>
        <v>1758835</v>
      </c>
      <c r="F160" s="192"/>
      <c r="G160" s="193"/>
      <c r="H160" s="193"/>
      <c r="I160" s="193"/>
    </row>
    <row r="161" spans="1:5" s="181" customFormat="1" ht="12.95" customHeight="1" thickBot="1">
      <c r="A161" s="115" t="s">
        <v>16</v>
      </c>
      <c r="B161" s="156" t="s">
        <v>371</v>
      </c>
      <c r="C161" s="252">
        <f>+C135+C160</f>
        <v>196118308</v>
      </c>
      <c r="D161" s="264">
        <f>+D135+D160</f>
        <v>216406988</v>
      </c>
      <c r="E161" s="246">
        <f>+E135+E160</f>
        <v>118953976</v>
      </c>
    </row>
    <row r="162" spans="1:5">
      <c r="C162" s="662">
        <f>C93-C161</f>
        <v>0</v>
      </c>
      <c r="D162" s="662">
        <f>D93-D161</f>
        <v>0</v>
      </c>
    </row>
    <row r="163" spans="1:5">
      <c r="A163" s="791" t="s">
        <v>279</v>
      </c>
      <c r="B163" s="791"/>
      <c r="C163" s="791"/>
      <c r="D163" s="791"/>
      <c r="E163" s="791"/>
    </row>
    <row r="164" spans="1:5" ht="15.2" customHeight="1" thickBot="1">
      <c r="A164" s="783" t="s">
        <v>102</v>
      </c>
      <c r="B164" s="783"/>
      <c r="C164" s="117"/>
      <c r="E164" s="117" t="str">
        <f>E96</f>
        <v xml:space="preserve"> Forintban!</v>
      </c>
    </row>
    <row r="165" spans="1:5" ht="25.5" customHeight="1" thickBot="1">
      <c r="A165" s="18">
        <v>1</v>
      </c>
      <c r="B165" s="23" t="s">
        <v>373</v>
      </c>
      <c r="C165" s="256">
        <f>+C68-C135</f>
        <v>-113135742</v>
      </c>
      <c r="D165" s="169">
        <f>+D68-D135</f>
        <v>-113149785</v>
      </c>
      <c r="E165" s="105">
        <f>+E68-E135</f>
        <v>3533097</v>
      </c>
    </row>
    <row r="166" spans="1:5" ht="32.450000000000003" customHeight="1" thickBot="1">
      <c r="A166" s="18" t="s">
        <v>7</v>
      </c>
      <c r="B166" s="23" t="s">
        <v>379</v>
      </c>
      <c r="C166" s="169">
        <f>+C92-C160</f>
        <v>113135742</v>
      </c>
      <c r="D166" s="169">
        <f>+D92-D160</f>
        <v>113149785</v>
      </c>
      <c r="E166" s="105">
        <f>+E92-E160</f>
        <v>109945551</v>
      </c>
    </row>
  </sheetData>
  <sheetProtection sheet="1"/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CONCATENATE(Z_ALAPADATOK!M17," melléklet ",Z_ALAPADATOK!A7," ",Z_ALAPADATOK!B7," ",Z_ALAPADATOK!C7," ",Z_ALAPADATOK!D7," ",Z_ALAPADATOK!E7," ",Z_ALAPADATOK!F7," ",Z_ALAPADATOK!G7," ",Z_ALAPADATOK!H7)</f>
        <v>6.5.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CONCATENATE(Z_ALAPADATOK!B17)</f>
        <v>3 kvi név</v>
      </c>
      <c r="C2" s="857"/>
      <c r="D2" s="858"/>
      <c r="E2" s="330" t="s">
        <v>513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CONCATENATE(Z_6.4.3.sz.mell!E5)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CONCATENATE(Z_ALAPADATOK!M17,"1. melléklet ",Z_ALAPADATOK!A7," ",Z_ALAPADATOK!B7," ",Z_ALAPADATOK!C7," ",Z_ALAPADATOK!D7," ",Z_ALAPADATOK!E7," ",Z_ALAPADATOK!F7," ",Z_ALAPADATOK!G7," ",Z_ALAPADATOK!H7)</f>
        <v>6.5.1.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CONCATENATE(Z_6.5.sz.mell!B2:D2)</f>
        <v>3 kvi név</v>
      </c>
      <c r="C2" s="857"/>
      <c r="D2" s="858"/>
      <c r="E2" s="330" t="s">
        <v>513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Z_6.5.sz.mell!E4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CONCATENATE(Z_6.5.sz.mell!E5)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CONCATENATE(Z_ALAPADATOK!M17,"2. melléklet ",Z_ALAPADATOK!A7," ",Z_ALAPADATOK!B7," ",Z_ALAPADATOK!C7," ",Z_ALAPADATOK!D7," ",Z_ALAPADATOK!E7," ",Z_ALAPADATOK!F7," ",Z_ALAPADATOK!G7," ",Z_ALAPADATOK!H7)</f>
        <v>6.5.2.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CONCATENATE(Z_6.5.1.sz.mell!B2:D2)</f>
        <v>3 kvi név</v>
      </c>
      <c r="C2" s="857"/>
      <c r="D2" s="858"/>
      <c r="E2" s="330" t="s">
        <v>513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Z_6.5.1.sz.mell!E4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CONCATENATE(Z_6.5.1.sz.mell!E5)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CONCATENATE(Z_ALAPADATOK!M17,"3. melléklet ",Z_ALAPADATOK!A7," ",Z_ALAPADATOK!B7," ",Z_ALAPADATOK!C7," ",Z_ALAPADATOK!D7," ",Z_ALAPADATOK!E7," ",Z_ALAPADATOK!F7," ",Z_ALAPADATOK!G7," ",Z_ALAPADATOK!H7)</f>
        <v>6.5.3.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CONCATENATE(Z_6.5.2.sz.mell!B2:D2)</f>
        <v>3 kvi név</v>
      </c>
      <c r="C2" s="857"/>
      <c r="D2" s="858"/>
      <c r="E2" s="330" t="s">
        <v>513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Z_6.5.2.sz.mell!E4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CONCATENATE(Z_6.5.2.sz.mell!E5)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CONCATENATE(Z_ALAPADATOK!M19," melléklet ",Z_ALAPADATOK!A7," ",Z_ALAPADATOK!B7," ",Z_ALAPADATOK!C7," ",Z_ALAPADATOK!D7," ",Z_ALAPADATOK!E7," ",Z_ALAPADATOK!F7," ",Z_ALAPADATOK!G7," ",Z_ALAPADATOK!H7)</f>
        <v>6.6.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CONCATENATE(Z_ALAPADATOK!B19)</f>
        <v>4 kvi név</v>
      </c>
      <c r="C2" s="857"/>
      <c r="D2" s="858"/>
      <c r="E2" s="330" t="s">
        <v>514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CONCATENATE(Z_6.5.3.sz.mell!E5)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CONCATENATE(Z_ALAPADATOK!M19,"1. melléklet ",Z_ALAPADATOK!A7," ",Z_ALAPADATOK!B7," ",Z_ALAPADATOK!C7," ",Z_ALAPADATOK!D7," ",Z_ALAPADATOK!E7," ",Z_ALAPADATOK!F7," ",Z_ALAPADATOK!G7," ",Z_ALAPADATOK!H7)</f>
        <v>6.6.1.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CONCATENATE(Z_6.6.sz.mell!B2:D2)</f>
        <v>4 kvi név</v>
      </c>
      <c r="C2" s="857"/>
      <c r="D2" s="858"/>
      <c r="E2" s="330" t="s">
        <v>514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Z_6.6.sz.mell!E4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CONCATENATE(Z_6.6.sz.mell!E5)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CONCATENATE(Z_ALAPADATOK!M19,"2. melléklet ",Z_ALAPADATOK!A7," ",Z_ALAPADATOK!B7," ",Z_ALAPADATOK!C7," ",Z_ALAPADATOK!D7," ",Z_ALAPADATOK!E7," ",Z_ALAPADATOK!F7," ",Z_ALAPADATOK!G7," ",Z_ALAPADATOK!H7)</f>
        <v>6.6.2.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CONCATENATE(Z_6.6.1.sz.mell!B2:D2)</f>
        <v>4 kvi név</v>
      </c>
      <c r="C2" s="857"/>
      <c r="D2" s="858"/>
      <c r="E2" s="330" t="s">
        <v>514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Z_6.6.1.sz.mell!E4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CONCATENATE(Z_6.6.1.sz.mell!E5)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CONCATENATE(Z_ALAPADATOK!M19,"3. melléklet ",Z_ALAPADATOK!A7," ",Z_ALAPADATOK!B7," ",Z_ALAPADATOK!C7," ",Z_ALAPADATOK!D7," ",Z_ALAPADATOK!E7," ",Z_ALAPADATOK!F7," ",Z_ALAPADATOK!G7," ",Z_ALAPADATOK!H7)</f>
        <v>6.6.3.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CONCATENATE(Z_6.6.2.sz.mell!B2:D2)</f>
        <v>4 kvi név</v>
      </c>
      <c r="C2" s="857"/>
      <c r="D2" s="858"/>
      <c r="E2" s="330" t="s">
        <v>514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Z_6.6.2.sz.mell!E4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CONCATENATE(Z_6.6.2.sz.mell!E5)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CONCATENATE(Z_ALAPADATOK!M21," melléklet ",Z_ALAPADATOK!A7," ",Z_ALAPADATOK!B7," ",Z_ALAPADATOK!C7," ",Z_ALAPADATOK!D7," ",Z_ALAPADATOK!E7," ",Z_ALAPADATOK!F7," ",Z_ALAPADATOK!G7," ",Z_ALAPADATOK!H7)</f>
        <v>6.7.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CONCATENATE(Z_ALAPADATOK!B21)</f>
        <v>5 kvi név</v>
      </c>
      <c r="C2" s="857"/>
      <c r="D2" s="858"/>
      <c r="E2" s="330" t="s">
        <v>515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CONCATENATE(Z_6.6.3.sz.mell!E5)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E15" sqref="E15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CONCATENATE(Z_ALAPADATOK!M21,"1. melléklet ",Z_ALAPADATOK!A7," ",Z_ALAPADATOK!B7," ",Z_ALAPADATOK!C7," ",Z_ALAPADATOK!D7," ",Z_ALAPADATOK!E7," ",Z_ALAPADATOK!F7," ",Z_ALAPADATOK!G7," ",Z_ALAPADATOK!H7)</f>
        <v>6.7.1.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CONCATENATE(Z_6.7.sz.mell!B2:D2)</f>
        <v>5 kvi név</v>
      </c>
      <c r="C2" s="857"/>
      <c r="D2" s="858"/>
      <c r="E2" s="330" t="s">
        <v>515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Z_6.7.sz.mell!E4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CONCATENATE(Z_6.7.sz.mell!E5)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6"/>
  <sheetViews>
    <sheetView topLeftCell="A112" zoomScale="120" zoomScaleNormal="120" zoomScaleSheetLayoutView="100" workbookViewId="0">
      <selection activeCell="A7" sqref="A7:E166"/>
    </sheetView>
  </sheetViews>
  <sheetFormatPr defaultRowHeight="15.7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>
      <c r="A1" s="321"/>
      <c r="B1" s="778" t="str">
        <f>CONCATENATE("1.2. melléklet ",Z_ALAPADATOK!A7," ",Z_ALAPADATOK!B7," ",Z_ALAPADATOK!C7," ",Z_ALAPADATOK!D7," ",Z_ALAPADATOK!E7," ",Z_ALAPADATOK!F7," ",Z_ALAPADATOK!G7," ",Z_ALAPADATOK!H7)</f>
        <v>1.2. melléklet a … / 2021. ( … ) önkormányzati rendelethez</v>
      </c>
      <c r="C1" s="779"/>
      <c r="D1" s="779"/>
      <c r="E1" s="779"/>
    </row>
    <row r="2" spans="1:5">
      <c r="A2" s="780" t="str">
        <f>CONCATENATE(Z_ALAPADATOK!A3)</f>
        <v>Borsodivánka Község Önkormányzata</v>
      </c>
      <c r="B2" s="781"/>
      <c r="C2" s="781"/>
      <c r="D2" s="781"/>
      <c r="E2" s="781"/>
    </row>
    <row r="3" spans="1:5">
      <c r="A3" s="780" t="str">
        <f>CONCATENATE(Z_ALAPADATOK!B1,". ÉVI ZÁRSZÁMADÁS")</f>
        <v>2020. ÉVI ZÁRSZÁMADÁS</v>
      </c>
      <c r="B3" s="780"/>
      <c r="C3" s="782"/>
      <c r="D3" s="780"/>
      <c r="E3" s="780"/>
    </row>
    <row r="4" spans="1:5" ht="17.25" customHeight="1">
      <c r="A4" s="780" t="s">
        <v>847</v>
      </c>
      <c r="B4" s="780"/>
      <c r="C4" s="782"/>
      <c r="D4" s="780"/>
      <c r="E4" s="780"/>
    </row>
    <row r="5" spans="1:5">
      <c r="A5" s="321"/>
      <c r="B5" s="321"/>
      <c r="C5" s="322"/>
      <c r="D5" s="323"/>
      <c r="E5" s="323"/>
    </row>
    <row r="6" spans="1:5" ht="15.95" customHeight="1">
      <c r="A6" s="792" t="s">
        <v>3</v>
      </c>
      <c r="B6" s="792"/>
      <c r="C6" s="792"/>
      <c r="D6" s="792"/>
      <c r="E6" s="792"/>
    </row>
    <row r="7" spans="1:5" ht="15.95" customHeight="1" thickBot="1">
      <c r="A7" s="794" t="s">
        <v>100</v>
      </c>
      <c r="B7" s="794"/>
      <c r="C7" s="324"/>
      <c r="D7" s="323"/>
      <c r="E7" s="324" t="s">
        <v>484</v>
      </c>
    </row>
    <row r="8" spans="1:5" ht="15.75" customHeight="1">
      <c r="A8" s="784" t="s">
        <v>51</v>
      </c>
      <c r="B8" s="786" t="s">
        <v>5</v>
      </c>
      <c r="C8" s="788" t="str">
        <f>+CONCATENATE(LEFT(Z_ÖSSZEFÜGGÉSEK!A6,4),". évi")</f>
        <v>2020. évi</v>
      </c>
      <c r="D8" s="789"/>
      <c r="E8" s="790"/>
    </row>
    <row r="9" spans="1:5" ht="24.75" thickBot="1">
      <c r="A9" s="785"/>
      <c r="B9" s="787"/>
      <c r="C9" s="254" t="s">
        <v>415</v>
      </c>
      <c r="D9" s="253" t="s">
        <v>416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>
      <c r="A10" s="176" t="s">
        <v>382</v>
      </c>
      <c r="B10" s="177" t="s">
        <v>383</v>
      </c>
      <c r="C10" s="177" t="s">
        <v>384</v>
      </c>
      <c r="D10" s="177" t="s">
        <v>386</v>
      </c>
      <c r="E10" s="255" t="s">
        <v>385</v>
      </c>
    </row>
    <row r="11" spans="1:5" s="181" customFormat="1" ht="12" customHeight="1" thickBot="1">
      <c r="A11" s="18" t="s">
        <v>6</v>
      </c>
      <c r="B11" s="19" t="s">
        <v>161</v>
      </c>
      <c r="C11" s="169">
        <f>+C12+C13+C14+C15+C16+C17</f>
        <v>11589426</v>
      </c>
      <c r="D11" s="169">
        <f>+D12+D13+D14+D15+D16+D17</f>
        <v>18642576</v>
      </c>
      <c r="E11" s="105">
        <f>+E12+E13+E14+E15+E16+E17</f>
        <v>18642576</v>
      </c>
    </row>
    <row r="12" spans="1:5" s="181" customFormat="1" ht="12" customHeight="1">
      <c r="A12" s="13" t="s">
        <v>63</v>
      </c>
      <c r="B12" s="182" t="s">
        <v>162</v>
      </c>
      <c r="C12" s="171">
        <v>1883804</v>
      </c>
      <c r="D12" s="171">
        <v>1901292</v>
      </c>
      <c r="E12" s="107">
        <v>1901292</v>
      </c>
    </row>
    <row r="13" spans="1:5" s="181" customFormat="1" ht="12" customHeight="1">
      <c r="A13" s="12" t="s">
        <v>64</v>
      </c>
      <c r="B13" s="183" t="s">
        <v>163</v>
      </c>
      <c r="C13" s="170"/>
      <c r="D13" s="170"/>
      <c r="E13" s="106"/>
    </row>
    <row r="14" spans="1:5" s="181" customFormat="1" ht="12" customHeight="1">
      <c r="A14" s="12" t="s">
        <v>65</v>
      </c>
      <c r="B14" s="183" t="s">
        <v>164</v>
      </c>
      <c r="C14" s="170">
        <v>7905622</v>
      </c>
      <c r="D14" s="170">
        <v>14073614</v>
      </c>
      <c r="E14" s="106">
        <v>14073614</v>
      </c>
    </row>
    <row r="15" spans="1:5" s="181" customFormat="1" ht="12" customHeight="1">
      <c r="A15" s="12" t="s">
        <v>66</v>
      </c>
      <c r="B15" s="183" t="s">
        <v>165</v>
      </c>
      <c r="C15" s="170">
        <v>1800000</v>
      </c>
      <c r="D15" s="170">
        <v>2089820</v>
      </c>
      <c r="E15" s="106">
        <v>2089820</v>
      </c>
    </row>
    <row r="16" spans="1:5" s="181" customFormat="1" ht="12" customHeight="1">
      <c r="A16" s="12" t="s">
        <v>97</v>
      </c>
      <c r="B16" s="113" t="s">
        <v>331</v>
      </c>
      <c r="C16" s="170"/>
      <c r="D16" s="170">
        <v>577850</v>
      </c>
      <c r="E16" s="106">
        <v>577850</v>
      </c>
    </row>
    <row r="17" spans="1:5" s="181" customFormat="1" ht="12" customHeight="1" thickBot="1">
      <c r="A17" s="14" t="s">
        <v>67</v>
      </c>
      <c r="B17" s="114" t="s">
        <v>332</v>
      </c>
      <c r="C17" s="170"/>
      <c r="D17" s="170"/>
      <c r="E17" s="106"/>
    </row>
    <row r="18" spans="1:5" s="181" customFormat="1" ht="12" customHeight="1" thickBot="1">
      <c r="A18" s="18" t="s">
        <v>7</v>
      </c>
      <c r="B18" s="112" t="s">
        <v>166</v>
      </c>
      <c r="C18" s="169">
        <f>+C19+C20+C21+C22+C23</f>
        <v>13592850</v>
      </c>
      <c r="D18" s="169">
        <f>+D19+D20+D21+D22+D23</f>
        <v>20641962</v>
      </c>
      <c r="E18" s="105">
        <f>+E19+E20+E21+E22+E23</f>
        <v>31211511</v>
      </c>
    </row>
    <row r="19" spans="1:5" s="181" customFormat="1" ht="12" customHeight="1">
      <c r="A19" s="13" t="s">
        <v>69</v>
      </c>
      <c r="B19" s="182" t="s">
        <v>167</v>
      </c>
      <c r="C19" s="171"/>
      <c r="D19" s="171"/>
      <c r="E19" s="107"/>
    </row>
    <row r="20" spans="1:5" s="181" customFormat="1" ht="12" customHeight="1">
      <c r="A20" s="12" t="s">
        <v>70</v>
      </c>
      <c r="B20" s="183" t="s">
        <v>168</v>
      </c>
      <c r="C20" s="170"/>
      <c r="D20" s="170"/>
      <c r="E20" s="106"/>
    </row>
    <row r="21" spans="1:5" s="181" customFormat="1" ht="12" customHeight="1">
      <c r="A21" s="12" t="s">
        <v>71</v>
      </c>
      <c r="B21" s="183" t="s">
        <v>323</v>
      </c>
      <c r="C21" s="170"/>
      <c r="D21" s="170"/>
      <c r="E21" s="106"/>
    </row>
    <row r="22" spans="1:5" s="181" customFormat="1" ht="12" customHeight="1">
      <c r="A22" s="12" t="s">
        <v>72</v>
      </c>
      <c r="B22" s="183" t="s">
        <v>324</v>
      </c>
      <c r="C22" s="170"/>
      <c r="D22" s="170"/>
      <c r="E22" s="106"/>
    </row>
    <row r="23" spans="1:5" s="181" customFormat="1" ht="12" customHeight="1">
      <c r="A23" s="12" t="s">
        <v>73</v>
      </c>
      <c r="B23" s="183" t="s">
        <v>169</v>
      </c>
      <c r="C23" s="170">
        <v>13592850</v>
      </c>
      <c r="D23" s="170">
        <v>20641962</v>
      </c>
      <c r="E23" s="106">
        <v>31211511</v>
      </c>
    </row>
    <row r="24" spans="1:5" s="181" customFormat="1" ht="12" customHeight="1" thickBot="1">
      <c r="A24" s="14" t="s">
        <v>80</v>
      </c>
      <c r="B24" s="114" t="s">
        <v>170</v>
      </c>
      <c r="C24" s="172"/>
      <c r="D24" s="172"/>
      <c r="E24" s="108"/>
    </row>
    <row r="25" spans="1:5" s="181" customFormat="1" ht="12" customHeight="1" thickBot="1">
      <c r="A25" s="18" t="s">
        <v>8</v>
      </c>
      <c r="B25" s="19" t="s">
        <v>171</v>
      </c>
      <c r="C25" s="169">
        <f>+C26+C27+C28+C29+C30</f>
        <v>0</v>
      </c>
      <c r="D25" s="169">
        <f>+D26+D27+D28+D29+D30</f>
        <v>1602874</v>
      </c>
      <c r="E25" s="105">
        <f>+E26+E27+E28+E29+E30</f>
        <v>7907940</v>
      </c>
    </row>
    <row r="26" spans="1:5" s="181" customFormat="1" ht="12" customHeight="1">
      <c r="A26" s="13" t="s">
        <v>52</v>
      </c>
      <c r="B26" s="182" t="s">
        <v>172</v>
      </c>
      <c r="C26" s="171"/>
      <c r="D26" s="171"/>
      <c r="E26" s="107"/>
    </row>
    <row r="27" spans="1:5" s="181" customFormat="1" ht="12" customHeight="1">
      <c r="A27" s="12" t="s">
        <v>53</v>
      </c>
      <c r="B27" s="183" t="s">
        <v>173</v>
      </c>
      <c r="C27" s="170"/>
      <c r="D27" s="170"/>
      <c r="E27" s="106"/>
    </row>
    <row r="28" spans="1:5" s="181" customFormat="1" ht="12" customHeight="1">
      <c r="A28" s="12" t="s">
        <v>54</v>
      </c>
      <c r="B28" s="183" t="s">
        <v>325</v>
      </c>
      <c r="C28" s="170"/>
      <c r="D28" s="170"/>
      <c r="E28" s="106"/>
    </row>
    <row r="29" spans="1:5" s="181" customFormat="1" ht="12" customHeight="1">
      <c r="A29" s="12" t="s">
        <v>55</v>
      </c>
      <c r="B29" s="183" t="s">
        <v>326</v>
      </c>
      <c r="C29" s="170"/>
      <c r="D29" s="170"/>
      <c r="E29" s="106"/>
    </row>
    <row r="30" spans="1:5" s="181" customFormat="1" ht="12" customHeight="1">
      <c r="A30" s="12" t="s">
        <v>110</v>
      </c>
      <c r="B30" s="183" t="s">
        <v>174</v>
      </c>
      <c r="C30" s="170"/>
      <c r="D30" s="170">
        <v>1602874</v>
      </c>
      <c r="E30" s="106">
        <v>7907940</v>
      </c>
    </row>
    <row r="31" spans="1:5" s="181" customFormat="1" ht="12" customHeight="1" thickBot="1">
      <c r="A31" s="14" t="s">
        <v>111</v>
      </c>
      <c r="B31" s="184" t="s">
        <v>175</v>
      </c>
      <c r="C31" s="172"/>
      <c r="D31" s="172"/>
      <c r="E31" s="108"/>
    </row>
    <row r="32" spans="1:5" s="181" customFormat="1" ht="12" customHeight="1" thickBot="1">
      <c r="A32" s="18" t="s">
        <v>112</v>
      </c>
      <c r="B32" s="19" t="s">
        <v>473</v>
      </c>
      <c r="C32" s="175">
        <f>SUM(C33:C39)</f>
        <v>37017000</v>
      </c>
      <c r="D32" s="175">
        <f>SUM(D33:D39)</f>
        <v>35981813</v>
      </c>
      <c r="E32" s="211">
        <f>SUM(E33:E39)</f>
        <v>33235878</v>
      </c>
    </row>
    <row r="33" spans="1:5" s="181" customFormat="1" ht="12" customHeight="1">
      <c r="A33" s="13" t="s">
        <v>176</v>
      </c>
      <c r="B33" s="756" t="s">
        <v>474</v>
      </c>
      <c r="C33" s="171"/>
      <c r="D33" s="171"/>
      <c r="E33" s="107"/>
    </row>
    <row r="34" spans="1:5" s="181" customFormat="1" ht="12" customHeight="1">
      <c r="A34" s="12" t="s">
        <v>177</v>
      </c>
      <c r="B34" s="757" t="s">
        <v>868</v>
      </c>
      <c r="C34" s="170"/>
      <c r="D34" s="170"/>
      <c r="E34" s="106"/>
    </row>
    <row r="35" spans="1:5" s="181" customFormat="1" ht="12" customHeight="1">
      <c r="A35" s="12" t="s">
        <v>178</v>
      </c>
      <c r="B35" s="757" t="s">
        <v>475</v>
      </c>
      <c r="C35" s="170">
        <v>34000000</v>
      </c>
      <c r="D35" s="170">
        <v>34000000</v>
      </c>
      <c r="E35" s="106">
        <v>33107383</v>
      </c>
    </row>
    <row r="36" spans="1:5" s="181" customFormat="1" ht="12" customHeight="1">
      <c r="A36" s="12" t="s">
        <v>179</v>
      </c>
      <c r="B36" s="757" t="s">
        <v>476</v>
      </c>
      <c r="C36" s="170"/>
      <c r="D36" s="170"/>
      <c r="E36" s="106"/>
    </row>
    <row r="37" spans="1:5" s="181" customFormat="1" ht="12" customHeight="1">
      <c r="A37" s="12" t="s">
        <v>477</v>
      </c>
      <c r="B37" s="757" t="s">
        <v>180</v>
      </c>
      <c r="C37" s="170">
        <v>1500000</v>
      </c>
      <c r="D37" s="170">
        <v>877072</v>
      </c>
      <c r="E37" s="106"/>
    </row>
    <row r="38" spans="1:5" s="181" customFormat="1" ht="12" customHeight="1">
      <c r="A38" s="12" t="s">
        <v>478</v>
      </c>
      <c r="B38" s="757" t="s">
        <v>879</v>
      </c>
      <c r="C38" s="170">
        <v>1517000</v>
      </c>
      <c r="D38" s="170">
        <v>1104741</v>
      </c>
      <c r="E38" s="106">
        <v>128495</v>
      </c>
    </row>
    <row r="39" spans="1:5" s="181" customFormat="1" ht="12" customHeight="1" thickBot="1">
      <c r="A39" s="14" t="s">
        <v>479</v>
      </c>
      <c r="B39" s="758" t="s">
        <v>855</v>
      </c>
      <c r="C39" s="172"/>
      <c r="D39" s="172"/>
      <c r="E39" s="108"/>
    </row>
    <row r="40" spans="1:5" s="181" customFormat="1" ht="12" customHeight="1" thickBot="1">
      <c r="A40" s="18" t="s">
        <v>10</v>
      </c>
      <c r="B40" s="19" t="s">
        <v>333</v>
      </c>
      <c r="C40" s="169">
        <f>SUM(C41:C51)</f>
        <v>20319713</v>
      </c>
      <c r="D40" s="169">
        <f>SUM(D41:D51)</f>
        <v>24629143</v>
      </c>
      <c r="E40" s="105">
        <f>SUM(E41:E51)</f>
        <v>25630333</v>
      </c>
    </row>
    <row r="41" spans="1:5" s="181" customFormat="1" ht="12" customHeight="1">
      <c r="A41" s="13" t="s">
        <v>56</v>
      </c>
      <c r="B41" s="182" t="s">
        <v>183</v>
      </c>
      <c r="C41" s="171"/>
      <c r="D41" s="171"/>
      <c r="E41" s="107">
        <v>42836</v>
      </c>
    </row>
    <row r="42" spans="1:5" s="181" customFormat="1" ht="12" customHeight="1">
      <c r="A42" s="12" t="s">
        <v>57</v>
      </c>
      <c r="B42" s="183" t="s">
        <v>184</v>
      </c>
      <c r="C42" s="170">
        <v>8080000</v>
      </c>
      <c r="D42" s="170">
        <v>8939715</v>
      </c>
      <c r="E42" s="106">
        <v>9137330</v>
      </c>
    </row>
    <row r="43" spans="1:5" s="181" customFormat="1" ht="12" customHeight="1">
      <c r="A43" s="12" t="s">
        <v>58</v>
      </c>
      <c r="B43" s="183" t="s">
        <v>185</v>
      </c>
      <c r="C43" s="170">
        <v>706573</v>
      </c>
      <c r="D43" s="170">
        <v>706573</v>
      </c>
      <c r="E43" s="106">
        <v>1776147</v>
      </c>
    </row>
    <row r="44" spans="1:5" s="181" customFormat="1" ht="12" customHeight="1">
      <c r="A44" s="12" t="s">
        <v>114</v>
      </c>
      <c r="B44" s="183" t="s">
        <v>186</v>
      </c>
      <c r="C44" s="170"/>
      <c r="D44" s="170"/>
      <c r="E44" s="106"/>
    </row>
    <row r="45" spans="1:5" s="181" customFormat="1" ht="12" customHeight="1">
      <c r="A45" s="12" t="s">
        <v>115</v>
      </c>
      <c r="B45" s="183" t="s">
        <v>187</v>
      </c>
      <c r="C45" s="170">
        <v>8352000</v>
      </c>
      <c r="D45" s="170">
        <v>10296715</v>
      </c>
      <c r="E45" s="106">
        <v>10341495</v>
      </c>
    </row>
    <row r="46" spans="1:5" s="181" customFormat="1" ht="12" customHeight="1">
      <c r="A46" s="12" t="s">
        <v>116</v>
      </c>
      <c r="B46" s="183" t="s">
        <v>188</v>
      </c>
      <c r="C46" s="170">
        <v>3181140</v>
      </c>
      <c r="D46" s="170">
        <v>4381140</v>
      </c>
      <c r="E46" s="106">
        <v>3953302</v>
      </c>
    </row>
    <row r="47" spans="1:5" s="181" customFormat="1" ht="12" customHeight="1">
      <c r="A47" s="12" t="s">
        <v>117</v>
      </c>
      <c r="B47" s="183" t="s">
        <v>189</v>
      </c>
      <c r="C47" s="170"/>
      <c r="D47" s="170">
        <v>305000</v>
      </c>
      <c r="E47" s="106"/>
    </row>
    <row r="48" spans="1:5" s="181" customFormat="1" ht="12" customHeight="1">
      <c r="A48" s="12" t="s">
        <v>118</v>
      </c>
      <c r="B48" s="183" t="s">
        <v>480</v>
      </c>
      <c r="C48" s="170"/>
      <c r="D48" s="170"/>
      <c r="E48" s="106"/>
    </row>
    <row r="49" spans="1:5" s="181" customFormat="1" ht="12" customHeight="1">
      <c r="A49" s="12" t="s">
        <v>181</v>
      </c>
      <c r="B49" s="183" t="s">
        <v>191</v>
      </c>
      <c r="C49" s="173"/>
      <c r="D49" s="173"/>
      <c r="E49" s="109">
        <v>136</v>
      </c>
    </row>
    <row r="50" spans="1:5" s="181" customFormat="1" ht="12" customHeight="1">
      <c r="A50" s="14" t="s">
        <v>182</v>
      </c>
      <c r="B50" s="184" t="s">
        <v>335</v>
      </c>
      <c r="C50" s="174"/>
      <c r="D50" s="174"/>
      <c r="E50" s="110"/>
    </row>
    <row r="51" spans="1:5" s="181" customFormat="1" ht="12" customHeight="1" thickBot="1">
      <c r="A51" s="14" t="s">
        <v>334</v>
      </c>
      <c r="B51" s="114" t="s">
        <v>192</v>
      </c>
      <c r="C51" s="174"/>
      <c r="D51" s="174"/>
      <c r="E51" s="110">
        <v>379087</v>
      </c>
    </row>
    <row r="52" spans="1:5" s="181" customFormat="1" ht="12" customHeight="1" thickBot="1">
      <c r="A52" s="18" t="s">
        <v>11</v>
      </c>
      <c r="B52" s="19" t="s">
        <v>193</v>
      </c>
      <c r="C52" s="169">
        <f>SUM(C53:C57)</f>
        <v>0</v>
      </c>
      <c r="D52" s="169">
        <f>SUM(D53:D57)</f>
        <v>0</v>
      </c>
      <c r="E52" s="105">
        <f>SUM(E53:E57)</f>
        <v>4000000</v>
      </c>
    </row>
    <row r="53" spans="1:5" s="181" customFormat="1" ht="12" customHeight="1">
      <c r="A53" s="13" t="s">
        <v>59</v>
      </c>
      <c r="B53" s="182" t="s">
        <v>197</v>
      </c>
      <c r="C53" s="222"/>
      <c r="D53" s="222"/>
      <c r="E53" s="111"/>
    </row>
    <row r="54" spans="1:5" s="181" customFormat="1" ht="12" customHeight="1">
      <c r="A54" s="12" t="s">
        <v>60</v>
      </c>
      <c r="B54" s="183" t="s">
        <v>198</v>
      </c>
      <c r="C54" s="173"/>
      <c r="D54" s="173"/>
      <c r="E54" s="109">
        <v>4000000</v>
      </c>
    </row>
    <row r="55" spans="1:5" s="181" customFormat="1" ht="12" customHeight="1">
      <c r="A55" s="12" t="s">
        <v>194</v>
      </c>
      <c r="B55" s="183" t="s">
        <v>199</v>
      </c>
      <c r="C55" s="173"/>
      <c r="D55" s="173"/>
      <c r="E55" s="109"/>
    </row>
    <row r="56" spans="1:5" s="181" customFormat="1" ht="12" customHeight="1">
      <c r="A56" s="12" t="s">
        <v>195</v>
      </c>
      <c r="B56" s="183" t="s">
        <v>200</v>
      </c>
      <c r="C56" s="173"/>
      <c r="D56" s="173"/>
      <c r="E56" s="109"/>
    </row>
    <row r="57" spans="1:5" s="181" customFormat="1" ht="12" customHeight="1" thickBot="1">
      <c r="A57" s="14" t="s">
        <v>196</v>
      </c>
      <c r="B57" s="114" t="s">
        <v>201</v>
      </c>
      <c r="C57" s="174"/>
      <c r="D57" s="174"/>
      <c r="E57" s="110"/>
    </row>
    <row r="58" spans="1:5" s="181" customFormat="1" ht="12" customHeight="1" thickBot="1">
      <c r="A58" s="18" t="s">
        <v>119</v>
      </c>
      <c r="B58" s="19" t="s">
        <v>202</v>
      </c>
      <c r="C58" s="169">
        <f>SUM(C59:C61)</f>
        <v>0</v>
      </c>
      <c r="D58" s="169">
        <f>SUM(D59:D61)</f>
        <v>0</v>
      </c>
      <c r="E58" s="105">
        <f>SUM(E59:E61)</f>
        <v>100000</v>
      </c>
    </row>
    <row r="59" spans="1:5" s="181" customFormat="1" ht="12" customHeight="1">
      <c r="A59" s="13" t="s">
        <v>61</v>
      </c>
      <c r="B59" s="182" t="s">
        <v>203</v>
      </c>
      <c r="C59" s="171"/>
      <c r="D59" s="171"/>
      <c r="E59" s="107"/>
    </row>
    <row r="60" spans="1:5" s="181" customFormat="1" ht="12" customHeight="1">
      <c r="A60" s="12" t="s">
        <v>62</v>
      </c>
      <c r="B60" s="183" t="s">
        <v>327</v>
      </c>
      <c r="C60" s="170"/>
      <c r="D60" s="170"/>
      <c r="E60" s="106"/>
    </row>
    <row r="61" spans="1:5" s="181" customFormat="1" ht="12" customHeight="1">
      <c r="A61" s="12" t="s">
        <v>206</v>
      </c>
      <c r="B61" s="183" t="s">
        <v>204</v>
      </c>
      <c r="C61" s="170"/>
      <c r="D61" s="170"/>
      <c r="E61" s="106">
        <v>100000</v>
      </c>
    </row>
    <row r="62" spans="1:5" s="181" customFormat="1" ht="12" customHeight="1" thickBot="1">
      <c r="A62" s="14" t="s">
        <v>207</v>
      </c>
      <c r="B62" s="114" t="s">
        <v>205</v>
      </c>
      <c r="C62" s="172"/>
      <c r="D62" s="172"/>
      <c r="E62" s="108"/>
    </row>
    <row r="63" spans="1:5" s="181" customFormat="1" ht="12" customHeight="1" thickBot="1">
      <c r="A63" s="18" t="s">
        <v>13</v>
      </c>
      <c r="B63" s="112" t="s">
        <v>208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>
      <c r="A64" s="13" t="s">
        <v>120</v>
      </c>
      <c r="B64" s="182" t="s">
        <v>210</v>
      </c>
      <c r="C64" s="173"/>
      <c r="D64" s="173"/>
      <c r="E64" s="109"/>
    </row>
    <row r="65" spans="1:5" s="181" customFormat="1" ht="12" customHeight="1">
      <c r="A65" s="12" t="s">
        <v>121</v>
      </c>
      <c r="B65" s="183" t="s">
        <v>328</v>
      </c>
      <c r="C65" s="173"/>
      <c r="D65" s="173"/>
      <c r="E65" s="109"/>
    </row>
    <row r="66" spans="1:5" s="181" customFormat="1" ht="12" customHeight="1">
      <c r="A66" s="12" t="s">
        <v>143</v>
      </c>
      <c r="B66" s="183" t="s">
        <v>211</v>
      </c>
      <c r="C66" s="173"/>
      <c r="D66" s="173"/>
      <c r="E66" s="109"/>
    </row>
    <row r="67" spans="1:5" s="181" customFormat="1" ht="12" customHeight="1" thickBot="1">
      <c r="A67" s="14" t="s">
        <v>209</v>
      </c>
      <c r="B67" s="114" t="s">
        <v>212</v>
      </c>
      <c r="C67" s="173"/>
      <c r="D67" s="173"/>
      <c r="E67" s="109"/>
    </row>
    <row r="68" spans="1:5" s="181" customFormat="1" ht="12" customHeight="1" thickBot="1">
      <c r="A68" s="237" t="s">
        <v>375</v>
      </c>
      <c r="B68" s="19" t="s">
        <v>213</v>
      </c>
      <c r="C68" s="175">
        <f>+C11+C18+C25+C32+C40+C52+C58+C63</f>
        <v>82518989</v>
      </c>
      <c r="D68" s="175">
        <f>+D11+D18+D25+D32+D40+D52+D58+D63</f>
        <v>101498368</v>
      </c>
      <c r="E68" s="211">
        <f>+E11+E18+E25+E32+E40+E52+E58+E63</f>
        <v>120728238</v>
      </c>
    </row>
    <row r="69" spans="1:5" s="181" customFormat="1" ht="12" customHeight="1" thickBot="1">
      <c r="A69" s="223" t="s">
        <v>214</v>
      </c>
      <c r="B69" s="112" t="s">
        <v>215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>
      <c r="A70" s="13" t="s">
        <v>243</v>
      </c>
      <c r="B70" s="182" t="s">
        <v>216</v>
      </c>
      <c r="C70" s="173"/>
      <c r="D70" s="173"/>
      <c r="E70" s="109"/>
    </row>
    <row r="71" spans="1:5" s="181" customFormat="1" ht="12" customHeight="1">
      <c r="A71" s="12" t="s">
        <v>252</v>
      </c>
      <c r="B71" s="183" t="s">
        <v>217</v>
      </c>
      <c r="C71" s="173"/>
      <c r="D71" s="173"/>
      <c r="E71" s="109"/>
    </row>
    <row r="72" spans="1:5" s="181" customFormat="1" ht="12" customHeight="1" thickBot="1">
      <c r="A72" s="14" t="s">
        <v>253</v>
      </c>
      <c r="B72" s="233" t="s">
        <v>360</v>
      </c>
      <c r="C72" s="173"/>
      <c r="D72" s="173"/>
      <c r="E72" s="109"/>
    </row>
    <row r="73" spans="1:5" s="181" customFormat="1" ht="12" customHeight="1" thickBot="1">
      <c r="A73" s="223" t="s">
        <v>219</v>
      </c>
      <c r="B73" s="112" t="s">
        <v>220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>
      <c r="A74" s="13" t="s">
        <v>98</v>
      </c>
      <c r="B74" s="312" t="s">
        <v>221</v>
      </c>
      <c r="C74" s="173"/>
      <c r="D74" s="173"/>
      <c r="E74" s="109"/>
    </row>
    <row r="75" spans="1:5" s="181" customFormat="1" ht="12" customHeight="1">
      <c r="A75" s="12" t="s">
        <v>99</v>
      </c>
      <c r="B75" s="312" t="s">
        <v>487</v>
      </c>
      <c r="C75" s="173"/>
      <c r="D75" s="173"/>
      <c r="E75" s="109"/>
    </row>
    <row r="76" spans="1:5" s="181" customFormat="1" ht="12" customHeight="1">
      <c r="A76" s="12" t="s">
        <v>244</v>
      </c>
      <c r="B76" s="312" t="s">
        <v>222</v>
      </c>
      <c r="C76" s="173"/>
      <c r="D76" s="173"/>
      <c r="E76" s="109"/>
    </row>
    <row r="77" spans="1:5" s="181" customFormat="1" ht="12" customHeight="1" thickBot="1">
      <c r="A77" s="14" t="s">
        <v>245</v>
      </c>
      <c r="B77" s="313" t="s">
        <v>488</v>
      </c>
      <c r="C77" s="173"/>
      <c r="D77" s="173"/>
      <c r="E77" s="109"/>
    </row>
    <row r="78" spans="1:5" s="181" customFormat="1" ht="12" customHeight="1" thickBot="1">
      <c r="A78" s="223" t="s">
        <v>223</v>
      </c>
      <c r="B78" s="112" t="s">
        <v>224</v>
      </c>
      <c r="C78" s="169">
        <f>SUM(C79:C80)</f>
        <v>113599319</v>
      </c>
      <c r="D78" s="169">
        <f>SUM(D79:D80)</f>
        <v>113599319</v>
      </c>
      <c r="E78" s="105">
        <f>SUM(E79:E80)</f>
        <v>109303836</v>
      </c>
    </row>
    <row r="79" spans="1:5" s="181" customFormat="1" ht="12" customHeight="1">
      <c r="A79" s="13" t="s">
        <v>246</v>
      </c>
      <c r="B79" s="182" t="s">
        <v>225</v>
      </c>
      <c r="C79" s="173">
        <v>113599319</v>
      </c>
      <c r="D79" s="173">
        <v>113599319</v>
      </c>
      <c r="E79" s="109">
        <v>109303836</v>
      </c>
    </row>
    <row r="80" spans="1:5" s="181" customFormat="1" ht="12" customHeight="1" thickBot="1">
      <c r="A80" s="14" t="s">
        <v>247</v>
      </c>
      <c r="B80" s="114" t="s">
        <v>226</v>
      </c>
      <c r="C80" s="173"/>
      <c r="D80" s="173"/>
      <c r="E80" s="109"/>
    </row>
    <row r="81" spans="1:5" s="181" customFormat="1" ht="12" customHeight="1" thickBot="1">
      <c r="A81" s="223" t="s">
        <v>227</v>
      </c>
      <c r="B81" s="112" t="s">
        <v>228</v>
      </c>
      <c r="C81" s="169">
        <f>SUM(C82:C84)</f>
        <v>0</v>
      </c>
      <c r="D81" s="169">
        <f>SUM(D82:D84)</f>
        <v>1309301</v>
      </c>
      <c r="E81" s="105">
        <f>SUM(E82:E84)</f>
        <v>2400550</v>
      </c>
    </row>
    <row r="82" spans="1:5" s="181" customFormat="1" ht="12" customHeight="1">
      <c r="A82" s="13" t="s">
        <v>248</v>
      </c>
      <c r="B82" s="182" t="s">
        <v>229</v>
      </c>
      <c r="C82" s="173"/>
      <c r="D82" s="173">
        <v>1309301</v>
      </c>
      <c r="E82" s="109">
        <v>2400550</v>
      </c>
    </row>
    <row r="83" spans="1:5" s="181" customFormat="1" ht="12" customHeight="1">
      <c r="A83" s="12" t="s">
        <v>249</v>
      </c>
      <c r="B83" s="183" t="s">
        <v>230</v>
      </c>
      <c r="C83" s="173"/>
      <c r="D83" s="173"/>
      <c r="E83" s="109"/>
    </row>
    <row r="84" spans="1:5" s="181" customFormat="1" ht="12" customHeight="1" thickBot="1">
      <c r="A84" s="14" t="s">
        <v>250</v>
      </c>
      <c r="B84" s="114" t="s">
        <v>489</v>
      </c>
      <c r="C84" s="173"/>
      <c r="D84" s="173"/>
      <c r="E84" s="109"/>
    </row>
    <row r="85" spans="1:5" s="181" customFormat="1" ht="12" customHeight="1" thickBot="1">
      <c r="A85" s="223" t="s">
        <v>231</v>
      </c>
      <c r="B85" s="112" t="s">
        <v>251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>
      <c r="A86" s="186" t="s">
        <v>232</v>
      </c>
      <c r="B86" s="182" t="s">
        <v>233</v>
      </c>
      <c r="C86" s="173"/>
      <c r="D86" s="173"/>
      <c r="E86" s="109"/>
    </row>
    <row r="87" spans="1:5" s="181" customFormat="1" ht="12" customHeight="1">
      <c r="A87" s="187" t="s">
        <v>234</v>
      </c>
      <c r="B87" s="183" t="s">
        <v>235</v>
      </c>
      <c r="C87" s="173"/>
      <c r="D87" s="173"/>
      <c r="E87" s="109"/>
    </row>
    <row r="88" spans="1:5" s="181" customFormat="1" ht="12" customHeight="1">
      <c r="A88" s="187" t="s">
        <v>236</v>
      </c>
      <c r="B88" s="183" t="s">
        <v>237</v>
      </c>
      <c r="C88" s="173"/>
      <c r="D88" s="173"/>
      <c r="E88" s="109"/>
    </row>
    <row r="89" spans="1:5" s="181" customFormat="1" ht="12" customHeight="1" thickBot="1">
      <c r="A89" s="188" t="s">
        <v>238</v>
      </c>
      <c r="B89" s="114" t="s">
        <v>239</v>
      </c>
      <c r="C89" s="173"/>
      <c r="D89" s="173"/>
      <c r="E89" s="109"/>
    </row>
    <row r="90" spans="1:5" s="181" customFormat="1" ht="12" customHeight="1" thickBot="1">
      <c r="A90" s="223" t="s">
        <v>240</v>
      </c>
      <c r="B90" s="112" t="s">
        <v>374</v>
      </c>
      <c r="C90" s="225"/>
      <c r="D90" s="225"/>
      <c r="E90" s="226"/>
    </row>
    <row r="91" spans="1:5" s="181" customFormat="1" ht="13.5" customHeight="1" thickBot="1">
      <c r="A91" s="223" t="s">
        <v>242</v>
      </c>
      <c r="B91" s="112" t="s">
        <v>241</v>
      </c>
      <c r="C91" s="225"/>
      <c r="D91" s="225"/>
      <c r="E91" s="226"/>
    </row>
    <row r="92" spans="1:5" s="181" customFormat="1" ht="15.75" customHeight="1" thickBot="1">
      <c r="A92" s="223" t="s">
        <v>254</v>
      </c>
      <c r="B92" s="189" t="s">
        <v>377</v>
      </c>
      <c r="C92" s="175">
        <f>+C69+C73+C78+C81+C85+C91+C90</f>
        <v>113599319</v>
      </c>
      <c r="D92" s="175">
        <f>+D69+D73+D78+D81+D85+D91+D90</f>
        <v>114908620</v>
      </c>
      <c r="E92" s="211">
        <f>+E69+E73+E78+E81+E85+E91+E90</f>
        <v>111704386</v>
      </c>
    </row>
    <row r="93" spans="1:5" s="181" customFormat="1" ht="25.5" customHeight="1" thickBot="1">
      <c r="A93" s="224" t="s">
        <v>376</v>
      </c>
      <c r="B93" s="190" t="s">
        <v>378</v>
      </c>
      <c r="C93" s="175">
        <f>+C68+C92</f>
        <v>196118308</v>
      </c>
      <c r="D93" s="175">
        <f>+D68+D92</f>
        <v>216406988</v>
      </c>
      <c r="E93" s="211">
        <f>+E68+E92</f>
        <v>232432624</v>
      </c>
    </row>
    <row r="94" spans="1:5" s="181" customFormat="1" ht="15.2" customHeight="1">
      <c r="A94" s="3"/>
      <c r="B94" s="4"/>
      <c r="C94" s="116"/>
    </row>
    <row r="95" spans="1:5" ht="16.5" customHeight="1">
      <c r="A95" s="793" t="s">
        <v>34</v>
      </c>
      <c r="B95" s="793"/>
      <c r="C95" s="793"/>
      <c r="D95" s="793"/>
      <c r="E95" s="793"/>
    </row>
    <row r="96" spans="1:5" s="191" customFormat="1" ht="16.5" customHeight="1" thickBot="1">
      <c r="A96" s="795" t="s">
        <v>101</v>
      </c>
      <c r="B96" s="795"/>
      <c r="C96" s="63"/>
      <c r="E96" s="63" t="str">
        <f>E7</f>
        <v xml:space="preserve"> Forintban!</v>
      </c>
    </row>
    <row r="97" spans="1:5" ht="15.75" customHeight="1">
      <c r="A97" s="784" t="s">
        <v>51</v>
      </c>
      <c r="B97" s="786" t="s">
        <v>417</v>
      </c>
      <c r="C97" s="788" t="str">
        <f>+CONCATENATE(LEFT(Z_ÖSSZEFÜGGÉSEK!A6,4),". évi")</f>
        <v>2020. évi</v>
      </c>
      <c r="D97" s="789"/>
      <c r="E97" s="790"/>
    </row>
    <row r="98" spans="1:5" ht="24.75" thickBot="1">
      <c r="A98" s="785"/>
      <c r="B98" s="787"/>
      <c r="C98" s="254" t="s">
        <v>415</v>
      </c>
      <c r="D98" s="253" t="s">
        <v>416</v>
      </c>
      <c r="E98" s="314" t="str">
        <f>CONCATENATE(E9)</f>
        <v>2020. XII. 31.
teljesítés</v>
      </c>
    </row>
    <row r="99" spans="1:5" s="180" customFormat="1" ht="12" customHeight="1" thickBot="1">
      <c r="A99" s="25" t="s">
        <v>382</v>
      </c>
      <c r="B99" s="26" t="s">
        <v>383</v>
      </c>
      <c r="C99" s="26" t="s">
        <v>384</v>
      </c>
      <c r="D99" s="26" t="s">
        <v>386</v>
      </c>
      <c r="E99" s="265" t="s">
        <v>385</v>
      </c>
    </row>
    <row r="100" spans="1:5" ht="12" customHeight="1" thickBot="1">
      <c r="A100" s="20" t="s">
        <v>6</v>
      </c>
      <c r="B100" s="24" t="s">
        <v>336</v>
      </c>
      <c r="C100" s="168">
        <f>C101+C102+C103+C104+C105+C118</f>
        <v>102747481</v>
      </c>
      <c r="D100" s="168">
        <f>D101+D102+D103+D104+D105+D118</f>
        <v>115482903</v>
      </c>
      <c r="E100" s="240">
        <f>E101+E102+E103+E104+E105+E118</f>
        <v>94990592</v>
      </c>
    </row>
    <row r="101" spans="1:5" ht="12" customHeight="1">
      <c r="A101" s="15" t="s">
        <v>63</v>
      </c>
      <c r="B101" s="8" t="s">
        <v>35</v>
      </c>
      <c r="C101" s="247">
        <v>38799930</v>
      </c>
      <c r="D101" s="247">
        <v>38750937</v>
      </c>
      <c r="E101" s="241">
        <v>35281151</v>
      </c>
    </row>
    <row r="102" spans="1:5" ht="12" customHeight="1">
      <c r="A102" s="12" t="s">
        <v>64</v>
      </c>
      <c r="B102" s="6" t="s">
        <v>122</v>
      </c>
      <c r="C102" s="170">
        <v>6439612</v>
      </c>
      <c r="D102" s="170">
        <v>6506498</v>
      </c>
      <c r="E102" s="106">
        <v>5342314</v>
      </c>
    </row>
    <row r="103" spans="1:5" ht="12" customHeight="1">
      <c r="A103" s="12" t="s">
        <v>65</v>
      </c>
      <c r="B103" s="6" t="s">
        <v>90</v>
      </c>
      <c r="C103" s="172">
        <v>49002939</v>
      </c>
      <c r="D103" s="172">
        <v>56315669</v>
      </c>
      <c r="E103" s="108">
        <v>49407214</v>
      </c>
    </row>
    <row r="104" spans="1:5" ht="12" customHeight="1">
      <c r="A104" s="12" t="s">
        <v>66</v>
      </c>
      <c r="B104" s="9" t="s">
        <v>123</v>
      </c>
      <c r="C104" s="172">
        <v>2405000</v>
      </c>
      <c r="D104" s="172">
        <v>3855821</v>
      </c>
      <c r="E104" s="108">
        <v>2376139</v>
      </c>
    </row>
    <row r="105" spans="1:5" ht="12" customHeight="1">
      <c r="A105" s="12" t="s">
        <v>75</v>
      </c>
      <c r="B105" s="17" t="s">
        <v>124</v>
      </c>
      <c r="C105" s="172">
        <v>6100000</v>
      </c>
      <c r="D105" s="172">
        <v>5902905</v>
      </c>
      <c r="E105" s="108">
        <v>2583774</v>
      </c>
    </row>
    <row r="106" spans="1:5" ht="12" customHeight="1">
      <c r="A106" s="12" t="s">
        <v>67</v>
      </c>
      <c r="B106" s="6" t="s">
        <v>341</v>
      </c>
      <c r="C106" s="172"/>
      <c r="D106" s="172"/>
      <c r="E106" s="108"/>
    </row>
    <row r="107" spans="1:5" ht="12" customHeight="1">
      <c r="A107" s="12" t="s">
        <v>68</v>
      </c>
      <c r="B107" s="67" t="s">
        <v>340</v>
      </c>
      <c r="C107" s="172"/>
      <c r="D107" s="172"/>
      <c r="E107" s="108"/>
    </row>
    <row r="108" spans="1:5" ht="12" customHeight="1">
      <c r="A108" s="12" t="s">
        <v>76</v>
      </c>
      <c r="B108" s="67" t="s">
        <v>339</v>
      </c>
      <c r="C108" s="172"/>
      <c r="D108" s="172">
        <v>425833</v>
      </c>
      <c r="E108" s="108"/>
    </row>
    <row r="109" spans="1:5" ht="12" customHeight="1">
      <c r="A109" s="12" t="s">
        <v>77</v>
      </c>
      <c r="B109" s="65" t="s">
        <v>257</v>
      </c>
      <c r="C109" s="172"/>
      <c r="D109" s="172"/>
      <c r="E109" s="108"/>
    </row>
    <row r="110" spans="1:5" ht="12" customHeight="1">
      <c r="A110" s="12" t="s">
        <v>78</v>
      </c>
      <c r="B110" s="66" t="s">
        <v>258</v>
      </c>
      <c r="C110" s="172"/>
      <c r="D110" s="172"/>
      <c r="E110" s="108"/>
    </row>
    <row r="111" spans="1:5" ht="12" customHeight="1">
      <c r="A111" s="12" t="s">
        <v>79</v>
      </c>
      <c r="B111" s="66" t="s">
        <v>259</v>
      </c>
      <c r="C111" s="172"/>
      <c r="D111" s="172"/>
      <c r="E111" s="108"/>
    </row>
    <row r="112" spans="1:5" ht="12" customHeight="1">
      <c r="A112" s="12" t="s">
        <v>81</v>
      </c>
      <c r="B112" s="65" t="s">
        <v>260</v>
      </c>
      <c r="C112" s="172">
        <v>5200000</v>
      </c>
      <c r="D112" s="172">
        <v>4577072</v>
      </c>
      <c r="E112" s="108"/>
    </row>
    <row r="113" spans="1:5" ht="12" customHeight="1">
      <c r="A113" s="12" t="s">
        <v>125</v>
      </c>
      <c r="B113" s="65" t="s">
        <v>261</v>
      </c>
      <c r="C113" s="172"/>
      <c r="D113" s="172"/>
      <c r="E113" s="108"/>
    </row>
    <row r="114" spans="1:5" ht="12" customHeight="1">
      <c r="A114" s="12" t="s">
        <v>255</v>
      </c>
      <c r="B114" s="66" t="s">
        <v>262</v>
      </c>
      <c r="C114" s="172"/>
      <c r="D114" s="172"/>
      <c r="E114" s="108"/>
    </row>
    <row r="115" spans="1:5" ht="12" customHeight="1">
      <c r="A115" s="11" t="s">
        <v>256</v>
      </c>
      <c r="B115" s="67" t="s">
        <v>263</v>
      </c>
      <c r="C115" s="172"/>
      <c r="D115" s="172"/>
      <c r="E115" s="108"/>
    </row>
    <row r="116" spans="1:5" ht="12" customHeight="1">
      <c r="A116" s="12" t="s">
        <v>337</v>
      </c>
      <c r="B116" s="67" t="s">
        <v>264</v>
      </c>
      <c r="C116" s="172"/>
      <c r="D116" s="172"/>
      <c r="E116" s="108"/>
    </row>
    <row r="117" spans="1:5" ht="12" customHeight="1">
      <c r="A117" s="14" t="s">
        <v>338</v>
      </c>
      <c r="B117" s="67" t="s">
        <v>265</v>
      </c>
      <c r="C117" s="172">
        <v>900000</v>
      </c>
      <c r="D117" s="172">
        <v>900000</v>
      </c>
      <c r="E117" s="108"/>
    </row>
    <row r="118" spans="1:5" ht="12" customHeight="1">
      <c r="A118" s="12" t="s">
        <v>342</v>
      </c>
      <c r="B118" s="9" t="s">
        <v>36</v>
      </c>
      <c r="C118" s="170"/>
      <c r="D118" s="170">
        <v>4151073</v>
      </c>
      <c r="E118" s="106">
        <v>0</v>
      </c>
    </row>
    <row r="119" spans="1:5" ht="12" customHeight="1">
      <c r="A119" s="12" t="s">
        <v>343</v>
      </c>
      <c r="B119" s="6" t="s">
        <v>345</v>
      </c>
      <c r="C119" s="170"/>
      <c r="D119" s="170"/>
      <c r="E119" s="106"/>
    </row>
    <row r="120" spans="1:5" ht="12" customHeight="1" thickBot="1">
      <c r="A120" s="16" t="s">
        <v>344</v>
      </c>
      <c r="B120" s="236" t="s">
        <v>346</v>
      </c>
      <c r="C120" s="248"/>
      <c r="D120" s="248"/>
      <c r="E120" s="242"/>
    </row>
    <row r="121" spans="1:5" ht="12" customHeight="1" thickBot="1">
      <c r="A121" s="234" t="s">
        <v>7</v>
      </c>
      <c r="B121" s="235" t="s">
        <v>266</v>
      </c>
      <c r="C121" s="249">
        <f>+C122+C124+C126</f>
        <v>92907250</v>
      </c>
      <c r="D121" s="169">
        <f>+D122+D124+D126</f>
        <v>99165250</v>
      </c>
      <c r="E121" s="243">
        <f>+E122+E124+E126</f>
        <v>22204549</v>
      </c>
    </row>
    <row r="122" spans="1:5" ht="12" customHeight="1">
      <c r="A122" s="13" t="s">
        <v>69</v>
      </c>
      <c r="B122" s="6" t="s">
        <v>142</v>
      </c>
      <c r="C122" s="171">
        <v>92907250</v>
      </c>
      <c r="D122" s="258">
        <v>92915250</v>
      </c>
      <c r="E122" s="107">
        <v>16088288</v>
      </c>
    </row>
    <row r="123" spans="1:5" ht="12" customHeight="1">
      <c r="A123" s="13" t="s">
        <v>70</v>
      </c>
      <c r="B123" s="10" t="s">
        <v>270</v>
      </c>
      <c r="C123" s="171"/>
      <c r="D123" s="258"/>
      <c r="E123" s="107"/>
    </row>
    <row r="124" spans="1:5" ht="12" customHeight="1">
      <c r="A124" s="13" t="s">
        <v>71</v>
      </c>
      <c r="B124" s="10" t="s">
        <v>126</v>
      </c>
      <c r="C124" s="170"/>
      <c r="D124" s="259">
        <v>6250000</v>
      </c>
      <c r="E124" s="106">
        <v>6116261</v>
      </c>
    </row>
    <row r="125" spans="1:5" ht="12" customHeight="1">
      <c r="A125" s="13" t="s">
        <v>72</v>
      </c>
      <c r="B125" s="10" t="s">
        <v>271</v>
      </c>
      <c r="C125" s="170"/>
      <c r="D125" s="259"/>
      <c r="E125" s="106"/>
    </row>
    <row r="126" spans="1:5" ht="12" customHeight="1">
      <c r="A126" s="13" t="s">
        <v>73</v>
      </c>
      <c r="B126" s="114" t="s">
        <v>144</v>
      </c>
      <c r="C126" s="170"/>
      <c r="D126" s="259"/>
      <c r="E126" s="106"/>
    </row>
    <row r="127" spans="1:5" ht="12" customHeight="1">
      <c r="A127" s="13" t="s">
        <v>80</v>
      </c>
      <c r="B127" s="113" t="s">
        <v>329</v>
      </c>
      <c r="C127" s="170"/>
      <c r="D127" s="259"/>
      <c r="E127" s="106"/>
    </row>
    <row r="128" spans="1:5" ht="12" customHeight="1">
      <c r="A128" s="13" t="s">
        <v>82</v>
      </c>
      <c r="B128" s="178" t="s">
        <v>276</v>
      </c>
      <c r="C128" s="170"/>
      <c r="D128" s="259"/>
      <c r="E128" s="106"/>
    </row>
    <row r="129" spans="1:5">
      <c r="A129" s="13" t="s">
        <v>127</v>
      </c>
      <c r="B129" s="66" t="s">
        <v>259</v>
      </c>
      <c r="C129" s="170"/>
      <c r="D129" s="259"/>
      <c r="E129" s="106"/>
    </row>
    <row r="130" spans="1:5" ht="12" customHeight="1">
      <c r="A130" s="13" t="s">
        <v>128</v>
      </c>
      <c r="B130" s="66" t="s">
        <v>275</v>
      </c>
      <c r="C130" s="170"/>
      <c r="D130" s="259"/>
      <c r="E130" s="106"/>
    </row>
    <row r="131" spans="1:5" ht="12" customHeight="1">
      <c r="A131" s="13" t="s">
        <v>129</v>
      </c>
      <c r="B131" s="66" t="s">
        <v>274</v>
      </c>
      <c r="C131" s="170"/>
      <c r="D131" s="259"/>
      <c r="E131" s="106"/>
    </row>
    <row r="132" spans="1:5" ht="12" customHeight="1">
      <c r="A132" s="13" t="s">
        <v>267</v>
      </c>
      <c r="B132" s="66" t="s">
        <v>262</v>
      </c>
      <c r="C132" s="170"/>
      <c r="D132" s="259"/>
      <c r="E132" s="106"/>
    </row>
    <row r="133" spans="1:5" ht="12" customHeight="1">
      <c r="A133" s="13" t="s">
        <v>268</v>
      </c>
      <c r="B133" s="66" t="s">
        <v>273</v>
      </c>
      <c r="C133" s="170"/>
      <c r="D133" s="259"/>
      <c r="E133" s="106"/>
    </row>
    <row r="134" spans="1:5" ht="16.5" thickBot="1">
      <c r="A134" s="11" t="s">
        <v>269</v>
      </c>
      <c r="B134" s="66" t="s">
        <v>272</v>
      </c>
      <c r="C134" s="172"/>
      <c r="D134" s="260"/>
      <c r="E134" s="108"/>
    </row>
    <row r="135" spans="1:5" ht="12" customHeight="1" thickBot="1">
      <c r="A135" s="18" t="s">
        <v>8</v>
      </c>
      <c r="B135" s="59" t="s">
        <v>347</v>
      </c>
      <c r="C135" s="169">
        <f>+C100+C121</f>
        <v>195654731</v>
      </c>
      <c r="D135" s="257">
        <f>+D100+D121</f>
        <v>214648153</v>
      </c>
      <c r="E135" s="105">
        <f>+E100+E121</f>
        <v>117195141</v>
      </c>
    </row>
    <row r="136" spans="1:5" ht="12" customHeight="1" thickBot="1">
      <c r="A136" s="18" t="s">
        <v>9</v>
      </c>
      <c r="B136" s="59" t="s">
        <v>418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>
      <c r="A137" s="13" t="s">
        <v>176</v>
      </c>
      <c r="B137" s="10" t="s">
        <v>355</v>
      </c>
      <c r="C137" s="170"/>
      <c r="D137" s="259"/>
      <c r="E137" s="106"/>
    </row>
    <row r="138" spans="1:5" ht="12" customHeight="1">
      <c r="A138" s="13" t="s">
        <v>177</v>
      </c>
      <c r="B138" s="10" t="s">
        <v>356</v>
      </c>
      <c r="C138" s="170"/>
      <c r="D138" s="259"/>
      <c r="E138" s="106"/>
    </row>
    <row r="139" spans="1:5" ht="12" customHeight="1" thickBot="1">
      <c r="A139" s="11" t="s">
        <v>178</v>
      </c>
      <c r="B139" s="10" t="s">
        <v>357</v>
      </c>
      <c r="C139" s="170"/>
      <c r="D139" s="259"/>
      <c r="E139" s="106"/>
    </row>
    <row r="140" spans="1:5" ht="12" customHeight="1" thickBot="1">
      <c r="A140" s="18" t="s">
        <v>10</v>
      </c>
      <c r="B140" s="59" t="s">
        <v>349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>
      <c r="A141" s="13" t="s">
        <v>56</v>
      </c>
      <c r="B141" s="7" t="s">
        <v>358</v>
      </c>
      <c r="C141" s="170"/>
      <c r="D141" s="259"/>
      <c r="E141" s="106"/>
    </row>
    <row r="142" spans="1:5" ht="12" customHeight="1">
      <c r="A142" s="13" t="s">
        <v>57</v>
      </c>
      <c r="B142" s="7" t="s">
        <v>350</v>
      </c>
      <c r="C142" s="170"/>
      <c r="D142" s="259"/>
      <c r="E142" s="106"/>
    </row>
    <row r="143" spans="1:5" ht="12" customHeight="1">
      <c r="A143" s="13" t="s">
        <v>58</v>
      </c>
      <c r="B143" s="7" t="s">
        <v>351</v>
      </c>
      <c r="C143" s="170"/>
      <c r="D143" s="259"/>
      <c r="E143" s="106"/>
    </row>
    <row r="144" spans="1:5" ht="12" customHeight="1">
      <c r="A144" s="13" t="s">
        <v>114</v>
      </c>
      <c r="B144" s="7" t="s">
        <v>352</v>
      </c>
      <c r="C144" s="170"/>
      <c r="D144" s="259"/>
      <c r="E144" s="106"/>
    </row>
    <row r="145" spans="1:9" ht="12" customHeight="1">
      <c r="A145" s="13" t="s">
        <v>115</v>
      </c>
      <c r="B145" s="7" t="s">
        <v>353</v>
      </c>
      <c r="C145" s="170"/>
      <c r="D145" s="259"/>
      <c r="E145" s="106"/>
    </row>
    <row r="146" spans="1:9" ht="12" customHeight="1" thickBot="1">
      <c r="A146" s="16" t="s">
        <v>116</v>
      </c>
      <c r="B146" s="320" t="s">
        <v>354</v>
      </c>
      <c r="C146" s="248"/>
      <c r="D146" s="297"/>
      <c r="E146" s="242"/>
    </row>
    <row r="147" spans="1:9" ht="12" customHeight="1" thickBot="1">
      <c r="A147" s="18" t="s">
        <v>11</v>
      </c>
      <c r="B147" s="59" t="s">
        <v>362</v>
      </c>
      <c r="C147" s="175">
        <f>+C148+C149+C150+C151</f>
        <v>463577</v>
      </c>
      <c r="D147" s="261">
        <f>+D148+D149+D150+D151</f>
        <v>1758835</v>
      </c>
      <c r="E147" s="211">
        <f>+E148+E149+E150+E151</f>
        <v>1758835</v>
      </c>
    </row>
    <row r="148" spans="1:9" ht="12" customHeight="1">
      <c r="A148" s="13" t="s">
        <v>59</v>
      </c>
      <c r="B148" s="7" t="s">
        <v>277</v>
      </c>
      <c r="C148" s="170"/>
      <c r="D148" s="259"/>
      <c r="E148" s="106"/>
    </row>
    <row r="149" spans="1:9" ht="12" customHeight="1">
      <c r="A149" s="13" t="s">
        <v>60</v>
      </c>
      <c r="B149" s="7" t="s">
        <v>278</v>
      </c>
      <c r="C149" s="170">
        <v>463577</v>
      </c>
      <c r="D149" s="259">
        <v>1758835</v>
      </c>
      <c r="E149" s="106">
        <v>1758835</v>
      </c>
    </row>
    <row r="150" spans="1:9" ht="12" customHeight="1">
      <c r="A150" s="13" t="s">
        <v>194</v>
      </c>
      <c r="B150" s="7" t="s">
        <v>363</v>
      </c>
      <c r="C150" s="170"/>
      <c r="D150" s="259"/>
      <c r="E150" s="106"/>
    </row>
    <row r="151" spans="1:9" ht="12" customHeight="1" thickBot="1">
      <c r="A151" s="11" t="s">
        <v>195</v>
      </c>
      <c r="B151" s="5" t="s">
        <v>293</v>
      </c>
      <c r="C151" s="170"/>
      <c r="D151" s="259"/>
      <c r="E151" s="106"/>
    </row>
    <row r="152" spans="1:9" ht="12" customHeight="1" thickBot="1">
      <c r="A152" s="18" t="s">
        <v>12</v>
      </c>
      <c r="B152" s="59" t="s">
        <v>364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>
      <c r="A153" s="13" t="s">
        <v>61</v>
      </c>
      <c r="B153" s="7" t="s">
        <v>359</v>
      </c>
      <c r="C153" s="170"/>
      <c r="D153" s="259"/>
      <c r="E153" s="106"/>
    </row>
    <row r="154" spans="1:9" ht="12" customHeight="1">
      <c r="A154" s="13" t="s">
        <v>62</v>
      </c>
      <c r="B154" s="7" t="s">
        <v>366</v>
      </c>
      <c r="C154" s="170"/>
      <c r="D154" s="259"/>
      <c r="E154" s="106"/>
    </row>
    <row r="155" spans="1:9" ht="12" customHeight="1">
      <c r="A155" s="13" t="s">
        <v>206</v>
      </c>
      <c r="B155" s="7" t="s">
        <v>361</v>
      </c>
      <c r="C155" s="170"/>
      <c r="D155" s="259"/>
      <c r="E155" s="106"/>
    </row>
    <row r="156" spans="1:9" ht="12" customHeight="1">
      <c r="A156" s="13" t="s">
        <v>207</v>
      </c>
      <c r="B156" s="7" t="s">
        <v>367</v>
      </c>
      <c r="C156" s="170"/>
      <c r="D156" s="259"/>
      <c r="E156" s="106"/>
    </row>
    <row r="157" spans="1:9" ht="12" customHeight="1" thickBot="1">
      <c r="A157" s="13" t="s">
        <v>365</v>
      </c>
      <c r="B157" s="7" t="s">
        <v>368</v>
      </c>
      <c r="C157" s="170"/>
      <c r="D157" s="259"/>
      <c r="E157" s="106"/>
    </row>
    <row r="158" spans="1:9" ht="12" customHeight="1" thickBot="1">
      <c r="A158" s="18" t="s">
        <v>13</v>
      </c>
      <c r="B158" s="59" t="s">
        <v>369</v>
      </c>
      <c r="C158" s="251"/>
      <c r="D158" s="263"/>
      <c r="E158" s="245"/>
    </row>
    <row r="159" spans="1:9" ht="12" customHeight="1" thickBot="1">
      <c r="A159" s="18" t="s">
        <v>14</v>
      </c>
      <c r="B159" s="59" t="s">
        <v>370</v>
      </c>
      <c r="C159" s="251"/>
      <c r="D159" s="263"/>
      <c r="E159" s="245"/>
    </row>
    <row r="160" spans="1:9" ht="15.2" customHeight="1" thickBot="1">
      <c r="A160" s="18" t="s">
        <v>15</v>
      </c>
      <c r="B160" s="59" t="s">
        <v>372</v>
      </c>
      <c r="C160" s="252">
        <f>+C136+C140+C147+C152+C158+C159</f>
        <v>463577</v>
      </c>
      <c r="D160" s="264">
        <f>+D136+D140+D147+D152+D158+D159</f>
        <v>1758835</v>
      </c>
      <c r="E160" s="246">
        <f>+E136+E140+E147+E152+E158+E159</f>
        <v>1758835</v>
      </c>
      <c r="F160" s="192"/>
      <c r="G160" s="193"/>
      <c r="H160" s="193"/>
      <c r="I160" s="193"/>
    </row>
    <row r="161" spans="1:5" s="181" customFormat="1" ht="12.95" customHeight="1" thickBot="1">
      <c r="A161" s="115" t="s">
        <v>16</v>
      </c>
      <c r="B161" s="156" t="s">
        <v>371</v>
      </c>
      <c r="C161" s="252">
        <f>+C135+C160</f>
        <v>196118308</v>
      </c>
      <c r="D161" s="264">
        <f>+D135+D160</f>
        <v>216406988</v>
      </c>
      <c r="E161" s="246">
        <f>+E135+E160</f>
        <v>118953976</v>
      </c>
    </row>
    <row r="162" spans="1:5">
      <c r="C162" s="662">
        <f>C93-C161</f>
        <v>0</v>
      </c>
      <c r="D162" s="662">
        <f>D93-D161</f>
        <v>0</v>
      </c>
    </row>
    <row r="163" spans="1:5">
      <c r="A163" s="791" t="s">
        <v>279</v>
      </c>
      <c r="B163" s="791"/>
      <c r="C163" s="791"/>
      <c r="D163" s="791"/>
      <c r="E163" s="791"/>
    </row>
    <row r="164" spans="1:5" ht="15.2" customHeight="1" thickBot="1">
      <c r="A164" s="783" t="s">
        <v>102</v>
      </c>
      <c r="B164" s="783"/>
      <c r="C164" s="117"/>
      <c r="E164" s="117" t="str">
        <f>E96</f>
        <v xml:space="preserve"> Forintban!</v>
      </c>
    </row>
    <row r="165" spans="1:5" ht="25.5" customHeight="1" thickBot="1">
      <c r="A165" s="18">
        <v>1</v>
      </c>
      <c r="B165" s="23" t="s">
        <v>373</v>
      </c>
      <c r="C165" s="256">
        <f>+C68-C135</f>
        <v>-113135742</v>
      </c>
      <c r="D165" s="169">
        <f>+D68-D135</f>
        <v>-113149785</v>
      </c>
      <c r="E165" s="105">
        <f>+E68-E135</f>
        <v>3533097</v>
      </c>
    </row>
    <row r="166" spans="1:5" ht="32.450000000000003" customHeight="1" thickBot="1">
      <c r="A166" s="18" t="s">
        <v>7</v>
      </c>
      <c r="B166" s="23" t="s">
        <v>379</v>
      </c>
      <c r="C166" s="169">
        <f>+C92-C160</f>
        <v>113135742</v>
      </c>
      <c r="D166" s="169">
        <f>+D92-D160</f>
        <v>113149785</v>
      </c>
      <c r="E166" s="105">
        <f>+E92-E160</f>
        <v>109945551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CONCATENATE(Z_ALAPADATOK!M21,"2. melléklet ",Z_ALAPADATOK!A7," ",Z_ALAPADATOK!B7," ",Z_ALAPADATOK!C7," ",Z_ALAPADATOK!D7," ",Z_ALAPADATOK!E7," ",Z_ALAPADATOK!F7," ",Z_ALAPADATOK!G7," ",Z_ALAPADATOK!H7)</f>
        <v>6.7.2.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CONCATENATE(Z_6.7.1.sz.mell!B2:D2)</f>
        <v>5 kvi név</v>
      </c>
      <c r="C2" s="857"/>
      <c r="D2" s="858"/>
      <c r="E2" s="330" t="s">
        <v>515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Z_6.7.1.sz.mell!E4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CONCATENATE(Z_6.7.1.sz.mell!E5)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CONCATENATE(Z_ALAPADATOK!M21,"3. melléklet ",Z_ALAPADATOK!A7," ",Z_ALAPADATOK!B7," ",Z_ALAPADATOK!C7," ",Z_ALAPADATOK!D7," ",Z_ALAPADATOK!E7," ",Z_ALAPADATOK!F7," ",Z_ALAPADATOK!G7," ",Z_ALAPADATOK!H7)</f>
        <v>6.7.3.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CONCATENATE(Z_6.7.2.sz.mell!B2:D2)</f>
        <v>5 kvi név</v>
      </c>
      <c r="C2" s="857"/>
      <c r="D2" s="858"/>
      <c r="E2" s="330" t="s">
        <v>515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Z_6.7.2.sz.mell!E4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CONCATENATE(Z_6.7.2.sz.mell!E5)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CONCATENATE(Z_ALAPADATOK!M23," melléklet ",Z_ALAPADATOK!A7," ",Z_ALAPADATOK!B7," ",Z_ALAPADATOK!C7," ",Z_ALAPADATOK!D7," ",Z_ALAPADATOK!E7," ",Z_ALAPADATOK!F7," ",Z_ALAPADATOK!G7," ",Z_ALAPADATOK!H7)</f>
        <v>6.8.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CONCATENATE(Z_ALAPADATOK!B23)</f>
        <v>6 kvi név</v>
      </c>
      <c r="C2" s="857"/>
      <c r="D2" s="858"/>
      <c r="E2" s="330" t="s">
        <v>516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CONCATENATE(Z_6.7.3.sz.mell!E5)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CONCATENATE(Z_ALAPADATOK!M23,"1. melléklet ",Z_ALAPADATOK!A7," ",Z_ALAPADATOK!B7," ",Z_ALAPADATOK!C7," ",Z_ALAPADATOK!D7," ",Z_ALAPADATOK!E7," ",Z_ALAPADATOK!F7," ",Z_ALAPADATOK!G7," ",Z_ALAPADATOK!H7)</f>
        <v>6.8.1.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CONCATENATE(Z_6.8.sz.mell!B2:D2)</f>
        <v>6 kvi név</v>
      </c>
      <c r="C2" s="857"/>
      <c r="D2" s="858"/>
      <c r="E2" s="330" t="s">
        <v>516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Z_6.8.sz.mell!E4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CONCATENATE(Z_6.8.sz.mell!E5)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CONCATENATE(Z_ALAPADATOK!M23,"2. melléklet ",Z_ALAPADATOK!A7," ",Z_ALAPADATOK!B7," ",Z_ALAPADATOK!C7," ",Z_ALAPADATOK!D7," ",Z_ALAPADATOK!E7," ",Z_ALAPADATOK!F7," ",Z_ALAPADATOK!G7," ",Z_ALAPADATOK!H7)</f>
        <v>6.8.2.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CONCATENATE(Z_6.8.1.sz.mell!B2:D2)</f>
        <v>6 kvi név</v>
      </c>
      <c r="C2" s="857"/>
      <c r="D2" s="858"/>
      <c r="E2" s="330" t="s">
        <v>516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Z_6.8.1.sz.mell!E4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CONCATENATE(Z_6.8.1.sz.mell!E5)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CONCATENATE(Z_ALAPADATOK!M23,"3. melléklet ",Z_ALAPADATOK!A7," ",Z_ALAPADATOK!B7," ",Z_ALAPADATOK!C7," ",Z_ALAPADATOK!D7," ",Z_ALAPADATOK!E7," ",Z_ALAPADATOK!F7," ",Z_ALAPADATOK!G7," ",Z_ALAPADATOK!H7)</f>
        <v>6.8.3.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CONCATENATE(Z_6.8.2.sz.mell!B2:D2)</f>
        <v>6 kvi név</v>
      </c>
      <c r="C2" s="857"/>
      <c r="D2" s="858"/>
      <c r="E2" s="330" t="s">
        <v>516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Z_6.8.2.sz.mell!E4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CONCATENATE(Z_6.8.2.sz.mell!E5)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CONCATENATE(Z_ALAPADATOK!M25," melléklet ",Z_ALAPADATOK!A7," ",Z_ALAPADATOK!B7," ",Z_ALAPADATOK!C7," ",Z_ALAPADATOK!D7," ",Z_ALAPADATOK!E7," ",Z_ALAPADATOK!F7," ",Z_ALAPADATOK!G7," ",Z_ALAPADATOK!H7)</f>
        <v>6.9.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CONCATENATE(Z_ALAPADATOK!B25)</f>
        <v>7 kvi név</v>
      </c>
      <c r="C2" s="857"/>
      <c r="D2" s="858"/>
      <c r="E2" s="330" t="s">
        <v>517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CONCATENATE(Z_6.8.3.sz.mell!E5)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CONCATENATE(Z_ALAPADATOK!M25,"1. melléklet ",Z_ALAPADATOK!A7," ",Z_ALAPADATOK!B7," ",Z_ALAPADATOK!C7," ",Z_ALAPADATOK!D7," ",Z_ALAPADATOK!E7," ",Z_ALAPADATOK!F7," ",Z_ALAPADATOK!G7," ",Z_ALAPADATOK!H7)</f>
        <v>6.9.1.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CONCATENATE(Z_6.9.sz.mell!B2:D2)</f>
        <v>7 kvi név</v>
      </c>
      <c r="C2" s="857"/>
      <c r="D2" s="858"/>
      <c r="E2" s="330" t="s">
        <v>517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Z_6.9.sz.mell!E4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CONCATENATE(Z_6.9.sz.mell!E5)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CONCATENATE(Z_ALAPADATOK!M25,"2. melléklet ",Z_ALAPADATOK!A7," ",Z_ALAPADATOK!B7," ",Z_ALAPADATOK!C7," ",Z_ALAPADATOK!D7," ",Z_ALAPADATOK!E7," ",Z_ALAPADATOK!F7," ",Z_ALAPADATOK!G7," ",Z_ALAPADATOK!H7)</f>
        <v>6.9.2.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CONCATENATE(Z_6.9.1.sz.mell!B2:D2)</f>
        <v>7 kvi név</v>
      </c>
      <c r="C2" s="857"/>
      <c r="D2" s="858"/>
      <c r="E2" s="330" t="s">
        <v>517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Z_6.9.1.sz.mell!E4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CONCATENATE(Z_6.9.1.sz.mell!E5)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CONCATENATE(Z_ALAPADATOK!M25,"3. melléklet ",Z_ALAPADATOK!A7," ",Z_ALAPADATOK!B7," ",Z_ALAPADATOK!C7," ",Z_ALAPADATOK!D7," ",Z_ALAPADATOK!E7," ",Z_ALAPADATOK!F7," ",Z_ALAPADATOK!G7," ",Z_ALAPADATOK!H7)</f>
        <v>6.9.3.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CONCATENATE(Z_6.9.2.sz.mell!B2:D2)</f>
        <v>7 kvi név</v>
      </c>
      <c r="C2" s="857"/>
      <c r="D2" s="858"/>
      <c r="E2" s="330" t="s">
        <v>517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Z_6.9.2.sz.mell!E4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CONCATENATE(Z_6.9.2.sz.mell!E5)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>
      <c r="A1" s="321"/>
      <c r="B1" s="778" t="str">
        <f>CONCATENATE("1.3. melléklet ",Z_ALAPADATOK!A7," ",Z_ALAPADATOK!B7," ",Z_ALAPADATOK!C7," ",Z_ALAPADATOK!D7," ",Z_ALAPADATOK!E7," ",Z_ALAPADATOK!F7," ",Z_ALAPADATOK!G7," ",Z_ALAPADATOK!H7)</f>
        <v>1.3. melléklet a … / 2021. ( … ) önkormányzati rendelethez</v>
      </c>
      <c r="C1" s="779"/>
      <c r="D1" s="779"/>
      <c r="E1" s="779"/>
    </row>
    <row r="2" spans="1:5">
      <c r="A2" s="780" t="str">
        <f>CONCATENATE(Z_ALAPADATOK!A3)</f>
        <v>Borsodivánka Község Önkormányzata</v>
      </c>
      <c r="B2" s="781"/>
      <c r="C2" s="781"/>
      <c r="D2" s="781"/>
      <c r="E2" s="781"/>
    </row>
    <row r="3" spans="1:5">
      <c r="A3" s="780" t="str">
        <f>CONCATENATE(Z_ALAPADATOK!B1,". ÉVI ZÁRSZÁMADÁS")</f>
        <v>2020. ÉVI ZÁRSZÁMADÁS</v>
      </c>
      <c r="B3" s="780"/>
      <c r="C3" s="782"/>
      <c r="D3" s="780"/>
      <c r="E3" s="780"/>
    </row>
    <row r="4" spans="1:5" ht="19.5" customHeight="1">
      <c r="A4" s="780" t="s">
        <v>848</v>
      </c>
      <c r="B4" s="780"/>
      <c r="C4" s="782"/>
      <c r="D4" s="780"/>
      <c r="E4" s="780"/>
    </row>
    <row r="5" spans="1:5">
      <c r="A5" s="321"/>
      <c r="B5" s="321"/>
      <c r="C5" s="322"/>
      <c r="D5" s="323"/>
      <c r="E5" s="323"/>
    </row>
    <row r="6" spans="1:5" ht="15.95" customHeight="1">
      <c r="A6" s="792" t="s">
        <v>3</v>
      </c>
      <c r="B6" s="792"/>
      <c r="C6" s="792"/>
      <c r="D6" s="792"/>
      <c r="E6" s="792"/>
    </row>
    <row r="7" spans="1:5" ht="15.95" customHeight="1" thickBot="1">
      <c r="A7" s="794" t="s">
        <v>100</v>
      </c>
      <c r="B7" s="794"/>
      <c r="C7" s="324"/>
      <c r="D7" s="323"/>
      <c r="E7" s="324" t="str">
        <f>CONCATENATE(Z_1.2.sz.mell.!E7)</f>
        <v xml:space="preserve"> Forintban!</v>
      </c>
    </row>
    <row r="8" spans="1:5">
      <c r="A8" s="784" t="s">
        <v>51</v>
      </c>
      <c r="B8" s="786" t="s">
        <v>5</v>
      </c>
      <c r="C8" s="788" t="str">
        <f>+CONCATENATE(LEFT(Z_ÖSSZEFÜGGÉSEK!A6,4),". évi")</f>
        <v>2020. évi</v>
      </c>
      <c r="D8" s="789"/>
      <c r="E8" s="790"/>
    </row>
    <row r="9" spans="1:5" ht="24.75" thickBot="1">
      <c r="A9" s="785"/>
      <c r="B9" s="787"/>
      <c r="C9" s="254" t="s">
        <v>415</v>
      </c>
      <c r="D9" s="253" t="s">
        <v>416</v>
      </c>
      <c r="E9" s="314" t="str">
        <f>CONCATENATE(Z_1.2.sz.mell.!E9)</f>
        <v>2020. XII. 31.
teljesítés</v>
      </c>
    </row>
    <row r="10" spans="1:5" s="180" customFormat="1" ht="12" customHeight="1" thickBot="1">
      <c r="A10" s="176" t="s">
        <v>382</v>
      </c>
      <c r="B10" s="177" t="s">
        <v>383</v>
      </c>
      <c r="C10" s="177" t="s">
        <v>384</v>
      </c>
      <c r="D10" s="177" t="s">
        <v>386</v>
      </c>
      <c r="E10" s="255" t="s">
        <v>385</v>
      </c>
    </row>
    <row r="11" spans="1:5" s="181" customFormat="1" ht="12" customHeight="1" thickBot="1">
      <c r="A11" s="18" t="s">
        <v>6</v>
      </c>
      <c r="B11" s="19" t="s">
        <v>161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>
      <c r="A12" s="13" t="s">
        <v>63</v>
      </c>
      <c r="B12" s="182" t="s">
        <v>162</v>
      </c>
      <c r="C12" s="171"/>
      <c r="D12" s="171"/>
      <c r="E12" s="107"/>
    </row>
    <row r="13" spans="1:5" s="181" customFormat="1" ht="12" customHeight="1">
      <c r="A13" s="12" t="s">
        <v>64</v>
      </c>
      <c r="B13" s="183" t="s">
        <v>163</v>
      </c>
      <c r="C13" s="170"/>
      <c r="D13" s="170"/>
      <c r="E13" s="106"/>
    </row>
    <row r="14" spans="1:5" s="181" customFormat="1" ht="12" customHeight="1">
      <c r="A14" s="12" t="s">
        <v>65</v>
      </c>
      <c r="B14" s="183" t="s">
        <v>164</v>
      </c>
      <c r="C14" s="170"/>
      <c r="D14" s="170"/>
      <c r="E14" s="106"/>
    </row>
    <row r="15" spans="1:5" s="181" customFormat="1" ht="12" customHeight="1">
      <c r="A15" s="12" t="s">
        <v>66</v>
      </c>
      <c r="B15" s="183" t="s">
        <v>165</v>
      </c>
      <c r="C15" s="170"/>
      <c r="D15" s="170"/>
      <c r="E15" s="106"/>
    </row>
    <row r="16" spans="1:5" s="181" customFormat="1" ht="12" customHeight="1">
      <c r="A16" s="12" t="s">
        <v>97</v>
      </c>
      <c r="B16" s="113" t="s">
        <v>331</v>
      </c>
      <c r="C16" s="170"/>
      <c r="D16" s="170"/>
      <c r="E16" s="106"/>
    </row>
    <row r="17" spans="1:5" s="181" customFormat="1" ht="12" customHeight="1" thickBot="1">
      <c r="A17" s="14" t="s">
        <v>67</v>
      </c>
      <c r="B17" s="114" t="s">
        <v>332</v>
      </c>
      <c r="C17" s="170"/>
      <c r="D17" s="170"/>
      <c r="E17" s="106"/>
    </row>
    <row r="18" spans="1:5" s="181" customFormat="1" ht="12" customHeight="1" thickBot="1">
      <c r="A18" s="18" t="s">
        <v>7</v>
      </c>
      <c r="B18" s="112" t="s">
        <v>166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>
      <c r="A19" s="13" t="s">
        <v>69</v>
      </c>
      <c r="B19" s="182" t="s">
        <v>167</v>
      </c>
      <c r="C19" s="171"/>
      <c r="D19" s="171"/>
      <c r="E19" s="107"/>
    </row>
    <row r="20" spans="1:5" s="181" customFormat="1" ht="12" customHeight="1">
      <c r="A20" s="12" t="s">
        <v>70</v>
      </c>
      <c r="B20" s="183" t="s">
        <v>168</v>
      </c>
      <c r="C20" s="170"/>
      <c r="D20" s="170"/>
      <c r="E20" s="106"/>
    </row>
    <row r="21" spans="1:5" s="181" customFormat="1" ht="12" customHeight="1">
      <c r="A21" s="12" t="s">
        <v>71</v>
      </c>
      <c r="B21" s="183" t="s">
        <v>323</v>
      </c>
      <c r="C21" s="170"/>
      <c r="D21" s="170"/>
      <c r="E21" s="106"/>
    </row>
    <row r="22" spans="1:5" s="181" customFormat="1" ht="12" customHeight="1">
      <c r="A22" s="12" t="s">
        <v>72</v>
      </c>
      <c r="B22" s="183" t="s">
        <v>324</v>
      </c>
      <c r="C22" s="170"/>
      <c r="D22" s="170"/>
      <c r="E22" s="106"/>
    </row>
    <row r="23" spans="1:5" s="181" customFormat="1" ht="12" customHeight="1">
      <c r="A23" s="12" t="s">
        <v>73</v>
      </c>
      <c r="B23" s="183" t="s">
        <v>169</v>
      </c>
      <c r="C23" s="170"/>
      <c r="D23" s="170"/>
      <c r="E23" s="106"/>
    </row>
    <row r="24" spans="1:5" s="181" customFormat="1" ht="12" customHeight="1" thickBot="1">
      <c r="A24" s="14" t="s">
        <v>80</v>
      </c>
      <c r="B24" s="114" t="s">
        <v>170</v>
      </c>
      <c r="C24" s="172"/>
      <c r="D24" s="172"/>
      <c r="E24" s="108"/>
    </row>
    <row r="25" spans="1:5" s="181" customFormat="1" ht="12" customHeight="1" thickBot="1">
      <c r="A25" s="18" t="s">
        <v>8</v>
      </c>
      <c r="B25" s="19" t="s">
        <v>171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>
      <c r="A26" s="13" t="s">
        <v>52</v>
      </c>
      <c r="B26" s="182" t="s">
        <v>172</v>
      </c>
      <c r="C26" s="171"/>
      <c r="D26" s="171"/>
      <c r="E26" s="107"/>
    </row>
    <row r="27" spans="1:5" s="181" customFormat="1" ht="12" customHeight="1">
      <c r="A27" s="12" t="s">
        <v>53</v>
      </c>
      <c r="B27" s="183" t="s">
        <v>173</v>
      </c>
      <c r="C27" s="170"/>
      <c r="D27" s="170"/>
      <c r="E27" s="106"/>
    </row>
    <row r="28" spans="1:5" s="181" customFormat="1" ht="12" customHeight="1">
      <c r="A28" s="12" t="s">
        <v>54</v>
      </c>
      <c r="B28" s="183" t="s">
        <v>325</v>
      </c>
      <c r="C28" s="170"/>
      <c r="D28" s="170"/>
      <c r="E28" s="106"/>
    </row>
    <row r="29" spans="1:5" s="181" customFormat="1" ht="12" customHeight="1">
      <c r="A29" s="12" t="s">
        <v>55</v>
      </c>
      <c r="B29" s="183" t="s">
        <v>326</v>
      </c>
      <c r="C29" s="170"/>
      <c r="D29" s="170"/>
      <c r="E29" s="106"/>
    </row>
    <row r="30" spans="1:5" s="181" customFormat="1" ht="12" customHeight="1">
      <c r="A30" s="12" t="s">
        <v>110</v>
      </c>
      <c r="B30" s="183" t="s">
        <v>174</v>
      </c>
      <c r="C30" s="170"/>
      <c r="D30" s="170"/>
      <c r="E30" s="106"/>
    </row>
    <row r="31" spans="1:5" s="181" customFormat="1" ht="12" customHeight="1" thickBot="1">
      <c r="A31" s="14" t="s">
        <v>111</v>
      </c>
      <c r="B31" s="184" t="s">
        <v>175</v>
      </c>
      <c r="C31" s="172"/>
      <c r="D31" s="172"/>
      <c r="E31" s="108"/>
    </row>
    <row r="32" spans="1:5" s="181" customFormat="1" ht="12" customHeight="1" thickBot="1">
      <c r="A32" s="18" t="s">
        <v>112</v>
      </c>
      <c r="B32" s="19" t="s">
        <v>473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>
      <c r="A33" s="13" t="s">
        <v>176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>
      <c r="A34" s="12" t="s">
        <v>177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>
      <c r="A35" s="12" t="s">
        <v>178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>
      <c r="A36" s="12" t="s">
        <v>179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>
      <c r="A37" s="12" t="s">
        <v>477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>
      <c r="A38" s="12" t="s">
        <v>478</v>
      </c>
      <c r="B38" s="182" t="str">
        <f>Z_1.1.sz.mell.!B38</f>
        <v>Egyéb közhatalmi bevételek</v>
      </c>
      <c r="C38" s="170"/>
      <c r="D38" s="170"/>
      <c r="E38" s="106"/>
    </row>
    <row r="39" spans="1:5" s="181" customFormat="1" ht="12" customHeight="1" thickBot="1">
      <c r="A39" s="14" t="s">
        <v>479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>
      <c r="A40" s="18" t="s">
        <v>10</v>
      </c>
      <c r="B40" s="19" t="s">
        <v>333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>
      <c r="A41" s="13" t="s">
        <v>56</v>
      </c>
      <c r="B41" s="182" t="s">
        <v>183</v>
      </c>
      <c r="C41" s="171"/>
      <c r="D41" s="171"/>
      <c r="E41" s="107"/>
    </row>
    <row r="42" spans="1:5" s="181" customFormat="1" ht="12" customHeight="1">
      <c r="A42" s="12" t="s">
        <v>57</v>
      </c>
      <c r="B42" s="183" t="s">
        <v>184</v>
      </c>
      <c r="C42" s="170"/>
      <c r="D42" s="170"/>
      <c r="E42" s="106"/>
    </row>
    <row r="43" spans="1:5" s="181" customFormat="1" ht="12" customHeight="1">
      <c r="A43" s="12" t="s">
        <v>58</v>
      </c>
      <c r="B43" s="183" t="s">
        <v>185</v>
      </c>
      <c r="C43" s="170"/>
      <c r="D43" s="170"/>
      <c r="E43" s="106"/>
    </row>
    <row r="44" spans="1:5" s="181" customFormat="1" ht="12" customHeight="1">
      <c r="A44" s="12" t="s">
        <v>114</v>
      </c>
      <c r="B44" s="183" t="s">
        <v>186</v>
      </c>
      <c r="C44" s="170"/>
      <c r="D44" s="170"/>
      <c r="E44" s="106"/>
    </row>
    <row r="45" spans="1:5" s="181" customFormat="1" ht="12" customHeight="1">
      <c r="A45" s="12" t="s">
        <v>115</v>
      </c>
      <c r="B45" s="183" t="s">
        <v>187</v>
      </c>
      <c r="C45" s="170"/>
      <c r="D45" s="170"/>
      <c r="E45" s="106"/>
    </row>
    <row r="46" spans="1:5" s="181" customFormat="1" ht="12" customHeight="1">
      <c r="A46" s="12" t="s">
        <v>116</v>
      </c>
      <c r="B46" s="183" t="s">
        <v>188</v>
      </c>
      <c r="C46" s="170"/>
      <c r="D46" s="170"/>
      <c r="E46" s="106"/>
    </row>
    <row r="47" spans="1:5" s="181" customFormat="1" ht="12" customHeight="1">
      <c r="A47" s="12" t="s">
        <v>117</v>
      </c>
      <c r="B47" s="183" t="s">
        <v>189</v>
      </c>
      <c r="C47" s="170"/>
      <c r="D47" s="170"/>
      <c r="E47" s="106"/>
    </row>
    <row r="48" spans="1:5" s="181" customFormat="1" ht="12" customHeight="1">
      <c r="A48" s="12" t="s">
        <v>118</v>
      </c>
      <c r="B48" s="183" t="s">
        <v>480</v>
      </c>
      <c r="C48" s="170"/>
      <c r="D48" s="170"/>
      <c r="E48" s="106"/>
    </row>
    <row r="49" spans="1:5" s="181" customFormat="1" ht="12" customHeight="1">
      <c r="A49" s="12" t="s">
        <v>181</v>
      </c>
      <c r="B49" s="183" t="s">
        <v>191</v>
      </c>
      <c r="C49" s="173"/>
      <c r="D49" s="173"/>
      <c r="E49" s="109"/>
    </row>
    <row r="50" spans="1:5" s="181" customFormat="1" ht="12" customHeight="1">
      <c r="A50" s="14" t="s">
        <v>182</v>
      </c>
      <c r="B50" s="184" t="s">
        <v>335</v>
      </c>
      <c r="C50" s="174"/>
      <c r="D50" s="174"/>
      <c r="E50" s="110"/>
    </row>
    <row r="51" spans="1:5" s="181" customFormat="1" ht="12" customHeight="1" thickBot="1">
      <c r="A51" s="14" t="s">
        <v>334</v>
      </c>
      <c r="B51" s="114" t="s">
        <v>192</v>
      </c>
      <c r="C51" s="174"/>
      <c r="D51" s="174"/>
      <c r="E51" s="110"/>
    </row>
    <row r="52" spans="1:5" s="181" customFormat="1" ht="12" customHeight="1" thickBot="1">
      <c r="A52" s="18" t="s">
        <v>11</v>
      </c>
      <c r="B52" s="19" t="s">
        <v>193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>
      <c r="A53" s="13" t="s">
        <v>59</v>
      </c>
      <c r="B53" s="182" t="s">
        <v>197</v>
      </c>
      <c r="C53" s="222"/>
      <c r="D53" s="222"/>
      <c r="E53" s="111"/>
    </row>
    <row r="54" spans="1:5" s="181" customFormat="1" ht="12" customHeight="1">
      <c r="A54" s="12" t="s">
        <v>60</v>
      </c>
      <c r="B54" s="183" t="s">
        <v>198</v>
      </c>
      <c r="C54" s="173"/>
      <c r="D54" s="173"/>
      <c r="E54" s="109"/>
    </row>
    <row r="55" spans="1:5" s="181" customFormat="1" ht="12" customHeight="1">
      <c r="A55" s="12" t="s">
        <v>194</v>
      </c>
      <c r="B55" s="183" t="s">
        <v>199</v>
      </c>
      <c r="C55" s="173"/>
      <c r="D55" s="173"/>
      <c r="E55" s="109"/>
    </row>
    <row r="56" spans="1:5" s="181" customFormat="1" ht="12" customHeight="1">
      <c r="A56" s="12" t="s">
        <v>195</v>
      </c>
      <c r="B56" s="183" t="s">
        <v>200</v>
      </c>
      <c r="C56" s="173"/>
      <c r="D56" s="173"/>
      <c r="E56" s="109"/>
    </row>
    <row r="57" spans="1:5" s="181" customFormat="1" ht="12" customHeight="1" thickBot="1">
      <c r="A57" s="14" t="s">
        <v>196</v>
      </c>
      <c r="B57" s="114" t="s">
        <v>201</v>
      </c>
      <c r="C57" s="174"/>
      <c r="D57" s="174"/>
      <c r="E57" s="110"/>
    </row>
    <row r="58" spans="1:5" s="181" customFormat="1" ht="12" customHeight="1" thickBot="1">
      <c r="A58" s="18" t="s">
        <v>119</v>
      </c>
      <c r="B58" s="19" t="s">
        <v>202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>
      <c r="A59" s="13" t="s">
        <v>61</v>
      </c>
      <c r="B59" s="182" t="s">
        <v>203</v>
      </c>
      <c r="C59" s="171"/>
      <c r="D59" s="171"/>
      <c r="E59" s="107"/>
    </row>
    <row r="60" spans="1:5" s="181" customFormat="1" ht="12" customHeight="1">
      <c r="A60" s="12" t="s">
        <v>62</v>
      </c>
      <c r="B60" s="183" t="s">
        <v>327</v>
      </c>
      <c r="C60" s="170"/>
      <c r="D60" s="170"/>
      <c r="E60" s="106"/>
    </row>
    <row r="61" spans="1:5" s="181" customFormat="1" ht="12" customHeight="1">
      <c r="A61" s="12" t="s">
        <v>206</v>
      </c>
      <c r="B61" s="183" t="s">
        <v>204</v>
      </c>
      <c r="C61" s="170"/>
      <c r="D61" s="170"/>
      <c r="E61" s="106"/>
    </row>
    <row r="62" spans="1:5" s="181" customFormat="1" ht="12" customHeight="1" thickBot="1">
      <c r="A62" s="14" t="s">
        <v>207</v>
      </c>
      <c r="B62" s="114" t="s">
        <v>205</v>
      </c>
      <c r="C62" s="172"/>
      <c r="D62" s="172"/>
      <c r="E62" s="108"/>
    </row>
    <row r="63" spans="1:5" s="181" customFormat="1" ht="12" customHeight="1" thickBot="1">
      <c r="A63" s="18" t="s">
        <v>13</v>
      </c>
      <c r="B63" s="112" t="s">
        <v>208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>
      <c r="A64" s="13" t="s">
        <v>120</v>
      </c>
      <c r="B64" s="182" t="s">
        <v>210</v>
      </c>
      <c r="C64" s="173"/>
      <c r="D64" s="173"/>
      <c r="E64" s="109"/>
    </row>
    <row r="65" spans="1:5" s="181" customFormat="1" ht="12" customHeight="1">
      <c r="A65" s="12" t="s">
        <v>121</v>
      </c>
      <c r="B65" s="183" t="s">
        <v>328</v>
      </c>
      <c r="C65" s="173"/>
      <c r="D65" s="173"/>
      <c r="E65" s="109"/>
    </row>
    <row r="66" spans="1:5" s="181" customFormat="1" ht="12" customHeight="1">
      <c r="A66" s="12" t="s">
        <v>143</v>
      </c>
      <c r="B66" s="183" t="s">
        <v>211</v>
      </c>
      <c r="C66" s="173"/>
      <c r="D66" s="173"/>
      <c r="E66" s="109"/>
    </row>
    <row r="67" spans="1:5" s="181" customFormat="1" ht="12" customHeight="1" thickBot="1">
      <c r="A67" s="14" t="s">
        <v>209</v>
      </c>
      <c r="B67" s="114" t="s">
        <v>212</v>
      </c>
      <c r="C67" s="173"/>
      <c r="D67" s="173"/>
      <c r="E67" s="109"/>
    </row>
    <row r="68" spans="1:5" s="181" customFormat="1" ht="12" customHeight="1" thickBot="1">
      <c r="A68" s="237" t="s">
        <v>375</v>
      </c>
      <c r="B68" s="19" t="s">
        <v>213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>
      <c r="A69" s="223" t="s">
        <v>214</v>
      </c>
      <c r="B69" s="112" t="s">
        <v>215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>
      <c r="A70" s="13" t="s">
        <v>243</v>
      </c>
      <c r="B70" s="182" t="s">
        <v>216</v>
      </c>
      <c r="C70" s="173"/>
      <c r="D70" s="173"/>
      <c r="E70" s="109"/>
    </row>
    <row r="71" spans="1:5" s="181" customFormat="1" ht="12" customHeight="1">
      <c r="A71" s="12" t="s">
        <v>252</v>
      </c>
      <c r="B71" s="183" t="s">
        <v>217</v>
      </c>
      <c r="C71" s="173"/>
      <c r="D71" s="173"/>
      <c r="E71" s="109"/>
    </row>
    <row r="72" spans="1:5" s="181" customFormat="1" ht="12" customHeight="1" thickBot="1">
      <c r="A72" s="14" t="s">
        <v>253</v>
      </c>
      <c r="B72" s="233" t="s">
        <v>360</v>
      </c>
      <c r="C72" s="173"/>
      <c r="D72" s="173"/>
      <c r="E72" s="109"/>
    </row>
    <row r="73" spans="1:5" s="181" customFormat="1" ht="12" customHeight="1" thickBot="1">
      <c r="A73" s="223" t="s">
        <v>219</v>
      </c>
      <c r="B73" s="112" t="s">
        <v>220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>
      <c r="A74" s="13" t="s">
        <v>98</v>
      </c>
      <c r="B74" s="312" t="s">
        <v>221</v>
      </c>
      <c r="C74" s="173"/>
      <c r="D74" s="173"/>
      <c r="E74" s="109"/>
    </row>
    <row r="75" spans="1:5" s="181" customFormat="1" ht="12" customHeight="1">
      <c r="A75" s="12" t="s">
        <v>99</v>
      </c>
      <c r="B75" s="312" t="s">
        <v>487</v>
      </c>
      <c r="C75" s="173"/>
      <c r="D75" s="173"/>
      <c r="E75" s="109"/>
    </row>
    <row r="76" spans="1:5" s="181" customFormat="1" ht="12" customHeight="1">
      <c r="A76" s="12" t="s">
        <v>244</v>
      </c>
      <c r="B76" s="312" t="s">
        <v>222</v>
      </c>
      <c r="C76" s="173"/>
      <c r="D76" s="173"/>
      <c r="E76" s="109"/>
    </row>
    <row r="77" spans="1:5" s="181" customFormat="1" ht="12" customHeight="1" thickBot="1">
      <c r="A77" s="14" t="s">
        <v>245</v>
      </c>
      <c r="B77" s="313" t="s">
        <v>488</v>
      </c>
      <c r="C77" s="173"/>
      <c r="D77" s="173"/>
      <c r="E77" s="109"/>
    </row>
    <row r="78" spans="1:5" s="181" customFormat="1" ht="12" customHeight="1" thickBot="1">
      <c r="A78" s="223" t="s">
        <v>223</v>
      </c>
      <c r="B78" s="112" t="s">
        <v>224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>
      <c r="A79" s="13" t="s">
        <v>246</v>
      </c>
      <c r="B79" s="182" t="s">
        <v>225</v>
      </c>
      <c r="C79" s="173"/>
      <c r="D79" s="173"/>
      <c r="E79" s="109"/>
    </row>
    <row r="80" spans="1:5" s="181" customFormat="1" ht="12" customHeight="1" thickBot="1">
      <c r="A80" s="14" t="s">
        <v>247</v>
      </c>
      <c r="B80" s="114" t="s">
        <v>226</v>
      </c>
      <c r="C80" s="173"/>
      <c r="D80" s="173"/>
      <c r="E80" s="109"/>
    </row>
    <row r="81" spans="1:5" s="181" customFormat="1" ht="12" customHeight="1" thickBot="1">
      <c r="A81" s="223" t="s">
        <v>227</v>
      </c>
      <c r="B81" s="112" t="s">
        <v>228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>
      <c r="A82" s="13" t="s">
        <v>248</v>
      </c>
      <c r="B82" s="182" t="s">
        <v>229</v>
      </c>
      <c r="C82" s="173"/>
      <c r="D82" s="173"/>
      <c r="E82" s="109"/>
    </row>
    <row r="83" spans="1:5" s="181" customFormat="1" ht="12" customHeight="1">
      <c r="A83" s="12" t="s">
        <v>249</v>
      </c>
      <c r="B83" s="183" t="s">
        <v>230</v>
      </c>
      <c r="C83" s="173"/>
      <c r="D83" s="173"/>
      <c r="E83" s="109"/>
    </row>
    <row r="84" spans="1:5" s="181" customFormat="1" ht="12" customHeight="1" thickBot="1">
      <c r="A84" s="14" t="s">
        <v>250</v>
      </c>
      <c r="B84" s="114" t="s">
        <v>489</v>
      </c>
      <c r="C84" s="173"/>
      <c r="D84" s="173"/>
      <c r="E84" s="109"/>
    </row>
    <row r="85" spans="1:5" s="181" customFormat="1" ht="12" customHeight="1" thickBot="1">
      <c r="A85" s="223" t="s">
        <v>231</v>
      </c>
      <c r="B85" s="112" t="s">
        <v>251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>
      <c r="A86" s="186" t="s">
        <v>232</v>
      </c>
      <c r="B86" s="182" t="s">
        <v>233</v>
      </c>
      <c r="C86" s="173"/>
      <c r="D86" s="173"/>
      <c r="E86" s="109"/>
    </row>
    <row r="87" spans="1:5" s="181" customFormat="1" ht="12" customHeight="1">
      <c r="A87" s="187" t="s">
        <v>234</v>
      </c>
      <c r="B87" s="183" t="s">
        <v>235</v>
      </c>
      <c r="C87" s="173"/>
      <c r="D87" s="173"/>
      <c r="E87" s="109"/>
    </row>
    <row r="88" spans="1:5" s="181" customFormat="1" ht="12" customHeight="1">
      <c r="A88" s="187" t="s">
        <v>236</v>
      </c>
      <c r="B88" s="183" t="s">
        <v>237</v>
      </c>
      <c r="C88" s="173"/>
      <c r="D88" s="173"/>
      <c r="E88" s="109"/>
    </row>
    <row r="89" spans="1:5" s="181" customFormat="1" ht="12" customHeight="1" thickBot="1">
      <c r="A89" s="188" t="s">
        <v>238</v>
      </c>
      <c r="B89" s="114" t="s">
        <v>239</v>
      </c>
      <c r="C89" s="173"/>
      <c r="D89" s="173"/>
      <c r="E89" s="109"/>
    </row>
    <row r="90" spans="1:5" s="181" customFormat="1" ht="12" customHeight="1" thickBot="1">
      <c r="A90" s="223" t="s">
        <v>240</v>
      </c>
      <c r="B90" s="112" t="s">
        <v>374</v>
      </c>
      <c r="C90" s="225"/>
      <c r="D90" s="225"/>
      <c r="E90" s="226"/>
    </row>
    <row r="91" spans="1:5" s="181" customFormat="1" ht="13.5" customHeight="1" thickBot="1">
      <c r="A91" s="223" t="s">
        <v>242</v>
      </c>
      <c r="B91" s="112" t="s">
        <v>241</v>
      </c>
      <c r="C91" s="225"/>
      <c r="D91" s="225"/>
      <c r="E91" s="226"/>
    </row>
    <row r="92" spans="1:5" s="181" customFormat="1" ht="15.75" customHeight="1" thickBot="1">
      <c r="A92" s="223" t="s">
        <v>254</v>
      </c>
      <c r="B92" s="189" t="s">
        <v>377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>
      <c r="A93" s="224" t="s">
        <v>376</v>
      </c>
      <c r="B93" s="190" t="s">
        <v>378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>
      <c r="A94" s="3"/>
      <c r="B94" s="4"/>
      <c r="C94" s="116"/>
    </row>
    <row r="95" spans="1:5" ht="16.5" customHeight="1">
      <c r="A95" s="793" t="s">
        <v>34</v>
      </c>
      <c r="B95" s="793"/>
      <c r="C95" s="793"/>
      <c r="D95" s="793"/>
      <c r="E95" s="793"/>
    </row>
    <row r="96" spans="1:5" s="191" customFormat="1" ht="16.5" customHeight="1" thickBot="1">
      <c r="A96" s="795" t="s">
        <v>101</v>
      </c>
      <c r="B96" s="795"/>
      <c r="C96" s="63"/>
      <c r="E96" s="63" t="str">
        <f>E7</f>
        <v xml:space="preserve"> Forintban!</v>
      </c>
    </row>
    <row r="97" spans="1:5">
      <c r="A97" s="784" t="s">
        <v>51</v>
      </c>
      <c r="B97" s="786" t="s">
        <v>417</v>
      </c>
      <c r="C97" s="788" t="str">
        <f>+CONCATENATE(LEFT(Z_ÖSSZEFÜGGÉSEK!A6,4),". évi")</f>
        <v>2020. évi</v>
      </c>
      <c r="D97" s="789"/>
      <c r="E97" s="790"/>
    </row>
    <row r="98" spans="1:5" ht="24.75" thickBot="1">
      <c r="A98" s="785"/>
      <c r="B98" s="787"/>
      <c r="C98" s="254" t="s">
        <v>415</v>
      </c>
      <c r="D98" s="253" t="s">
        <v>416</v>
      </c>
      <c r="E98" s="314" t="str">
        <f>CONCATENATE(E9)</f>
        <v>2020. XII. 31.
teljesítés</v>
      </c>
    </row>
    <row r="99" spans="1:5" s="180" customFormat="1" ht="12" customHeight="1" thickBot="1">
      <c r="A99" s="25" t="s">
        <v>382</v>
      </c>
      <c r="B99" s="26" t="s">
        <v>383</v>
      </c>
      <c r="C99" s="26" t="s">
        <v>384</v>
      </c>
      <c r="D99" s="26" t="s">
        <v>386</v>
      </c>
      <c r="E99" s="265" t="s">
        <v>385</v>
      </c>
    </row>
    <row r="100" spans="1:5" ht="12" customHeight="1" thickBot="1">
      <c r="A100" s="20" t="s">
        <v>6</v>
      </c>
      <c r="B100" s="24" t="s">
        <v>336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>
      <c r="A101" s="15" t="s">
        <v>63</v>
      </c>
      <c r="B101" s="8" t="s">
        <v>35</v>
      </c>
      <c r="C101" s="247"/>
      <c r="D101" s="247"/>
      <c r="E101" s="241"/>
    </row>
    <row r="102" spans="1:5" ht="12" customHeight="1">
      <c r="A102" s="12" t="s">
        <v>64</v>
      </c>
      <c r="B102" s="6" t="s">
        <v>122</v>
      </c>
      <c r="C102" s="170"/>
      <c r="D102" s="170"/>
      <c r="E102" s="106"/>
    </row>
    <row r="103" spans="1:5" ht="12" customHeight="1">
      <c r="A103" s="12" t="s">
        <v>65</v>
      </c>
      <c r="B103" s="6" t="s">
        <v>90</v>
      </c>
      <c r="C103" s="172"/>
      <c r="D103" s="172"/>
      <c r="E103" s="108"/>
    </row>
    <row r="104" spans="1:5" ht="12" customHeight="1">
      <c r="A104" s="12" t="s">
        <v>66</v>
      </c>
      <c r="B104" s="9" t="s">
        <v>123</v>
      </c>
      <c r="C104" s="172"/>
      <c r="D104" s="172"/>
      <c r="E104" s="108"/>
    </row>
    <row r="105" spans="1:5" ht="12" customHeight="1">
      <c r="A105" s="12" t="s">
        <v>75</v>
      </c>
      <c r="B105" s="17" t="s">
        <v>124</v>
      </c>
      <c r="C105" s="172"/>
      <c r="D105" s="172"/>
      <c r="E105" s="108"/>
    </row>
    <row r="106" spans="1:5" ht="12" customHeight="1">
      <c r="A106" s="12" t="s">
        <v>67</v>
      </c>
      <c r="B106" s="6" t="s">
        <v>341</v>
      </c>
      <c r="C106" s="172"/>
      <c r="D106" s="172"/>
      <c r="E106" s="108"/>
    </row>
    <row r="107" spans="1:5" ht="12" customHeight="1">
      <c r="A107" s="12" t="s">
        <v>68</v>
      </c>
      <c r="B107" s="67" t="s">
        <v>340</v>
      </c>
      <c r="C107" s="172"/>
      <c r="D107" s="172"/>
      <c r="E107" s="108"/>
    </row>
    <row r="108" spans="1:5" ht="12" customHeight="1">
      <c r="A108" s="12" t="s">
        <v>76</v>
      </c>
      <c r="B108" s="67" t="s">
        <v>339</v>
      </c>
      <c r="C108" s="172"/>
      <c r="D108" s="172"/>
      <c r="E108" s="108"/>
    </row>
    <row r="109" spans="1:5" ht="12" customHeight="1">
      <c r="A109" s="12" t="s">
        <v>77</v>
      </c>
      <c r="B109" s="65" t="s">
        <v>257</v>
      </c>
      <c r="C109" s="172"/>
      <c r="D109" s="172"/>
      <c r="E109" s="108"/>
    </row>
    <row r="110" spans="1:5" ht="12" customHeight="1">
      <c r="A110" s="12" t="s">
        <v>78</v>
      </c>
      <c r="B110" s="66" t="s">
        <v>258</v>
      </c>
      <c r="C110" s="172"/>
      <c r="D110" s="172"/>
      <c r="E110" s="108"/>
    </row>
    <row r="111" spans="1:5" ht="12" customHeight="1">
      <c r="A111" s="12" t="s">
        <v>79</v>
      </c>
      <c r="B111" s="66" t="s">
        <v>259</v>
      </c>
      <c r="C111" s="172"/>
      <c r="D111" s="172"/>
      <c r="E111" s="108"/>
    </row>
    <row r="112" spans="1:5" ht="12" customHeight="1">
      <c r="A112" s="12" t="s">
        <v>81</v>
      </c>
      <c r="B112" s="65" t="s">
        <v>260</v>
      </c>
      <c r="C112" s="172"/>
      <c r="D112" s="172"/>
      <c r="E112" s="108"/>
    </row>
    <row r="113" spans="1:5" ht="12" customHeight="1">
      <c r="A113" s="12" t="s">
        <v>125</v>
      </c>
      <c r="B113" s="65" t="s">
        <v>261</v>
      </c>
      <c r="C113" s="172"/>
      <c r="D113" s="172"/>
      <c r="E113" s="108"/>
    </row>
    <row r="114" spans="1:5" ht="12" customHeight="1">
      <c r="A114" s="12" t="s">
        <v>255</v>
      </c>
      <c r="B114" s="66" t="s">
        <v>262</v>
      </c>
      <c r="C114" s="172"/>
      <c r="D114" s="172"/>
      <c r="E114" s="108"/>
    </row>
    <row r="115" spans="1:5" ht="12" customHeight="1">
      <c r="A115" s="11" t="s">
        <v>256</v>
      </c>
      <c r="B115" s="67" t="s">
        <v>263</v>
      </c>
      <c r="C115" s="172"/>
      <c r="D115" s="172"/>
      <c r="E115" s="108"/>
    </row>
    <row r="116" spans="1:5" ht="12" customHeight="1">
      <c r="A116" s="12" t="s">
        <v>337</v>
      </c>
      <c r="B116" s="67" t="s">
        <v>264</v>
      </c>
      <c r="C116" s="172"/>
      <c r="D116" s="172"/>
      <c r="E116" s="108"/>
    </row>
    <row r="117" spans="1:5" ht="12" customHeight="1">
      <c r="A117" s="14" t="s">
        <v>338</v>
      </c>
      <c r="B117" s="67" t="s">
        <v>265</v>
      </c>
      <c r="C117" s="172"/>
      <c r="D117" s="172"/>
      <c r="E117" s="108"/>
    </row>
    <row r="118" spans="1:5" ht="12" customHeight="1">
      <c r="A118" s="12" t="s">
        <v>342</v>
      </c>
      <c r="B118" s="9" t="s">
        <v>36</v>
      </c>
      <c r="C118" s="170"/>
      <c r="D118" s="170"/>
      <c r="E118" s="106"/>
    </row>
    <row r="119" spans="1:5" ht="12" customHeight="1">
      <c r="A119" s="12" t="s">
        <v>343</v>
      </c>
      <c r="B119" s="6" t="s">
        <v>345</v>
      </c>
      <c r="C119" s="170"/>
      <c r="D119" s="170"/>
      <c r="E119" s="106"/>
    </row>
    <row r="120" spans="1:5" ht="12" customHeight="1" thickBot="1">
      <c r="A120" s="16" t="s">
        <v>344</v>
      </c>
      <c r="B120" s="236" t="s">
        <v>346</v>
      </c>
      <c r="C120" s="248"/>
      <c r="D120" s="248"/>
      <c r="E120" s="242"/>
    </row>
    <row r="121" spans="1:5" ht="12" customHeight="1" thickBot="1">
      <c r="A121" s="234" t="s">
        <v>7</v>
      </c>
      <c r="B121" s="235" t="s">
        <v>266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>
      <c r="A122" s="13" t="s">
        <v>69</v>
      </c>
      <c r="B122" s="6" t="s">
        <v>142</v>
      </c>
      <c r="C122" s="171"/>
      <c r="D122" s="258"/>
      <c r="E122" s="107"/>
    </row>
    <row r="123" spans="1:5" ht="12" customHeight="1">
      <c r="A123" s="13" t="s">
        <v>70</v>
      </c>
      <c r="B123" s="10" t="s">
        <v>270</v>
      </c>
      <c r="C123" s="171"/>
      <c r="D123" s="258"/>
      <c r="E123" s="107"/>
    </row>
    <row r="124" spans="1:5" ht="12" customHeight="1">
      <c r="A124" s="13" t="s">
        <v>71</v>
      </c>
      <c r="B124" s="10" t="s">
        <v>126</v>
      </c>
      <c r="C124" s="170"/>
      <c r="D124" s="259"/>
      <c r="E124" s="106"/>
    </row>
    <row r="125" spans="1:5" ht="12" customHeight="1">
      <c r="A125" s="13" t="s">
        <v>72</v>
      </c>
      <c r="B125" s="10" t="s">
        <v>271</v>
      </c>
      <c r="C125" s="170"/>
      <c r="D125" s="259"/>
      <c r="E125" s="106"/>
    </row>
    <row r="126" spans="1:5" ht="12" customHeight="1">
      <c r="A126" s="13" t="s">
        <v>73</v>
      </c>
      <c r="B126" s="114" t="s">
        <v>144</v>
      </c>
      <c r="C126" s="170"/>
      <c r="D126" s="259"/>
      <c r="E126" s="106"/>
    </row>
    <row r="127" spans="1:5" ht="12" customHeight="1">
      <c r="A127" s="13" t="s">
        <v>80</v>
      </c>
      <c r="B127" s="113" t="s">
        <v>329</v>
      </c>
      <c r="C127" s="170"/>
      <c r="D127" s="259"/>
      <c r="E127" s="106"/>
    </row>
    <row r="128" spans="1:5" ht="12" customHeight="1">
      <c r="A128" s="13" t="s">
        <v>82</v>
      </c>
      <c r="B128" s="178" t="s">
        <v>276</v>
      </c>
      <c r="C128" s="170"/>
      <c r="D128" s="259"/>
      <c r="E128" s="106"/>
    </row>
    <row r="129" spans="1:5">
      <c r="A129" s="13" t="s">
        <v>127</v>
      </c>
      <c r="B129" s="66" t="s">
        <v>259</v>
      </c>
      <c r="C129" s="170"/>
      <c r="D129" s="259"/>
      <c r="E129" s="106"/>
    </row>
    <row r="130" spans="1:5" ht="12" customHeight="1">
      <c r="A130" s="13" t="s">
        <v>128</v>
      </c>
      <c r="B130" s="66" t="s">
        <v>275</v>
      </c>
      <c r="C130" s="170"/>
      <c r="D130" s="259"/>
      <c r="E130" s="106"/>
    </row>
    <row r="131" spans="1:5" ht="12" customHeight="1">
      <c r="A131" s="13" t="s">
        <v>129</v>
      </c>
      <c r="B131" s="66" t="s">
        <v>274</v>
      </c>
      <c r="C131" s="170"/>
      <c r="D131" s="259"/>
      <c r="E131" s="106"/>
    </row>
    <row r="132" spans="1:5" ht="12" customHeight="1">
      <c r="A132" s="13" t="s">
        <v>267</v>
      </c>
      <c r="B132" s="66" t="s">
        <v>262</v>
      </c>
      <c r="C132" s="170"/>
      <c r="D132" s="259"/>
      <c r="E132" s="106"/>
    </row>
    <row r="133" spans="1:5" ht="12" customHeight="1">
      <c r="A133" s="13" t="s">
        <v>268</v>
      </c>
      <c r="B133" s="66" t="s">
        <v>273</v>
      </c>
      <c r="C133" s="170"/>
      <c r="D133" s="259"/>
      <c r="E133" s="106"/>
    </row>
    <row r="134" spans="1:5" ht="16.5" thickBot="1">
      <c r="A134" s="11" t="s">
        <v>269</v>
      </c>
      <c r="B134" s="66" t="s">
        <v>272</v>
      </c>
      <c r="C134" s="172"/>
      <c r="D134" s="260"/>
      <c r="E134" s="108"/>
    </row>
    <row r="135" spans="1:5" ht="12" customHeight="1" thickBot="1">
      <c r="A135" s="18" t="s">
        <v>8</v>
      </c>
      <c r="B135" s="59" t="s">
        <v>347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>
      <c r="A136" s="18" t="s">
        <v>9</v>
      </c>
      <c r="B136" s="59" t="s">
        <v>418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>
      <c r="A137" s="13" t="s">
        <v>176</v>
      </c>
      <c r="B137" s="10" t="s">
        <v>355</v>
      </c>
      <c r="C137" s="170"/>
      <c r="D137" s="259"/>
      <c r="E137" s="106"/>
    </row>
    <row r="138" spans="1:5" ht="12" customHeight="1">
      <c r="A138" s="13" t="s">
        <v>177</v>
      </c>
      <c r="B138" s="10" t="s">
        <v>356</v>
      </c>
      <c r="C138" s="170"/>
      <c r="D138" s="259"/>
      <c r="E138" s="106"/>
    </row>
    <row r="139" spans="1:5" ht="12" customHeight="1" thickBot="1">
      <c r="A139" s="11" t="s">
        <v>178</v>
      </c>
      <c r="B139" s="10" t="s">
        <v>357</v>
      </c>
      <c r="C139" s="170"/>
      <c r="D139" s="259"/>
      <c r="E139" s="106"/>
    </row>
    <row r="140" spans="1:5" ht="12" customHeight="1" thickBot="1">
      <c r="A140" s="18" t="s">
        <v>10</v>
      </c>
      <c r="B140" s="59" t="s">
        <v>349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>
      <c r="A141" s="13" t="s">
        <v>56</v>
      </c>
      <c r="B141" s="7" t="s">
        <v>358</v>
      </c>
      <c r="C141" s="170"/>
      <c r="D141" s="259"/>
      <c r="E141" s="106"/>
    </row>
    <row r="142" spans="1:5" ht="12" customHeight="1">
      <c r="A142" s="13" t="s">
        <v>57</v>
      </c>
      <c r="B142" s="7" t="s">
        <v>350</v>
      </c>
      <c r="C142" s="170"/>
      <c r="D142" s="259"/>
      <c r="E142" s="106"/>
    </row>
    <row r="143" spans="1:5" ht="12" customHeight="1">
      <c r="A143" s="13" t="s">
        <v>58</v>
      </c>
      <c r="B143" s="7" t="s">
        <v>351</v>
      </c>
      <c r="C143" s="170"/>
      <c r="D143" s="259"/>
      <c r="E143" s="106"/>
    </row>
    <row r="144" spans="1:5" ht="12" customHeight="1">
      <c r="A144" s="13" t="s">
        <v>114</v>
      </c>
      <c r="B144" s="7" t="s">
        <v>352</v>
      </c>
      <c r="C144" s="170"/>
      <c r="D144" s="259"/>
      <c r="E144" s="106"/>
    </row>
    <row r="145" spans="1:9" ht="12" customHeight="1">
      <c r="A145" s="13" t="s">
        <v>115</v>
      </c>
      <c r="B145" s="7" t="s">
        <v>353</v>
      </c>
      <c r="C145" s="170"/>
      <c r="D145" s="259"/>
      <c r="E145" s="106"/>
    </row>
    <row r="146" spans="1:9" ht="12" customHeight="1" thickBot="1">
      <c r="A146" s="16" t="s">
        <v>116</v>
      </c>
      <c r="B146" s="320" t="s">
        <v>354</v>
      </c>
      <c r="C146" s="248"/>
      <c r="D146" s="297"/>
      <c r="E146" s="242"/>
    </row>
    <row r="147" spans="1:9" ht="12" customHeight="1" thickBot="1">
      <c r="A147" s="18" t="s">
        <v>11</v>
      </c>
      <c r="B147" s="59" t="s">
        <v>362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>
      <c r="A148" s="13" t="s">
        <v>59</v>
      </c>
      <c r="B148" s="7" t="s">
        <v>277</v>
      </c>
      <c r="C148" s="170"/>
      <c r="D148" s="259"/>
      <c r="E148" s="106"/>
    </row>
    <row r="149" spans="1:9" ht="12" customHeight="1">
      <c r="A149" s="13" t="s">
        <v>60</v>
      </c>
      <c r="B149" s="7" t="s">
        <v>278</v>
      </c>
      <c r="C149" s="170"/>
      <c r="D149" s="259"/>
      <c r="E149" s="106"/>
    </row>
    <row r="150" spans="1:9" ht="12" customHeight="1">
      <c r="A150" s="13" t="s">
        <v>194</v>
      </c>
      <c r="B150" s="7" t="s">
        <v>363</v>
      </c>
      <c r="C150" s="170"/>
      <c r="D150" s="259"/>
      <c r="E150" s="106"/>
    </row>
    <row r="151" spans="1:9" ht="12" customHeight="1" thickBot="1">
      <c r="A151" s="11" t="s">
        <v>195</v>
      </c>
      <c r="B151" s="5" t="s">
        <v>293</v>
      </c>
      <c r="C151" s="170"/>
      <c r="D151" s="259"/>
      <c r="E151" s="106"/>
    </row>
    <row r="152" spans="1:9" ht="12" customHeight="1" thickBot="1">
      <c r="A152" s="18" t="s">
        <v>12</v>
      </c>
      <c r="B152" s="59" t="s">
        <v>364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>
      <c r="A153" s="13" t="s">
        <v>61</v>
      </c>
      <c r="B153" s="7" t="s">
        <v>359</v>
      </c>
      <c r="C153" s="170"/>
      <c r="D153" s="259"/>
      <c r="E153" s="106"/>
    </row>
    <row r="154" spans="1:9" ht="12" customHeight="1">
      <c r="A154" s="13" t="s">
        <v>62</v>
      </c>
      <c r="B154" s="7" t="s">
        <v>366</v>
      </c>
      <c r="C154" s="170"/>
      <c r="D154" s="259"/>
      <c r="E154" s="106"/>
    </row>
    <row r="155" spans="1:9" ht="12" customHeight="1">
      <c r="A155" s="13" t="s">
        <v>206</v>
      </c>
      <c r="B155" s="7" t="s">
        <v>361</v>
      </c>
      <c r="C155" s="170"/>
      <c r="D155" s="259"/>
      <c r="E155" s="106"/>
    </row>
    <row r="156" spans="1:9" ht="12" customHeight="1">
      <c r="A156" s="13" t="s">
        <v>207</v>
      </c>
      <c r="B156" s="7" t="s">
        <v>367</v>
      </c>
      <c r="C156" s="170"/>
      <c r="D156" s="259"/>
      <c r="E156" s="106"/>
    </row>
    <row r="157" spans="1:9" ht="12" customHeight="1" thickBot="1">
      <c r="A157" s="13" t="s">
        <v>365</v>
      </c>
      <c r="B157" s="7" t="s">
        <v>368</v>
      </c>
      <c r="C157" s="170"/>
      <c r="D157" s="259"/>
      <c r="E157" s="106"/>
    </row>
    <row r="158" spans="1:9" ht="12" customHeight="1" thickBot="1">
      <c r="A158" s="18" t="s">
        <v>13</v>
      </c>
      <c r="B158" s="59" t="s">
        <v>369</v>
      </c>
      <c r="C158" s="251"/>
      <c r="D158" s="263"/>
      <c r="E158" s="245"/>
    </row>
    <row r="159" spans="1:9" ht="12" customHeight="1" thickBot="1">
      <c r="A159" s="18" t="s">
        <v>14</v>
      </c>
      <c r="B159" s="59" t="s">
        <v>370</v>
      </c>
      <c r="C159" s="251"/>
      <c r="D159" s="263"/>
      <c r="E159" s="245"/>
    </row>
    <row r="160" spans="1:9" ht="15.2" customHeight="1" thickBot="1">
      <c r="A160" s="18" t="s">
        <v>15</v>
      </c>
      <c r="B160" s="59" t="s">
        <v>372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>
      <c r="A161" s="115" t="s">
        <v>16</v>
      </c>
      <c r="B161" s="156" t="s">
        <v>371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>
      <c r="C162" s="662">
        <f>C93-C161</f>
        <v>0</v>
      </c>
      <c r="D162" s="662">
        <f>D93-D161</f>
        <v>0</v>
      </c>
    </row>
    <row r="163" spans="1:5">
      <c r="A163" s="791" t="s">
        <v>279</v>
      </c>
      <c r="B163" s="791"/>
      <c r="C163" s="791"/>
      <c r="D163" s="791"/>
      <c r="E163" s="791"/>
    </row>
    <row r="164" spans="1:5" ht="15.2" customHeight="1" thickBot="1">
      <c r="A164" s="783" t="s">
        <v>102</v>
      </c>
      <c r="B164" s="783"/>
      <c r="C164" s="117"/>
      <c r="E164" s="117" t="str">
        <f>E96</f>
        <v xml:space="preserve"> Forintban!</v>
      </c>
    </row>
    <row r="165" spans="1:5" ht="25.5" customHeight="1" thickBot="1">
      <c r="A165" s="18">
        <v>1</v>
      </c>
      <c r="B165" s="23" t="s">
        <v>373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>
      <c r="A166" s="18" t="s">
        <v>7</v>
      </c>
      <c r="B166" s="23" t="s">
        <v>379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CONCATENATE(Z_ALAPADATOK!M27," melléklet ",Z_ALAPADATOK!A7," ",Z_ALAPADATOK!B7," ",Z_ALAPADATOK!C7," ",Z_ALAPADATOK!D7," ",Z_ALAPADATOK!E7," ",Z_ALAPADATOK!F7," ",Z_ALAPADATOK!G7," ",Z_ALAPADATOK!H7)</f>
        <v>6.10.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CONCATENATE(Z_ALAPADATOK!B27)</f>
        <v>8 kvi név</v>
      </c>
      <c r="C2" s="857"/>
      <c r="D2" s="858"/>
      <c r="E2" s="330" t="s">
        <v>518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CONCATENATE(Z_6.9.3.sz.mell!E5)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CONCATENATE(Z_ALAPADATOK!M27,"1. melléklet ",Z_ALAPADATOK!A7," ",Z_ALAPADATOK!B7," ",Z_ALAPADATOK!C7," ",Z_ALAPADATOK!D7," ",Z_ALAPADATOK!E7," ",Z_ALAPADATOK!F7," ",Z_ALAPADATOK!G7," ",Z_ALAPADATOK!H7)</f>
        <v>6.10.1.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CONCATENATE(Z_6.10.sz.mell!B2:D2)</f>
        <v>8 kvi név</v>
      </c>
      <c r="C2" s="857"/>
      <c r="D2" s="858"/>
      <c r="E2" s="330" t="s">
        <v>518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Z_6.10.sz.mell!E4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CONCATENATE(Z_6.10.sz.mell!E5)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CONCATENATE(Z_ALAPADATOK!M27,"2. melléklet ",Z_ALAPADATOK!A7," ",Z_ALAPADATOK!B7," ",Z_ALAPADATOK!C7," ",Z_ALAPADATOK!D7," ",Z_ALAPADATOK!E7," ",Z_ALAPADATOK!F7," ",Z_ALAPADATOK!G7," ",Z_ALAPADATOK!H7)</f>
        <v>6.10.2.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CONCATENATE(Z_6.10.1.sz.mell!B2:D2)</f>
        <v>8 kvi név</v>
      </c>
      <c r="C2" s="857"/>
      <c r="D2" s="858"/>
      <c r="E2" s="330" t="s">
        <v>518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Z_6.10.1.sz.mell!E4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CONCATENATE(Z_6.10.1.sz.mell!E5)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CONCATENATE(Z_ALAPADATOK!M27,"3. melléklet ",Z_ALAPADATOK!A7," ",Z_ALAPADATOK!B7," ",Z_ALAPADATOK!C7," ",Z_ALAPADATOK!D7," ",Z_ALAPADATOK!E7," ",Z_ALAPADATOK!F7," ",Z_ALAPADATOK!G7," ",Z_ALAPADATOK!H7)</f>
        <v>6.10.3.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CONCATENATE(Z_6.10.2.sz.mell!B2:D2)</f>
        <v>8 kvi név</v>
      </c>
      <c r="C2" s="857"/>
      <c r="D2" s="858"/>
      <c r="E2" s="330" t="s">
        <v>518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Z_6.10.2.sz.mell!E4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CONCATENATE(Z_6.10.2.sz.mell!E5)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CONCATENATE(Z_ALAPADATOK!M29," melléklet ",Z_ALAPADATOK!A7," ",Z_ALAPADATOK!B7," ",Z_ALAPADATOK!C7," ",Z_ALAPADATOK!D7," ",Z_ALAPADATOK!E7," ",Z_ALAPADATOK!F7," ",Z_ALAPADATOK!G7," ",Z_ALAPADATOK!H7)</f>
        <v>6.11.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CONCATENATE(Z_ALAPADATOK!B29)</f>
        <v>9 kvi név</v>
      </c>
      <c r="C2" s="857"/>
      <c r="D2" s="858"/>
      <c r="E2" s="330" t="s">
        <v>519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CONCATENATE(Z_6.10.3.sz.mell!E5)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CONCATENATE(Z_ALAPADATOK!M29,"1. melléklet ",Z_ALAPADATOK!A7," ",Z_ALAPADATOK!B7," ",Z_ALAPADATOK!C7," ",Z_ALAPADATOK!D7," ",Z_ALAPADATOK!E7," ",Z_ALAPADATOK!F7," ",Z_ALAPADATOK!G7," ",Z_ALAPADATOK!H7)</f>
        <v>6.11.1.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CONCATENATE(Z_6.11.sz.mell!B2:D2)</f>
        <v>9 kvi név</v>
      </c>
      <c r="C2" s="857"/>
      <c r="D2" s="858"/>
      <c r="E2" s="330" t="s">
        <v>519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Z_6.11.sz.mell!E4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CONCATENATE(Z_ALAPADATOK!M29,"2. melléklet ",Z_ALAPADATOK!A7," ",Z_ALAPADATOK!B7," ",Z_ALAPADATOK!C7," ",Z_ALAPADATOK!D7," ",Z_ALAPADATOK!E7," ",Z_ALAPADATOK!F7," ",Z_ALAPADATOK!G7," ",Z_ALAPADATOK!H7)</f>
        <v>6.11.2.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CONCATENATE(Z_6.11.1.sz.mell!B2:D2)</f>
        <v>9 kvi név</v>
      </c>
      <c r="C2" s="857"/>
      <c r="D2" s="858"/>
      <c r="E2" s="330" t="s">
        <v>519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Z_6.11.1.sz.mell!E4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CONCATENATE(Z_6.11.1.sz.mell!E5)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CONCATENATE(Z_ALAPADATOK!M29,"3. melléklet ",Z_ALAPADATOK!A7," ",Z_ALAPADATOK!B7," ",Z_ALAPADATOK!C7," ",Z_ALAPADATOK!D7," ",Z_ALAPADATOK!E7," ",Z_ALAPADATOK!F7," ",Z_ALAPADATOK!G7," ",Z_ALAPADATOK!H7)</f>
        <v>6.11.3.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CONCATENATE(Z_6.11.2.sz.mell!B2:D2)</f>
        <v>9 kvi név</v>
      </c>
      <c r="C2" s="857"/>
      <c r="D2" s="858"/>
      <c r="E2" s="330" t="s">
        <v>519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Z_6.11.2.sz.mell!E4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CONCATENATE(Z_6.11.2.sz.mell!E5)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4" t="str">
        <f>CONCATENATE(Z_ALAPADATOK!M31," melléklet ",Z_ALAPADATOK!A7," ",Z_ALAPADATOK!B7," ",Z_ALAPADATOK!C7," ",Z_ALAPADATOK!D7," ",Z_ALAPADATOK!E7," ",Z_ALAPADATOK!F7," ",Z_ALAPADATOK!G7," ",Z_ALAPADATOK!H7)</f>
        <v>6.12. melléklet a … / 2021. ( … ) önkormányzati rendelethez</v>
      </c>
      <c r="C1" s="855"/>
      <c r="D1" s="855"/>
      <c r="E1" s="855"/>
    </row>
    <row r="2" spans="1:5" s="217" customFormat="1" ht="25.5" customHeight="1" thickBot="1">
      <c r="A2" s="329" t="s">
        <v>450</v>
      </c>
      <c r="B2" s="856" t="str">
        <f>CONCATENATE(Z_ALAPADATOK!B31)</f>
        <v>10 kvi név</v>
      </c>
      <c r="C2" s="857"/>
      <c r="D2" s="858"/>
      <c r="E2" s="330" t="s">
        <v>520</v>
      </c>
    </row>
    <row r="3" spans="1:5" s="217" customFormat="1" ht="24.75" thickBot="1">
      <c r="A3" s="329" t="s">
        <v>134</v>
      </c>
      <c r="B3" s="856" t="s">
        <v>301</v>
      </c>
      <c r="C3" s="857"/>
      <c r="D3" s="858"/>
      <c r="E3" s="330" t="s">
        <v>38</v>
      </c>
    </row>
    <row r="4" spans="1:5" s="218" customFormat="1" ht="15.95" customHeight="1" thickBot="1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CONCATENATE(Z_6.11.3.sz.mell!E5)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CONCATENATE(Z_ALAPADATOK!M31,"1. melléklet ",Z_ALAPADATOK!A7," ",Z_ALAPADATOK!B7," ",Z_ALAPADATOK!C7," ",Z_ALAPADATOK!D7," ",Z_ALAPADATOK!E7," ",Z_ALAPADATOK!F7," ",Z_ALAPADATOK!G7," ",Z_ALAPADATOK!H7)</f>
        <v>6.12.1.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CONCATENATE(Z_6.12.sz.mell!B2:D2)</f>
        <v>10 kvi név</v>
      </c>
      <c r="C2" s="857"/>
      <c r="D2" s="858"/>
      <c r="E2" s="330" t="s">
        <v>520</v>
      </c>
    </row>
    <row r="3" spans="1:5" s="217" customFormat="1" ht="24.75" thickBot="1">
      <c r="A3" s="329" t="s">
        <v>134</v>
      </c>
      <c r="B3" s="856" t="s">
        <v>320</v>
      </c>
      <c r="C3" s="857"/>
      <c r="D3" s="858"/>
      <c r="E3" s="330" t="s">
        <v>42</v>
      </c>
    </row>
    <row r="4" spans="1:5" s="218" customFormat="1" ht="15.95" customHeight="1" thickBot="1">
      <c r="A4" s="331"/>
      <c r="B4" s="331"/>
      <c r="C4" s="332"/>
      <c r="D4" s="333"/>
      <c r="E4" s="332" t="str">
        <f>Z_6.12.sz.mell!E4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>
      <c r="A1" s="321"/>
      <c r="B1" s="778" t="str">
        <f>CONCATENATE("1.4. melléklet ",Z_ALAPADATOK!A7," ",Z_ALAPADATOK!B7," ",Z_ALAPADATOK!C7," ",Z_ALAPADATOK!D7," ",Z_ALAPADATOK!E7," ",Z_ALAPADATOK!F7," ",Z_ALAPADATOK!G7," ",Z_ALAPADATOK!H7)</f>
        <v>1.4. melléklet a … / 2021. ( … ) önkormányzati rendelethez</v>
      </c>
      <c r="C1" s="779"/>
      <c r="D1" s="779"/>
      <c r="E1" s="779"/>
    </row>
    <row r="2" spans="1:5">
      <c r="A2" s="780" t="str">
        <f>CONCATENATE(Z_ALAPADATOK!A3)</f>
        <v>Borsodivánka Község Önkormányzata</v>
      </c>
      <c r="B2" s="781"/>
      <c r="C2" s="781"/>
      <c r="D2" s="781"/>
      <c r="E2" s="781"/>
    </row>
    <row r="3" spans="1:5">
      <c r="A3" s="796" t="str">
        <f>CONCATENATE(Z_ALAPADATOK!B1,". ÉVI ZÁRSZÁMADÁS")</f>
        <v>2020. ÉVI ZÁRSZÁMADÁS</v>
      </c>
      <c r="B3" s="796"/>
      <c r="C3" s="796"/>
      <c r="D3" s="796"/>
      <c r="E3" s="796"/>
    </row>
    <row r="4" spans="1:5" ht="17.25" customHeight="1">
      <c r="A4" s="796" t="s">
        <v>849</v>
      </c>
      <c r="B4" s="796"/>
      <c r="C4" s="796"/>
      <c r="D4" s="796"/>
      <c r="E4" s="796"/>
    </row>
    <row r="5" spans="1:5">
      <c r="A5" s="321"/>
      <c r="B5" s="321"/>
      <c r="C5" s="322"/>
      <c r="D5" s="323"/>
      <c r="E5" s="323"/>
    </row>
    <row r="6" spans="1:5" ht="15.95" customHeight="1">
      <c r="A6" s="792" t="s">
        <v>3</v>
      </c>
      <c r="B6" s="792"/>
      <c r="C6" s="792"/>
      <c r="D6" s="792"/>
      <c r="E6" s="792"/>
    </row>
    <row r="7" spans="1:5" ht="15.95" customHeight="1" thickBot="1">
      <c r="A7" s="794" t="s">
        <v>100</v>
      </c>
      <c r="B7" s="794"/>
      <c r="C7" s="324"/>
      <c r="D7" s="323"/>
      <c r="E7" s="324" t="str">
        <f>CONCATENATE(Z_1.3.sz.mell.!E7)</f>
        <v xml:space="preserve"> Forintban!</v>
      </c>
    </row>
    <row r="8" spans="1:5">
      <c r="A8" s="784" t="s">
        <v>51</v>
      </c>
      <c r="B8" s="786" t="s">
        <v>5</v>
      </c>
      <c r="C8" s="788" t="str">
        <f>+CONCATENATE(LEFT(Z_ÖSSZEFÜGGÉSEK!A6,4),". évi")</f>
        <v>2020. évi</v>
      </c>
      <c r="D8" s="789"/>
      <c r="E8" s="790"/>
    </row>
    <row r="9" spans="1:5" ht="24.75" thickBot="1">
      <c r="A9" s="785"/>
      <c r="B9" s="787"/>
      <c r="C9" s="254" t="s">
        <v>415</v>
      </c>
      <c r="D9" s="253" t="s">
        <v>416</v>
      </c>
      <c r="E9" s="314" t="str">
        <f>CONCATENATE(Z_1.3.sz.mell.!E9)</f>
        <v>2020. XII. 31.
teljesítés</v>
      </c>
    </row>
    <row r="10" spans="1:5" s="180" customFormat="1" ht="12" customHeight="1" thickBot="1">
      <c r="A10" s="176" t="s">
        <v>382</v>
      </c>
      <c r="B10" s="177" t="s">
        <v>383</v>
      </c>
      <c r="C10" s="177" t="s">
        <v>384</v>
      </c>
      <c r="D10" s="177" t="s">
        <v>386</v>
      </c>
      <c r="E10" s="255" t="s">
        <v>385</v>
      </c>
    </row>
    <row r="11" spans="1:5" s="181" customFormat="1" ht="12" customHeight="1" thickBot="1">
      <c r="A11" s="18" t="s">
        <v>6</v>
      </c>
      <c r="B11" s="19" t="s">
        <v>161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>
      <c r="A12" s="13" t="s">
        <v>63</v>
      </c>
      <c r="B12" s="182" t="s">
        <v>162</v>
      </c>
      <c r="C12" s="171"/>
      <c r="D12" s="171"/>
      <c r="E12" s="107"/>
    </row>
    <row r="13" spans="1:5" s="181" customFormat="1" ht="12" customHeight="1">
      <c r="A13" s="12" t="s">
        <v>64</v>
      </c>
      <c r="B13" s="183" t="s">
        <v>163</v>
      </c>
      <c r="C13" s="170"/>
      <c r="D13" s="170"/>
      <c r="E13" s="106"/>
    </row>
    <row r="14" spans="1:5" s="181" customFormat="1" ht="12" customHeight="1">
      <c r="A14" s="12" t="s">
        <v>65</v>
      </c>
      <c r="B14" s="183" t="s">
        <v>164</v>
      </c>
      <c r="C14" s="170"/>
      <c r="D14" s="170"/>
      <c r="E14" s="106"/>
    </row>
    <row r="15" spans="1:5" s="181" customFormat="1" ht="12" customHeight="1">
      <c r="A15" s="12" t="s">
        <v>66</v>
      </c>
      <c r="B15" s="183" t="s">
        <v>165</v>
      </c>
      <c r="C15" s="170"/>
      <c r="D15" s="170"/>
      <c r="E15" s="106"/>
    </row>
    <row r="16" spans="1:5" s="181" customFormat="1" ht="12" customHeight="1">
      <c r="A16" s="12" t="s">
        <v>97</v>
      </c>
      <c r="B16" s="113" t="s">
        <v>331</v>
      </c>
      <c r="C16" s="170"/>
      <c r="D16" s="170"/>
      <c r="E16" s="106"/>
    </row>
    <row r="17" spans="1:5" s="181" customFormat="1" ht="12" customHeight="1" thickBot="1">
      <c r="A17" s="14" t="s">
        <v>67</v>
      </c>
      <c r="B17" s="114" t="s">
        <v>332</v>
      </c>
      <c r="C17" s="170"/>
      <c r="D17" s="170"/>
      <c r="E17" s="106"/>
    </row>
    <row r="18" spans="1:5" s="181" customFormat="1" ht="12" customHeight="1" thickBot="1">
      <c r="A18" s="18" t="s">
        <v>7</v>
      </c>
      <c r="B18" s="112" t="s">
        <v>166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>
      <c r="A19" s="13" t="s">
        <v>69</v>
      </c>
      <c r="B19" s="182" t="s">
        <v>167</v>
      </c>
      <c r="C19" s="171"/>
      <c r="D19" s="171"/>
      <c r="E19" s="107"/>
    </row>
    <row r="20" spans="1:5" s="181" customFormat="1" ht="12" customHeight="1">
      <c r="A20" s="12" t="s">
        <v>70</v>
      </c>
      <c r="B20" s="183" t="s">
        <v>168</v>
      </c>
      <c r="C20" s="170"/>
      <c r="D20" s="170"/>
      <c r="E20" s="106"/>
    </row>
    <row r="21" spans="1:5" s="181" customFormat="1" ht="12" customHeight="1">
      <c r="A21" s="12" t="s">
        <v>71</v>
      </c>
      <c r="B21" s="183" t="s">
        <v>323</v>
      </c>
      <c r="C21" s="170"/>
      <c r="D21" s="170"/>
      <c r="E21" s="106"/>
    </row>
    <row r="22" spans="1:5" s="181" customFormat="1" ht="12" customHeight="1">
      <c r="A22" s="12" t="s">
        <v>72</v>
      </c>
      <c r="B22" s="183" t="s">
        <v>324</v>
      </c>
      <c r="C22" s="170"/>
      <c r="D22" s="170"/>
      <c r="E22" s="106"/>
    </row>
    <row r="23" spans="1:5" s="181" customFormat="1" ht="12" customHeight="1">
      <c r="A23" s="12" t="s">
        <v>73</v>
      </c>
      <c r="B23" s="183" t="s">
        <v>169</v>
      </c>
      <c r="C23" s="170"/>
      <c r="D23" s="170"/>
      <c r="E23" s="106"/>
    </row>
    <row r="24" spans="1:5" s="181" customFormat="1" ht="12" customHeight="1" thickBot="1">
      <c r="A24" s="14" t="s">
        <v>80</v>
      </c>
      <c r="B24" s="114" t="s">
        <v>170</v>
      </c>
      <c r="C24" s="172"/>
      <c r="D24" s="172"/>
      <c r="E24" s="108"/>
    </row>
    <row r="25" spans="1:5" s="181" customFormat="1" ht="12" customHeight="1" thickBot="1">
      <c r="A25" s="18" t="s">
        <v>8</v>
      </c>
      <c r="B25" s="19" t="s">
        <v>171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>
      <c r="A26" s="13" t="s">
        <v>52</v>
      </c>
      <c r="B26" s="182" t="s">
        <v>172</v>
      </c>
      <c r="C26" s="171"/>
      <c r="D26" s="171"/>
      <c r="E26" s="107"/>
    </row>
    <row r="27" spans="1:5" s="181" customFormat="1" ht="12" customHeight="1">
      <c r="A27" s="12" t="s">
        <v>53</v>
      </c>
      <c r="B27" s="183" t="s">
        <v>173</v>
      </c>
      <c r="C27" s="170"/>
      <c r="D27" s="170"/>
      <c r="E27" s="106"/>
    </row>
    <row r="28" spans="1:5" s="181" customFormat="1" ht="12" customHeight="1">
      <c r="A28" s="12" t="s">
        <v>54</v>
      </c>
      <c r="B28" s="183" t="s">
        <v>325</v>
      </c>
      <c r="C28" s="170"/>
      <c r="D28" s="170"/>
      <c r="E28" s="106"/>
    </row>
    <row r="29" spans="1:5" s="181" customFormat="1" ht="12" customHeight="1">
      <c r="A29" s="12" t="s">
        <v>55</v>
      </c>
      <c r="B29" s="183" t="s">
        <v>326</v>
      </c>
      <c r="C29" s="170"/>
      <c r="D29" s="170"/>
      <c r="E29" s="106"/>
    </row>
    <row r="30" spans="1:5" s="181" customFormat="1" ht="12" customHeight="1">
      <c r="A30" s="12" t="s">
        <v>110</v>
      </c>
      <c r="B30" s="183" t="s">
        <v>174</v>
      </c>
      <c r="C30" s="170"/>
      <c r="D30" s="170"/>
      <c r="E30" s="106"/>
    </row>
    <row r="31" spans="1:5" s="181" customFormat="1" ht="12" customHeight="1" thickBot="1">
      <c r="A31" s="14" t="s">
        <v>111</v>
      </c>
      <c r="B31" s="184" t="s">
        <v>175</v>
      </c>
      <c r="C31" s="172"/>
      <c r="D31" s="172"/>
      <c r="E31" s="108"/>
    </row>
    <row r="32" spans="1:5" s="181" customFormat="1" ht="12" customHeight="1" thickBot="1">
      <c r="A32" s="18" t="s">
        <v>112</v>
      </c>
      <c r="B32" s="19" t="s">
        <v>473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>
      <c r="A33" s="13" t="s">
        <v>176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>
      <c r="A34" s="12" t="s">
        <v>177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>
      <c r="A35" s="12" t="s">
        <v>178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>
      <c r="A36" s="12" t="s">
        <v>179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>
      <c r="A37" s="12" t="s">
        <v>477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>
      <c r="A38" s="12" t="s">
        <v>478</v>
      </c>
      <c r="B38" s="182" t="str">
        <f>Z_1.1.sz.mell.!B38</f>
        <v>Egyéb közhatalmi bevételek</v>
      </c>
      <c r="C38" s="170"/>
      <c r="D38" s="170"/>
      <c r="E38" s="106"/>
    </row>
    <row r="39" spans="1:5" s="181" customFormat="1" ht="12" customHeight="1" thickBot="1">
      <c r="A39" s="14" t="s">
        <v>479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>
      <c r="A40" s="18" t="s">
        <v>10</v>
      </c>
      <c r="B40" s="19" t="s">
        <v>333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>
      <c r="A41" s="13" t="s">
        <v>56</v>
      </c>
      <c r="B41" s="182" t="s">
        <v>183</v>
      </c>
      <c r="C41" s="171"/>
      <c r="D41" s="171"/>
      <c r="E41" s="107"/>
    </row>
    <row r="42" spans="1:5" s="181" customFormat="1" ht="12" customHeight="1">
      <c r="A42" s="12" t="s">
        <v>57</v>
      </c>
      <c r="B42" s="183" t="s">
        <v>184</v>
      </c>
      <c r="C42" s="170"/>
      <c r="D42" s="170"/>
      <c r="E42" s="106"/>
    </row>
    <row r="43" spans="1:5" s="181" customFormat="1" ht="12" customHeight="1">
      <c r="A43" s="12" t="s">
        <v>58</v>
      </c>
      <c r="B43" s="183" t="s">
        <v>185</v>
      </c>
      <c r="C43" s="170"/>
      <c r="D43" s="170"/>
      <c r="E43" s="106"/>
    </row>
    <row r="44" spans="1:5" s="181" customFormat="1" ht="12" customHeight="1">
      <c r="A44" s="12" t="s">
        <v>114</v>
      </c>
      <c r="B44" s="183" t="s">
        <v>186</v>
      </c>
      <c r="C44" s="170"/>
      <c r="D44" s="170"/>
      <c r="E44" s="106"/>
    </row>
    <row r="45" spans="1:5" s="181" customFormat="1" ht="12" customHeight="1">
      <c r="A45" s="12" t="s">
        <v>115</v>
      </c>
      <c r="B45" s="183" t="s">
        <v>187</v>
      </c>
      <c r="C45" s="170"/>
      <c r="D45" s="170"/>
      <c r="E45" s="106"/>
    </row>
    <row r="46" spans="1:5" s="181" customFormat="1" ht="12" customHeight="1">
      <c r="A46" s="12" t="s">
        <v>116</v>
      </c>
      <c r="B46" s="183" t="s">
        <v>188</v>
      </c>
      <c r="C46" s="170"/>
      <c r="D46" s="170"/>
      <c r="E46" s="106"/>
    </row>
    <row r="47" spans="1:5" s="181" customFormat="1" ht="12" customHeight="1">
      <c r="A47" s="12" t="s">
        <v>117</v>
      </c>
      <c r="B47" s="183" t="s">
        <v>189</v>
      </c>
      <c r="C47" s="170"/>
      <c r="D47" s="170"/>
      <c r="E47" s="106"/>
    </row>
    <row r="48" spans="1:5" s="181" customFormat="1" ht="12" customHeight="1">
      <c r="A48" s="12" t="s">
        <v>118</v>
      </c>
      <c r="B48" s="183" t="s">
        <v>480</v>
      </c>
      <c r="C48" s="170"/>
      <c r="D48" s="170"/>
      <c r="E48" s="106"/>
    </row>
    <row r="49" spans="1:5" s="181" customFormat="1" ht="12" customHeight="1">
      <c r="A49" s="12" t="s">
        <v>181</v>
      </c>
      <c r="B49" s="183" t="s">
        <v>191</v>
      </c>
      <c r="C49" s="173"/>
      <c r="D49" s="173"/>
      <c r="E49" s="109"/>
    </row>
    <row r="50" spans="1:5" s="181" customFormat="1" ht="12" customHeight="1">
      <c r="A50" s="14" t="s">
        <v>182</v>
      </c>
      <c r="B50" s="184" t="s">
        <v>335</v>
      </c>
      <c r="C50" s="174"/>
      <c r="D50" s="174"/>
      <c r="E50" s="110"/>
    </row>
    <row r="51" spans="1:5" s="181" customFormat="1" ht="12" customHeight="1" thickBot="1">
      <c r="A51" s="14" t="s">
        <v>334</v>
      </c>
      <c r="B51" s="114" t="s">
        <v>192</v>
      </c>
      <c r="C51" s="174"/>
      <c r="D51" s="174"/>
      <c r="E51" s="110"/>
    </row>
    <row r="52" spans="1:5" s="181" customFormat="1" ht="12" customHeight="1" thickBot="1">
      <c r="A52" s="18" t="s">
        <v>11</v>
      </c>
      <c r="B52" s="19" t="s">
        <v>193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>
      <c r="A53" s="13" t="s">
        <v>59</v>
      </c>
      <c r="B53" s="182" t="s">
        <v>197</v>
      </c>
      <c r="C53" s="222"/>
      <c r="D53" s="222"/>
      <c r="E53" s="111"/>
    </row>
    <row r="54" spans="1:5" s="181" customFormat="1" ht="12" customHeight="1">
      <c r="A54" s="12" t="s">
        <v>60</v>
      </c>
      <c r="B54" s="183" t="s">
        <v>198</v>
      </c>
      <c r="C54" s="173"/>
      <c r="D54" s="173"/>
      <c r="E54" s="109"/>
    </row>
    <row r="55" spans="1:5" s="181" customFormat="1" ht="12" customHeight="1">
      <c r="A55" s="12" t="s">
        <v>194</v>
      </c>
      <c r="B55" s="183" t="s">
        <v>199</v>
      </c>
      <c r="C55" s="173"/>
      <c r="D55" s="173"/>
      <c r="E55" s="109"/>
    </row>
    <row r="56" spans="1:5" s="181" customFormat="1" ht="12" customHeight="1">
      <c r="A56" s="12" t="s">
        <v>195</v>
      </c>
      <c r="B56" s="183" t="s">
        <v>200</v>
      </c>
      <c r="C56" s="173"/>
      <c r="D56" s="173"/>
      <c r="E56" s="109"/>
    </row>
    <row r="57" spans="1:5" s="181" customFormat="1" ht="12" customHeight="1" thickBot="1">
      <c r="A57" s="14" t="s">
        <v>196</v>
      </c>
      <c r="B57" s="114" t="s">
        <v>201</v>
      </c>
      <c r="C57" s="174"/>
      <c r="D57" s="174"/>
      <c r="E57" s="110"/>
    </row>
    <row r="58" spans="1:5" s="181" customFormat="1" ht="12" customHeight="1" thickBot="1">
      <c r="A58" s="18" t="s">
        <v>119</v>
      </c>
      <c r="B58" s="19" t="s">
        <v>202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>
      <c r="A59" s="13" t="s">
        <v>61</v>
      </c>
      <c r="B59" s="182" t="s">
        <v>203</v>
      </c>
      <c r="C59" s="171"/>
      <c r="D59" s="171"/>
      <c r="E59" s="107"/>
    </row>
    <row r="60" spans="1:5" s="181" customFormat="1" ht="12" customHeight="1">
      <c r="A60" s="12" t="s">
        <v>62</v>
      </c>
      <c r="B60" s="183" t="s">
        <v>327</v>
      </c>
      <c r="C60" s="170"/>
      <c r="D60" s="170"/>
      <c r="E60" s="106"/>
    </row>
    <row r="61" spans="1:5" s="181" customFormat="1" ht="12" customHeight="1">
      <c r="A61" s="12" t="s">
        <v>206</v>
      </c>
      <c r="B61" s="183" t="s">
        <v>204</v>
      </c>
      <c r="C61" s="170"/>
      <c r="D61" s="170"/>
      <c r="E61" s="106"/>
    </row>
    <row r="62" spans="1:5" s="181" customFormat="1" ht="12" customHeight="1" thickBot="1">
      <c r="A62" s="14" t="s">
        <v>207</v>
      </c>
      <c r="B62" s="114" t="s">
        <v>205</v>
      </c>
      <c r="C62" s="172"/>
      <c r="D62" s="172"/>
      <c r="E62" s="108"/>
    </row>
    <row r="63" spans="1:5" s="181" customFormat="1" ht="12" customHeight="1" thickBot="1">
      <c r="A63" s="18" t="s">
        <v>13</v>
      </c>
      <c r="B63" s="112" t="s">
        <v>208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>
      <c r="A64" s="13" t="s">
        <v>120</v>
      </c>
      <c r="B64" s="182" t="s">
        <v>210</v>
      </c>
      <c r="C64" s="173"/>
      <c r="D64" s="173"/>
      <c r="E64" s="109"/>
    </row>
    <row r="65" spans="1:5" s="181" customFormat="1" ht="12" customHeight="1">
      <c r="A65" s="12" t="s">
        <v>121</v>
      </c>
      <c r="B65" s="183" t="s">
        <v>328</v>
      </c>
      <c r="C65" s="173"/>
      <c r="D65" s="173"/>
      <c r="E65" s="109"/>
    </row>
    <row r="66" spans="1:5" s="181" customFormat="1" ht="12" customHeight="1">
      <c r="A66" s="12" t="s">
        <v>143</v>
      </c>
      <c r="B66" s="183" t="s">
        <v>211</v>
      </c>
      <c r="C66" s="173"/>
      <c r="D66" s="173"/>
      <c r="E66" s="109"/>
    </row>
    <row r="67" spans="1:5" s="181" customFormat="1" ht="12" customHeight="1" thickBot="1">
      <c r="A67" s="14" t="s">
        <v>209</v>
      </c>
      <c r="B67" s="114" t="s">
        <v>212</v>
      </c>
      <c r="C67" s="173"/>
      <c r="D67" s="173"/>
      <c r="E67" s="109"/>
    </row>
    <row r="68" spans="1:5" s="181" customFormat="1" ht="12" customHeight="1" thickBot="1">
      <c r="A68" s="237" t="s">
        <v>375</v>
      </c>
      <c r="B68" s="19" t="s">
        <v>213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>
      <c r="A69" s="223" t="s">
        <v>214</v>
      </c>
      <c r="B69" s="112" t="s">
        <v>215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>
      <c r="A70" s="13" t="s">
        <v>243</v>
      </c>
      <c r="B70" s="182" t="s">
        <v>216</v>
      </c>
      <c r="C70" s="173"/>
      <c r="D70" s="173"/>
      <c r="E70" s="109"/>
    </row>
    <row r="71" spans="1:5" s="181" customFormat="1" ht="12" customHeight="1">
      <c r="A71" s="12" t="s">
        <v>252</v>
      </c>
      <c r="B71" s="183" t="s">
        <v>217</v>
      </c>
      <c r="C71" s="173"/>
      <c r="D71" s="173"/>
      <c r="E71" s="109"/>
    </row>
    <row r="72" spans="1:5" s="181" customFormat="1" ht="12" customHeight="1" thickBot="1">
      <c r="A72" s="14" t="s">
        <v>253</v>
      </c>
      <c r="B72" s="233" t="s">
        <v>360</v>
      </c>
      <c r="C72" s="173"/>
      <c r="D72" s="173"/>
      <c r="E72" s="109"/>
    </row>
    <row r="73" spans="1:5" s="181" customFormat="1" ht="12" customHeight="1" thickBot="1">
      <c r="A73" s="223" t="s">
        <v>219</v>
      </c>
      <c r="B73" s="112" t="s">
        <v>220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>
      <c r="A74" s="13" t="s">
        <v>98</v>
      </c>
      <c r="B74" s="312" t="s">
        <v>221</v>
      </c>
      <c r="C74" s="173"/>
      <c r="D74" s="173"/>
      <c r="E74" s="109"/>
    </row>
    <row r="75" spans="1:5" s="181" customFormat="1" ht="12" customHeight="1">
      <c r="A75" s="12" t="s">
        <v>99</v>
      </c>
      <c r="B75" s="312" t="s">
        <v>487</v>
      </c>
      <c r="C75" s="173"/>
      <c r="D75" s="173"/>
      <c r="E75" s="109"/>
    </row>
    <row r="76" spans="1:5" s="181" customFormat="1" ht="12" customHeight="1">
      <c r="A76" s="12" t="s">
        <v>244</v>
      </c>
      <c r="B76" s="312" t="s">
        <v>222</v>
      </c>
      <c r="C76" s="173"/>
      <c r="D76" s="173"/>
      <c r="E76" s="109"/>
    </row>
    <row r="77" spans="1:5" s="181" customFormat="1" ht="12" customHeight="1" thickBot="1">
      <c r="A77" s="14" t="s">
        <v>245</v>
      </c>
      <c r="B77" s="313" t="s">
        <v>488</v>
      </c>
      <c r="C77" s="173"/>
      <c r="D77" s="173"/>
      <c r="E77" s="109"/>
    </row>
    <row r="78" spans="1:5" s="181" customFormat="1" ht="12" customHeight="1" thickBot="1">
      <c r="A78" s="223" t="s">
        <v>223</v>
      </c>
      <c r="B78" s="112" t="s">
        <v>224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>
      <c r="A79" s="13" t="s">
        <v>246</v>
      </c>
      <c r="B79" s="182" t="s">
        <v>225</v>
      </c>
      <c r="C79" s="173"/>
      <c r="D79" s="173"/>
      <c r="E79" s="109"/>
    </row>
    <row r="80" spans="1:5" s="181" customFormat="1" ht="12" customHeight="1" thickBot="1">
      <c r="A80" s="14" t="s">
        <v>247</v>
      </c>
      <c r="B80" s="114" t="s">
        <v>226</v>
      </c>
      <c r="C80" s="173"/>
      <c r="D80" s="173"/>
      <c r="E80" s="109"/>
    </row>
    <row r="81" spans="1:5" s="181" customFormat="1" ht="12" customHeight="1" thickBot="1">
      <c r="A81" s="223" t="s">
        <v>227</v>
      </c>
      <c r="B81" s="112" t="s">
        <v>228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>
      <c r="A82" s="13" t="s">
        <v>248</v>
      </c>
      <c r="B82" s="182" t="s">
        <v>229</v>
      </c>
      <c r="C82" s="173"/>
      <c r="D82" s="173"/>
      <c r="E82" s="109"/>
    </row>
    <row r="83" spans="1:5" s="181" customFormat="1" ht="12" customHeight="1">
      <c r="A83" s="12" t="s">
        <v>249</v>
      </c>
      <c r="B83" s="183" t="s">
        <v>230</v>
      </c>
      <c r="C83" s="173"/>
      <c r="D83" s="173"/>
      <c r="E83" s="109"/>
    </row>
    <row r="84" spans="1:5" s="181" customFormat="1" ht="12" customHeight="1" thickBot="1">
      <c r="A84" s="14" t="s">
        <v>250</v>
      </c>
      <c r="B84" s="114" t="s">
        <v>489</v>
      </c>
      <c r="C84" s="173"/>
      <c r="D84" s="173"/>
      <c r="E84" s="109"/>
    </row>
    <row r="85" spans="1:5" s="181" customFormat="1" ht="12" customHeight="1" thickBot="1">
      <c r="A85" s="223" t="s">
        <v>231</v>
      </c>
      <c r="B85" s="112" t="s">
        <v>251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>
      <c r="A86" s="186" t="s">
        <v>232</v>
      </c>
      <c r="B86" s="182" t="s">
        <v>233</v>
      </c>
      <c r="C86" s="173"/>
      <c r="D86" s="173"/>
      <c r="E86" s="109"/>
    </row>
    <row r="87" spans="1:5" s="181" customFormat="1" ht="12" customHeight="1">
      <c r="A87" s="187" t="s">
        <v>234</v>
      </c>
      <c r="B87" s="183" t="s">
        <v>235</v>
      </c>
      <c r="C87" s="173"/>
      <c r="D87" s="173"/>
      <c r="E87" s="109"/>
    </row>
    <row r="88" spans="1:5" s="181" customFormat="1" ht="12" customHeight="1">
      <c r="A88" s="187" t="s">
        <v>236</v>
      </c>
      <c r="B88" s="183" t="s">
        <v>237</v>
      </c>
      <c r="C88" s="173"/>
      <c r="D88" s="173"/>
      <c r="E88" s="109"/>
    </row>
    <row r="89" spans="1:5" s="181" customFormat="1" ht="12" customHeight="1" thickBot="1">
      <c r="A89" s="188" t="s">
        <v>238</v>
      </c>
      <c r="B89" s="114" t="s">
        <v>239</v>
      </c>
      <c r="C89" s="173"/>
      <c r="D89" s="173"/>
      <c r="E89" s="109"/>
    </row>
    <row r="90" spans="1:5" s="181" customFormat="1" ht="12" customHeight="1" thickBot="1">
      <c r="A90" s="223" t="s">
        <v>240</v>
      </c>
      <c r="B90" s="112" t="s">
        <v>374</v>
      </c>
      <c r="C90" s="225"/>
      <c r="D90" s="225"/>
      <c r="E90" s="226"/>
    </row>
    <row r="91" spans="1:5" s="181" customFormat="1" ht="13.5" customHeight="1" thickBot="1">
      <c r="A91" s="223" t="s">
        <v>242</v>
      </c>
      <c r="B91" s="112" t="s">
        <v>241</v>
      </c>
      <c r="C91" s="225"/>
      <c r="D91" s="225"/>
      <c r="E91" s="226"/>
    </row>
    <row r="92" spans="1:5" s="181" customFormat="1" ht="15.75" customHeight="1" thickBot="1">
      <c r="A92" s="223" t="s">
        <v>254</v>
      </c>
      <c r="B92" s="189" t="s">
        <v>377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>
      <c r="A93" s="224" t="s">
        <v>376</v>
      </c>
      <c r="B93" s="190" t="s">
        <v>378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>
      <c r="A94" s="3"/>
      <c r="B94" s="4"/>
      <c r="C94" s="116"/>
    </row>
    <row r="95" spans="1:5" ht="16.5" customHeight="1">
      <c r="A95" s="793" t="s">
        <v>34</v>
      </c>
      <c r="B95" s="793"/>
      <c r="C95" s="793"/>
      <c r="D95" s="793"/>
      <c r="E95" s="793"/>
    </row>
    <row r="96" spans="1:5" s="191" customFormat="1" ht="16.5" customHeight="1" thickBot="1">
      <c r="A96" s="795" t="s">
        <v>101</v>
      </c>
      <c r="B96" s="795"/>
      <c r="C96" s="63"/>
      <c r="E96" s="63" t="str">
        <f>E7</f>
        <v xml:space="preserve"> Forintban!</v>
      </c>
    </row>
    <row r="97" spans="1:5">
      <c r="A97" s="784" t="s">
        <v>51</v>
      </c>
      <c r="B97" s="786" t="s">
        <v>417</v>
      </c>
      <c r="C97" s="788" t="str">
        <f>+CONCATENATE(LEFT(Z_ÖSSZEFÜGGÉSEK!A6,4),". évi")</f>
        <v>2020. évi</v>
      </c>
      <c r="D97" s="789"/>
      <c r="E97" s="790"/>
    </row>
    <row r="98" spans="1:5" ht="24.75" thickBot="1">
      <c r="A98" s="785"/>
      <c r="B98" s="787"/>
      <c r="C98" s="254" t="s">
        <v>415</v>
      </c>
      <c r="D98" s="253" t="s">
        <v>416</v>
      </c>
      <c r="E98" s="314" t="str">
        <f>CONCATENATE(E9)</f>
        <v>2020. XII. 31.
teljesítés</v>
      </c>
    </row>
    <row r="99" spans="1:5" s="180" customFormat="1" ht="12" customHeight="1" thickBot="1">
      <c r="A99" s="25" t="s">
        <v>382</v>
      </c>
      <c r="B99" s="26" t="s">
        <v>383</v>
      </c>
      <c r="C99" s="26" t="s">
        <v>384</v>
      </c>
      <c r="D99" s="26" t="s">
        <v>386</v>
      </c>
      <c r="E99" s="265" t="s">
        <v>385</v>
      </c>
    </row>
    <row r="100" spans="1:5" ht="12" customHeight="1" thickBot="1">
      <c r="A100" s="20" t="s">
        <v>6</v>
      </c>
      <c r="B100" s="24" t="s">
        <v>336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>
      <c r="A101" s="15" t="s">
        <v>63</v>
      </c>
      <c r="B101" s="8" t="s">
        <v>35</v>
      </c>
      <c r="C101" s="247"/>
      <c r="D101" s="247"/>
      <c r="E101" s="241"/>
    </row>
    <row r="102" spans="1:5" ht="12" customHeight="1">
      <c r="A102" s="12" t="s">
        <v>64</v>
      </c>
      <c r="B102" s="6" t="s">
        <v>122</v>
      </c>
      <c r="C102" s="170"/>
      <c r="D102" s="170"/>
      <c r="E102" s="106"/>
    </row>
    <row r="103" spans="1:5" ht="12" customHeight="1">
      <c r="A103" s="12" t="s">
        <v>65</v>
      </c>
      <c r="B103" s="6" t="s">
        <v>90</v>
      </c>
      <c r="C103" s="172"/>
      <c r="D103" s="172"/>
      <c r="E103" s="108"/>
    </row>
    <row r="104" spans="1:5" ht="12" customHeight="1">
      <c r="A104" s="12" t="s">
        <v>66</v>
      </c>
      <c r="B104" s="9" t="s">
        <v>123</v>
      </c>
      <c r="C104" s="172"/>
      <c r="D104" s="172"/>
      <c r="E104" s="108"/>
    </row>
    <row r="105" spans="1:5" ht="12" customHeight="1">
      <c r="A105" s="12" t="s">
        <v>75</v>
      </c>
      <c r="B105" s="17" t="s">
        <v>124</v>
      </c>
      <c r="C105" s="172"/>
      <c r="D105" s="172"/>
      <c r="E105" s="108"/>
    </row>
    <row r="106" spans="1:5" ht="12" customHeight="1">
      <c r="A106" s="12" t="s">
        <v>67</v>
      </c>
      <c r="B106" s="6" t="s">
        <v>341</v>
      </c>
      <c r="C106" s="172"/>
      <c r="D106" s="172"/>
      <c r="E106" s="108"/>
    </row>
    <row r="107" spans="1:5" ht="12" customHeight="1">
      <c r="A107" s="12" t="s">
        <v>68</v>
      </c>
      <c r="B107" s="67" t="s">
        <v>340</v>
      </c>
      <c r="C107" s="172"/>
      <c r="D107" s="172"/>
      <c r="E107" s="108"/>
    </row>
    <row r="108" spans="1:5" ht="12" customHeight="1">
      <c r="A108" s="12" t="s">
        <v>76</v>
      </c>
      <c r="B108" s="67" t="s">
        <v>339</v>
      </c>
      <c r="C108" s="172"/>
      <c r="D108" s="172"/>
      <c r="E108" s="108"/>
    </row>
    <row r="109" spans="1:5" ht="12" customHeight="1">
      <c r="A109" s="12" t="s">
        <v>77</v>
      </c>
      <c r="B109" s="65" t="s">
        <v>257</v>
      </c>
      <c r="C109" s="172"/>
      <c r="D109" s="172"/>
      <c r="E109" s="108"/>
    </row>
    <row r="110" spans="1:5" ht="12" customHeight="1">
      <c r="A110" s="12" t="s">
        <v>78</v>
      </c>
      <c r="B110" s="66" t="s">
        <v>258</v>
      </c>
      <c r="C110" s="172"/>
      <c r="D110" s="172"/>
      <c r="E110" s="108"/>
    </row>
    <row r="111" spans="1:5" ht="12" customHeight="1">
      <c r="A111" s="12" t="s">
        <v>79</v>
      </c>
      <c r="B111" s="66" t="s">
        <v>259</v>
      </c>
      <c r="C111" s="172"/>
      <c r="D111" s="172"/>
      <c r="E111" s="108"/>
    </row>
    <row r="112" spans="1:5" ht="12" customHeight="1">
      <c r="A112" s="12" t="s">
        <v>81</v>
      </c>
      <c r="B112" s="65" t="s">
        <v>260</v>
      </c>
      <c r="C112" s="172"/>
      <c r="D112" s="172"/>
      <c r="E112" s="108"/>
    </row>
    <row r="113" spans="1:5" ht="12" customHeight="1">
      <c r="A113" s="12" t="s">
        <v>125</v>
      </c>
      <c r="B113" s="65" t="s">
        <v>261</v>
      </c>
      <c r="C113" s="172"/>
      <c r="D113" s="172"/>
      <c r="E113" s="108"/>
    </row>
    <row r="114" spans="1:5" ht="12" customHeight="1">
      <c r="A114" s="12" t="s">
        <v>255</v>
      </c>
      <c r="B114" s="66" t="s">
        <v>262</v>
      </c>
      <c r="C114" s="172"/>
      <c r="D114" s="172"/>
      <c r="E114" s="108"/>
    </row>
    <row r="115" spans="1:5" ht="12" customHeight="1">
      <c r="A115" s="11" t="s">
        <v>256</v>
      </c>
      <c r="B115" s="67" t="s">
        <v>263</v>
      </c>
      <c r="C115" s="172"/>
      <c r="D115" s="172"/>
      <c r="E115" s="108"/>
    </row>
    <row r="116" spans="1:5" ht="12" customHeight="1">
      <c r="A116" s="12" t="s">
        <v>337</v>
      </c>
      <c r="B116" s="67" t="s">
        <v>264</v>
      </c>
      <c r="C116" s="172"/>
      <c r="D116" s="172"/>
      <c r="E116" s="108"/>
    </row>
    <row r="117" spans="1:5" ht="12" customHeight="1">
      <c r="A117" s="14" t="s">
        <v>338</v>
      </c>
      <c r="B117" s="67" t="s">
        <v>265</v>
      </c>
      <c r="C117" s="172"/>
      <c r="D117" s="172"/>
      <c r="E117" s="108"/>
    </row>
    <row r="118" spans="1:5" ht="12" customHeight="1">
      <c r="A118" s="12" t="s">
        <v>342</v>
      </c>
      <c r="B118" s="9" t="s">
        <v>36</v>
      </c>
      <c r="C118" s="170"/>
      <c r="D118" s="170"/>
      <c r="E118" s="106"/>
    </row>
    <row r="119" spans="1:5" ht="12" customHeight="1">
      <c r="A119" s="12" t="s">
        <v>343</v>
      </c>
      <c r="B119" s="6" t="s">
        <v>345</v>
      </c>
      <c r="C119" s="170"/>
      <c r="D119" s="170"/>
      <c r="E119" s="106"/>
    </row>
    <row r="120" spans="1:5" ht="12" customHeight="1" thickBot="1">
      <c r="A120" s="16" t="s">
        <v>344</v>
      </c>
      <c r="B120" s="236" t="s">
        <v>346</v>
      </c>
      <c r="C120" s="248"/>
      <c r="D120" s="248"/>
      <c r="E120" s="242"/>
    </row>
    <row r="121" spans="1:5" ht="12" customHeight="1" thickBot="1">
      <c r="A121" s="234" t="s">
        <v>7</v>
      </c>
      <c r="B121" s="235" t="s">
        <v>266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>
      <c r="A122" s="13" t="s">
        <v>69</v>
      </c>
      <c r="B122" s="6" t="s">
        <v>142</v>
      </c>
      <c r="C122" s="171"/>
      <c r="D122" s="258"/>
      <c r="E122" s="107"/>
    </row>
    <row r="123" spans="1:5" ht="12" customHeight="1">
      <c r="A123" s="13" t="s">
        <v>70</v>
      </c>
      <c r="B123" s="10" t="s">
        <v>270</v>
      </c>
      <c r="C123" s="171"/>
      <c r="D123" s="258"/>
      <c r="E123" s="107"/>
    </row>
    <row r="124" spans="1:5" ht="12" customHeight="1">
      <c r="A124" s="13" t="s">
        <v>71</v>
      </c>
      <c r="B124" s="10" t="s">
        <v>126</v>
      </c>
      <c r="C124" s="170"/>
      <c r="D124" s="259"/>
      <c r="E124" s="106"/>
    </row>
    <row r="125" spans="1:5" ht="12" customHeight="1">
      <c r="A125" s="13" t="s">
        <v>72</v>
      </c>
      <c r="B125" s="10" t="s">
        <v>271</v>
      </c>
      <c r="C125" s="170"/>
      <c r="D125" s="259"/>
      <c r="E125" s="106"/>
    </row>
    <row r="126" spans="1:5" ht="12" customHeight="1">
      <c r="A126" s="13" t="s">
        <v>73</v>
      </c>
      <c r="B126" s="114" t="s">
        <v>144</v>
      </c>
      <c r="C126" s="170"/>
      <c r="D126" s="259"/>
      <c r="E126" s="106"/>
    </row>
    <row r="127" spans="1:5" ht="12" customHeight="1">
      <c r="A127" s="13" t="s">
        <v>80</v>
      </c>
      <c r="B127" s="113" t="s">
        <v>329</v>
      </c>
      <c r="C127" s="170"/>
      <c r="D127" s="259"/>
      <c r="E127" s="106"/>
    </row>
    <row r="128" spans="1:5" ht="12" customHeight="1">
      <c r="A128" s="13" t="s">
        <v>82</v>
      </c>
      <c r="B128" s="178" t="s">
        <v>276</v>
      </c>
      <c r="C128" s="170"/>
      <c r="D128" s="259"/>
      <c r="E128" s="106"/>
    </row>
    <row r="129" spans="1:5">
      <c r="A129" s="13" t="s">
        <v>127</v>
      </c>
      <c r="B129" s="66" t="s">
        <v>259</v>
      </c>
      <c r="C129" s="170"/>
      <c r="D129" s="259"/>
      <c r="E129" s="106"/>
    </row>
    <row r="130" spans="1:5" ht="12" customHeight="1">
      <c r="A130" s="13" t="s">
        <v>128</v>
      </c>
      <c r="B130" s="66" t="s">
        <v>275</v>
      </c>
      <c r="C130" s="170"/>
      <c r="D130" s="259"/>
      <c r="E130" s="106"/>
    </row>
    <row r="131" spans="1:5" ht="12" customHeight="1">
      <c r="A131" s="13" t="s">
        <v>129</v>
      </c>
      <c r="B131" s="66" t="s">
        <v>274</v>
      </c>
      <c r="C131" s="170"/>
      <c r="D131" s="259"/>
      <c r="E131" s="106"/>
    </row>
    <row r="132" spans="1:5" ht="12" customHeight="1">
      <c r="A132" s="13" t="s">
        <v>267</v>
      </c>
      <c r="B132" s="66" t="s">
        <v>262</v>
      </c>
      <c r="C132" s="170"/>
      <c r="D132" s="259"/>
      <c r="E132" s="106"/>
    </row>
    <row r="133" spans="1:5" ht="12" customHeight="1">
      <c r="A133" s="13" t="s">
        <v>268</v>
      </c>
      <c r="B133" s="66" t="s">
        <v>273</v>
      </c>
      <c r="C133" s="170"/>
      <c r="D133" s="259"/>
      <c r="E133" s="106"/>
    </row>
    <row r="134" spans="1:5" ht="16.5" thickBot="1">
      <c r="A134" s="11" t="s">
        <v>269</v>
      </c>
      <c r="B134" s="66" t="s">
        <v>272</v>
      </c>
      <c r="C134" s="172"/>
      <c r="D134" s="260"/>
      <c r="E134" s="108"/>
    </row>
    <row r="135" spans="1:5" ht="12" customHeight="1" thickBot="1">
      <c r="A135" s="18" t="s">
        <v>8</v>
      </c>
      <c r="B135" s="59" t="s">
        <v>347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>
      <c r="A136" s="18" t="s">
        <v>9</v>
      </c>
      <c r="B136" s="59" t="s">
        <v>418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>
      <c r="A137" s="13" t="s">
        <v>176</v>
      </c>
      <c r="B137" s="10" t="s">
        <v>355</v>
      </c>
      <c r="C137" s="170"/>
      <c r="D137" s="259"/>
      <c r="E137" s="106"/>
    </row>
    <row r="138" spans="1:5" ht="12" customHeight="1">
      <c r="A138" s="13" t="s">
        <v>177</v>
      </c>
      <c r="B138" s="10" t="s">
        <v>356</v>
      </c>
      <c r="C138" s="170"/>
      <c r="D138" s="259"/>
      <c r="E138" s="106"/>
    </row>
    <row r="139" spans="1:5" ht="12" customHeight="1" thickBot="1">
      <c r="A139" s="11" t="s">
        <v>178</v>
      </c>
      <c r="B139" s="10" t="s">
        <v>357</v>
      </c>
      <c r="C139" s="170"/>
      <c r="D139" s="259"/>
      <c r="E139" s="106"/>
    </row>
    <row r="140" spans="1:5" ht="12" customHeight="1" thickBot="1">
      <c r="A140" s="18" t="s">
        <v>10</v>
      </c>
      <c r="B140" s="59" t="s">
        <v>349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>
      <c r="A141" s="13" t="s">
        <v>56</v>
      </c>
      <c r="B141" s="7" t="s">
        <v>358</v>
      </c>
      <c r="C141" s="170"/>
      <c r="D141" s="259"/>
      <c r="E141" s="106"/>
    </row>
    <row r="142" spans="1:5" ht="12" customHeight="1">
      <c r="A142" s="13" t="s">
        <v>57</v>
      </c>
      <c r="B142" s="7" t="s">
        <v>350</v>
      </c>
      <c r="C142" s="170"/>
      <c r="D142" s="259"/>
      <c r="E142" s="106"/>
    </row>
    <row r="143" spans="1:5" ht="12" customHeight="1">
      <c r="A143" s="13" t="s">
        <v>58</v>
      </c>
      <c r="B143" s="7" t="s">
        <v>351</v>
      </c>
      <c r="C143" s="170"/>
      <c r="D143" s="259"/>
      <c r="E143" s="106"/>
    </row>
    <row r="144" spans="1:5" ht="12" customHeight="1">
      <c r="A144" s="13" t="s">
        <v>114</v>
      </c>
      <c r="B144" s="7" t="s">
        <v>352</v>
      </c>
      <c r="C144" s="170"/>
      <c r="D144" s="259"/>
      <c r="E144" s="106"/>
    </row>
    <row r="145" spans="1:9" ht="12" customHeight="1">
      <c r="A145" s="13" t="s">
        <v>115</v>
      </c>
      <c r="B145" s="7" t="s">
        <v>353</v>
      </c>
      <c r="C145" s="170"/>
      <c r="D145" s="259"/>
      <c r="E145" s="106"/>
    </row>
    <row r="146" spans="1:9" ht="12" customHeight="1" thickBot="1">
      <c r="A146" s="16" t="s">
        <v>116</v>
      </c>
      <c r="B146" s="320" t="s">
        <v>354</v>
      </c>
      <c r="C146" s="248"/>
      <c r="D146" s="297"/>
      <c r="E146" s="242"/>
    </row>
    <row r="147" spans="1:9" ht="12" customHeight="1" thickBot="1">
      <c r="A147" s="18" t="s">
        <v>11</v>
      </c>
      <c r="B147" s="59" t="s">
        <v>362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>
      <c r="A148" s="13" t="s">
        <v>59</v>
      </c>
      <c r="B148" s="7" t="s">
        <v>277</v>
      </c>
      <c r="C148" s="170"/>
      <c r="D148" s="259"/>
      <c r="E148" s="106"/>
    </row>
    <row r="149" spans="1:9" ht="12" customHeight="1">
      <c r="A149" s="13" t="s">
        <v>60</v>
      </c>
      <c r="B149" s="7" t="s">
        <v>278</v>
      </c>
      <c r="C149" s="170"/>
      <c r="D149" s="259"/>
      <c r="E149" s="106"/>
    </row>
    <row r="150" spans="1:9" ht="12" customHeight="1">
      <c r="A150" s="13" t="s">
        <v>194</v>
      </c>
      <c r="B150" s="7" t="s">
        <v>363</v>
      </c>
      <c r="C150" s="170"/>
      <c r="D150" s="259"/>
      <c r="E150" s="106"/>
    </row>
    <row r="151" spans="1:9" ht="12" customHeight="1" thickBot="1">
      <c r="A151" s="11" t="s">
        <v>195</v>
      </c>
      <c r="B151" s="5" t="s">
        <v>293</v>
      </c>
      <c r="C151" s="170"/>
      <c r="D151" s="259"/>
      <c r="E151" s="106"/>
    </row>
    <row r="152" spans="1:9" ht="12" customHeight="1" thickBot="1">
      <c r="A152" s="18" t="s">
        <v>12</v>
      </c>
      <c r="B152" s="59" t="s">
        <v>364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>
      <c r="A153" s="13" t="s">
        <v>61</v>
      </c>
      <c r="B153" s="7" t="s">
        <v>359</v>
      </c>
      <c r="C153" s="170"/>
      <c r="D153" s="259"/>
      <c r="E153" s="106"/>
    </row>
    <row r="154" spans="1:9" ht="12" customHeight="1">
      <c r="A154" s="13" t="s">
        <v>62</v>
      </c>
      <c r="B154" s="7" t="s">
        <v>366</v>
      </c>
      <c r="C154" s="170"/>
      <c r="D154" s="259"/>
      <c r="E154" s="106"/>
    </row>
    <row r="155" spans="1:9" ht="12" customHeight="1">
      <c r="A155" s="13" t="s">
        <v>206</v>
      </c>
      <c r="B155" s="7" t="s">
        <v>361</v>
      </c>
      <c r="C155" s="170"/>
      <c r="D155" s="259"/>
      <c r="E155" s="106"/>
    </row>
    <row r="156" spans="1:9" ht="12" customHeight="1">
      <c r="A156" s="13" t="s">
        <v>207</v>
      </c>
      <c r="B156" s="7" t="s">
        <v>367</v>
      </c>
      <c r="C156" s="170"/>
      <c r="D156" s="259"/>
      <c r="E156" s="106"/>
    </row>
    <row r="157" spans="1:9" ht="12" customHeight="1" thickBot="1">
      <c r="A157" s="13" t="s">
        <v>365</v>
      </c>
      <c r="B157" s="7" t="s">
        <v>368</v>
      </c>
      <c r="C157" s="170"/>
      <c r="D157" s="259"/>
      <c r="E157" s="106"/>
    </row>
    <row r="158" spans="1:9" ht="12" customHeight="1" thickBot="1">
      <c r="A158" s="18" t="s">
        <v>13</v>
      </c>
      <c r="B158" s="59" t="s">
        <v>369</v>
      </c>
      <c r="C158" s="251"/>
      <c r="D158" s="263"/>
      <c r="E158" s="245"/>
    </row>
    <row r="159" spans="1:9" ht="12" customHeight="1" thickBot="1">
      <c r="A159" s="18" t="s">
        <v>14</v>
      </c>
      <c r="B159" s="59" t="s">
        <v>370</v>
      </c>
      <c r="C159" s="251"/>
      <c r="D159" s="263"/>
      <c r="E159" s="245"/>
    </row>
    <row r="160" spans="1:9" ht="15.2" customHeight="1" thickBot="1">
      <c r="A160" s="18" t="s">
        <v>15</v>
      </c>
      <c r="B160" s="59" t="s">
        <v>372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>
      <c r="A161" s="115" t="s">
        <v>16</v>
      </c>
      <c r="B161" s="156" t="s">
        <v>371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>
      <c r="C162" s="662">
        <f>C93-C161</f>
        <v>0</v>
      </c>
      <c r="D162" s="662">
        <f>D93-D161</f>
        <v>0</v>
      </c>
    </row>
    <row r="163" spans="1:5">
      <c r="A163" s="791" t="s">
        <v>279</v>
      </c>
      <c r="B163" s="791"/>
      <c r="C163" s="791"/>
      <c r="D163" s="791"/>
      <c r="E163" s="791"/>
    </row>
    <row r="164" spans="1:5" ht="15.2" customHeight="1" thickBot="1">
      <c r="A164" s="783" t="s">
        <v>102</v>
      </c>
      <c r="B164" s="783"/>
      <c r="C164" s="117"/>
      <c r="E164" s="117" t="str">
        <f>E96</f>
        <v xml:space="preserve"> Forintban!</v>
      </c>
    </row>
    <row r="165" spans="1:5" ht="25.5" customHeight="1" thickBot="1">
      <c r="A165" s="18">
        <v>1</v>
      </c>
      <c r="B165" s="23" t="s">
        <v>373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>
      <c r="A166" s="18" t="s">
        <v>7</v>
      </c>
      <c r="B166" s="23" t="s">
        <v>379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CONCATENATE(Z_ALAPADATOK!M31,"2. melléklet ",Z_ALAPADATOK!A7," ",Z_ALAPADATOK!B7," ",Z_ALAPADATOK!C7," ",Z_ALAPADATOK!D7," ",Z_ALAPADATOK!E7," ",Z_ALAPADATOK!F7," ",Z_ALAPADATOK!G7," ",Z_ALAPADATOK!H7)</f>
        <v>6.12.2.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CONCATENATE(Z_6.12.1.sz.mell!B2:D2)</f>
        <v>10 kvi név</v>
      </c>
      <c r="C2" s="857"/>
      <c r="D2" s="858"/>
      <c r="E2" s="330" t="s">
        <v>520</v>
      </c>
    </row>
    <row r="3" spans="1:5" s="217" customFormat="1" ht="24.75" thickBot="1">
      <c r="A3" s="329" t="s">
        <v>134</v>
      </c>
      <c r="B3" s="856" t="s">
        <v>321</v>
      </c>
      <c r="C3" s="857"/>
      <c r="D3" s="858"/>
      <c r="E3" s="330" t="s">
        <v>43</v>
      </c>
    </row>
    <row r="4" spans="1:5" s="218" customFormat="1" ht="15.95" customHeight="1" thickBot="1">
      <c r="A4" s="331"/>
      <c r="B4" s="331"/>
      <c r="C4" s="332"/>
      <c r="D4" s="333"/>
      <c r="E4" s="332" t="str">
        <f>Z_6.12.1.sz.mell!E4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CONCATENATE(Z_6.12.1.sz.mell!E5)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>
      <c r="A1" s="328"/>
      <c r="B1" s="859" t="str">
        <f>CONCATENATE(Z_ALAPADATOK!M31,"3. melléklet ",Z_ALAPADATOK!A7," ",Z_ALAPADATOK!B7," ",Z_ALAPADATOK!C7," ",Z_ALAPADATOK!D7," ",Z_ALAPADATOK!E7," ",Z_ALAPADATOK!F7," ",Z_ALAPADATOK!G7," ",Z_ALAPADATOK!H7)</f>
        <v>6.12.3. melléklet a … / 2021. ( … ) önkormányzati rendelethez</v>
      </c>
      <c r="C1" s="860"/>
      <c r="D1" s="860"/>
      <c r="E1" s="860"/>
    </row>
    <row r="2" spans="1:5" s="217" customFormat="1" ht="25.5" customHeight="1" thickBot="1">
      <c r="A2" s="329" t="s">
        <v>450</v>
      </c>
      <c r="B2" s="856" t="str">
        <f>CONCATENATE(Z_6.12.2.sz.mell!B2:D2)</f>
        <v>10 kvi név</v>
      </c>
      <c r="C2" s="857"/>
      <c r="D2" s="858"/>
      <c r="E2" s="330" t="s">
        <v>519</v>
      </c>
    </row>
    <row r="3" spans="1:5" s="217" customFormat="1" ht="24.75" thickBot="1">
      <c r="A3" s="329" t="s">
        <v>134</v>
      </c>
      <c r="B3" s="856" t="s">
        <v>412</v>
      </c>
      <c r="C3" s="857"/>
      <c r="D3" s="858"/>
      <c r="E3" s="330" t="s">
        <v>330</v>
      </c>
    </row>
    <row r="4" spans="1:5" s="218" customFormat="1" ht="15.95" customHeight="1" thickBot="1">
      <c r="A4" s="331"/>
      <c r="B4" s="331"/>
      <c r="C4" s="332"/>
      <c r="D4" s="333"/>
      <c r="E4" s="332" t="str">
        <f>Z_6.12.2.sz.mell!E4</f>
        <v xml:space="preserve"> Forintban!</v>
      </c>
    </row>
    <row r="5" spans="1:5" ht="24.75" thickBot="1">
      <c r="A5" s="334" t="s">
        <v>135</v>
      </c>
      <c r="B5" s="335" t="s">
        <v>481</v>
      </c>
      <c r="C5" s="335" t="s">
        <v>446</v>
      </c>
      <c r="D5" s="336" t="s">
        <v>447</v>
      </c>
      <c r="E5" s="319" t="str">
        <f>CONCATENATE(Z_6.12.2.sz.mell!E5)</f>
        <v>Teljesítés
2020. XII. 31.</v>
      </c>
    </row>
    <row r="6" spans="1:5" s="219" customFormat="1" ht="12.95" customHeight="1" thickBot="1">
      <c r="A6" s="367" t="s">
        <v>382</v>
      </c>
      <c r="B6" s="368" t="s">
        <v>383</v>
      </c>
      <c r="C6" s="368" t="s">
        <v>384</v>
      </c>
      <c r="D6" s="369" t="s">
        <v>386</v>
      </c>
      <c r="E6" s="370" t="s">
        <v>385</v>
      </c>
    </row>
    <row r="7" spans="1:5" s="219" customFormat="1" ht="15.95" customHeight="1" thickBot="1">
      <c r="A7" s="850" t="s">
        <v>39</v>
      </c>
      <c r="B7" s="851"/>
      <c r="C7" s="851"/>
      <c r="D7" s="851"/>
      <c r="E7" s="852"/>
    </row>
    <row r="8" spans="1:5" s="155" customFormat="1" ht="12" customHeight="1" thickBot="1">
      <c r="A8" s="77" t="s">
        <v>6</v>
      </c>
      <c r="B8" s="86" t="s">
        <v>403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>
      <c r="A9" s="212" t="s">
        <v>63</v>
      </c>
      <c r="B9" s="8" t="s">
        <v>183</v>
      </c>
      <c r="C9" s="279"/>
      <c r="D9" s="279"/>
      <c r="E9" s="299"/>
    </row>
    <row r="10" spans="1:5" s="155" customFormat="1" ht="12" customHeight="1">
      <c r="A10" s="213" t="s">
        <v>64</v>
      </c>
      <c r="B10" s="6" t="s">
        <v>184</v>
      </c>
      <c r="C10" s="119"/>
      <c r="D10" s="266"/>
      <c r="E10" s="271"/>
    </row>
    <row r="11" spans="1:5" s="155" customFormat="1" ht="12" customHeight="1">
      <c r="A11" s="213" t="s">
        <v>65</v>
      </c>
      <c r="B11" s="6" t="s">
        <v>185</v>
      </c>
      <c r="C11" s="119"/>
      <c r="D11" s="266"/>
      <c r="E11" s="271"/>
    </row>
    <row r="12" spans="1:5" s="155" customFormat="1" ht="12" customHeight="1">
      <c r="A12" s="213" t="s">
        <v>66</v>
      </c>
      <c r="B12" s="6" t="s">
        <v>186</v>
      </c>
      <c r="C12" s="119"/>
      <c r="D12" s="266"/>
      <c r="E12" s="271"/>
    </row>
    <row r="13" spans="1:5" s="155" customFormat="1" ht="12" customHeight="1">
      <c r="A13" s="213" t="s">
        <v>97</v>
      </c>
      <c r="B13" s="6" t="s">
        <v>187</v>
      </c>
      <c r="C13" s="119"/>
      <c r="D13" s="266"/>
      <c r="E13" s="271"/>
    </row>
    <row r="14" spans="1:5" s="155" customFormat="1" ht="12" customHeight="1">
      <c r="A14" s="213" t="s">
        <v>67</v>
      </c>
      <c r="B14" s="6" t="s">
        <v>302</v>
      </c>
      <c r="C14" s="119"/>
      <c r="D14" s="266"/>
      <c r="E14" s="271"/>
    </row>
    <row r="15" spans="1:5" s="155" customFormat="1" ht="12" customHeight="1">
      <c r="A15" s="213" t="s">
        <v>68</v>
      </c>
      <c r="B15" s="5" t="s">
        <v>303</v>
      </c>
      <c r="C15" s="119"/>
      <c r="D15" s="266"/>
      <c r="E15" s="271"/>
    </row>
    <row r="16" spans="1:5" s="155" customFormat="1" ht="12" customHeight="1">
      <c r="A16" s="213" t="s">
        <v>76</v>
      </c>
      <c r="B16" s="6" t="s">
        <v>190</v>
      </c>
      <c r="C16" s="277"/>
      <c r="D16" s="304"/>
      <c r="E16" s="275"/>
    </row>
    <row r="17" spans="1:5" s="220" customFormat="1" ht="12" customHeight="1">
      <c r="A17" s="213" t="s">
        <v>77</v>
      </c>
      <c r="B17" s="6" t="s">
        <v>191</v>
      </c>
      <c r="C17" s="119"/>
      <c r="D17" s="266"/>
      <c r="E17" s="271"/>
    </row>
    <row r="18" spans="1:5" s="220" customFormat="1" ht="12" customHeight="1">
      <c r="A18" s="213" t="s">
        <v>78</v>
      </c>
      <c r="B18" s="6" t="s">
        <v>335</v>
      </c>
      <c r="C18" s="121"/>
      <c r="D18" s="267"/>
      <c r="E18" s="272"/>
    </row>
    <row r="19" spans="1:5" s="220" customFormat="1" ht="12" customHeight="1" thickBot="1">
      <c r="A19" s="213" t="s">
        <v>79</v>
      </c>
      <c r="B19" s="5" t="s">
        <v>192</v>
      </c>
      <c r="C19" s="121"/>
      <c r="D19" s="267"/>
      <c r="E19" s="272"/>
    </row>
    <row r="20" spans="1:5" s="155" customFormat="1" ht="12" customHeight="1" thickBot="1">
      <c r="A20" s="77" t="s">
        <v>7</v>
      </c>
      <c r="B20" s="86" t="s">
        <v>304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>
      <c r="A21" s="213" t="s">
        <v>69</v>
      </c>
      <c r="B21" s="7" t="s">
        <v>167</v>
      </c>
      <c r="C21" s="119"/>
      <c r="D21" s="266"/>
      <c r="E21" s="271"/>
    </row>
    <row r="22" spans="1:5" s="220" customFormat="1" ht="12" customHeight="1">
      <c r="A22" s="213" t="s">
        <v>70</v>
      </c>
      <c r="B22" s="6" t="s">
        <v>305</v>
      </c>
      <c r="C22" s="119"/>
      <c r="D22" s="266"/>
      <c r="E22" s="271"/>
    </row>
    <row r="23" spans="1:5" s="220" customFormat="1" ht="12" customHeight="1">
      <c r="A23" s="213" t="s">
        <v>71</v>
      </c>
      <c r="B23" s="6" t="s">
        <v>306</v>
      </c>
      <c r="C23" s="119"/>
      <c r="D23" s="266"/>
      <c r="E23" s="271"/>
    </row>
    <row r="24" spans="1:5" s="220" customFormat="1" ht="12" customHeight="1" thickBot="1">
      <c r="A24" s="213" t="s">
        <v>72</v>
      </c>
      <c r="B24" s="6" t="s">
        <v>408</v>
      </c>
      <c r="C24" s="119"/>
      <c r="D24" s="266"/>
      <c r="E24" s="271"/>
    </row>
    <row r="25" spans="1:5" s="220" customFormat="1" ht="12" customHeight="1" thickBot="1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>
      <c r="A26" s="81" t="s">
        <v>9</v>
      </c>
      <c r="B26" s="59" t="s">
        <v>307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>
      <c r="A27" s="214" t="s">
        <v>176</v>
      </c>
      <c r="B27" s="215" t="s">
        <v>305</v>
      </c>
      <c r="C27" s="278"/>
      <c r="D27" s="61"/>
      <c r="E27" s="276"/>
    </row>
    <row r="28" spans="1:5" s="220" customFormat="1" ht="12" customHeight="1">
      <c r="A28" s="214" t="s">
        <v>177</v>
      </c>
      <c r="B28" s="216" t="s">
        <v>308</v>
      </c>
      <c r="C28" s="123"/>
      <c r="D28" s="269"/>
      <c r="E28" s="273"/>
    </row>
    <row r="29" spans="1:5" s="220" customFormat="1" ht="12" customHeight="1" thickBot="1">
      <c r="A29" s="213" t="s">
        <v>178</v>
      </c>
      <c r="B29" s="64" t="s">
        <v>409</v>
      </c>
      <c r="C29" s="50"/>
      <c r="D29" s="305"/>
      <c r="E29" s="300"/>
    </row>
    <row r="30" spans="1:5" s="220" customFormat="1" ht="12" customHeight="1" thickBot="1">
      <c r="A30" s="81" t="s">
        <v>10</v>
      </c>
      <c r="B30" s="59" t="s">
        <v>309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>
      <c r="A31" s="214" t="s">
        <v>56</v>
      </c>
      <c r="B31" s="215" t="s">
        <v>197</v>
      </c>
      <c r="C31" s="278"/>
      <c r="D31" s="61"/>
      <c r="E31" s="276"/>
    </row>
    <row r="32" spans="1:5" s="220" customFormat="1" ht="12" customHeight="1">
      <c r="A32" s="214" t="s">
        <v>57</v>
      </c>
      <c r="B32" s="216" t="s">
        <v>198</v>
      </c>
      <c r="C32" s="123"/>
      <c r="D32" s="269"/>
      <c r="E32" s="273"/>
    </row>
    <row r="33" spans="1:5" s="220" customFormat="1" ht="12" customHeight="1" thickBot="1">
      <c r="A33" s="213" t="s">
        <v>58</v>
      </c>
      <c r="B33" s="64" t="s">
        <v>199</v>
      </c>
      <c r="C33" s="50"/>
      <c r="D33" s="305"/>
      <c r="E33" s="300"/>
    </row>
    <row r="34" spans="1:5" s="155" customFormat="1" ht="12" customHeight="1" thickBot="1">
      <c r="A34" s="81" t="s">
        <v>11</v>
      </c>
      <c r="B34" s="59" t="s">
        <v>282</v>
      </c>
      <c r="C34" s="301"/>
      <c r="D34" s="303"/>
      <c r="E34" s="149"/>
    </row>
    <row r="35" spans="1:5" s="155" customFormat="1" ht="12" customHeight="1" thickBot="1">
      <c r="A35" s="81" t="s">
        <v>12</v>
      </c>
      <c r="B35" s="59" t="s">
        <v>310</v>
      </c>
      <c r="C35" s="301"/>
      <c r="D35" s="303"/>
      <c r="E35" s="149"/>
    </row>
    <row r="36" spans="1:5" s="155" customFormat="1" ht="12" customHeight="1" thickBot="1">
      <c r="A36" s="77" t="s">
        <v>13</v>
      </c>
      <c r="B36" s="59" t="s">
        <v>410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>
      <c r="A37" s="87" t="s">
        <v>14</v>
      </c>
      <c r="B37" s="59" t="s">
        <v>312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>
      <c r="A38" s="214" t="s">
        <v>313</v>
      </c>
      <c r="B38" s="215" t="s">
        <v>149</v>
      </c>
      <c r="C38" s="278"/>
      <c r="D38" s="61"/>
      <c r="E38" s="276"/>
    </row>
    <row r="39" spans="1:5" s="155" customFormat="1" ht="12" customHeight="1">
      <c r="A39" s="214" t="s">
        <v>314</v>
      </c>
      <c r="B39" s="216" t="s">
        <v>0</v>
      </c>
      <c r="C39" s="123"/>
      <c r="D39" s="269"/>
      <c r="E39" s="273"/>
    </row>
    <row r="40" spans="1:5" s="220" customFormat="1" ht="12" customHeight="1" thickBot="1">
      <c r="A40" s="213" t="s">
        <v>315</v>
      </c>
      <c r="B40" s="64" t="s">
        <v>316</v>
      </c>
      <c r="C40" s="50"/>
      <c r="D40" s="305"/>
      <c r="E40" s="300"/>
    </row>
    <row r="41" spans="1:5" s="220" customFormat="1" ht="15.2" customHeight="1" thickBot="1">
      <c r="A41" s="87" t="s">
        <v>15</v>
      </c>
      <c r="B41" s="88" t="s">
        <v>317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>
      <c r="A42" s="89"/>
      <c r="B42" s="90"/>
      <c r="C42" s="151"/>
    </row>
    <row r="43" spans="1:5" ht="13.5" thickBot="1">
      <c r="A43" s="91"/>
      <c r="B43" s="92"/>
      <c r="C43" s="152"/>
    </row>
    <row r="44" spans="1:5" s="219" customFormat="1" ht="16.5" customHeight="1" thickBot="1">
      <c r="A44" s="850" t="s">
        <v>40</v>
      </c>
      <c r="B44" s="851"/>
      <c r="C44" s="851"/>
      <c r="D44" s="851"/>
      <c r="E44" s="852"/>
    </row>
    <row r="45" spans="1:5" s="221" customFormat="1" ht="12" customHeight="1" thickBot="1">
      <c r="A45" s="81" t="s">
        <v>6</v>
      </c>
      <c r="B45" s="59" t="s">
        <v>318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>
      <c r="A46" s="213" t="s">
        <v>63</v>
      </c>
      <c r="B46" s="7" t="s">
        <v>35</v>
      </c>
      <c r="C46" s="278"/>
      <c r="D46" s="61"/>
      <c r="E46" s="276"/>
    </row>
    <row r="47" spans="1:5" ht="12" customHeight="1">
      <c r="A47" s="213" t="s">
        <v>64</v>
      </c>
      <c r="B47" s="6" t="s">
        <v>122</v>
      </c>
      <c r="C47" s="49"/>
      <c r="D47" s="62"/>
      <c r="E47" s="274"/>
    </row>
    <row r="48" spans="1:5" ht="12" customHeight="1">
      <c r="A48" s="213" t="s">
        <v>65</v>
      </c>
      <c r="B48" s="6" t="s">
        <v>90</v>
      </c>
      <c r="C48" s="49"/>
      <c r="D48" s="62"/>
      <c r="E48" s="274"/>
    </row>
    <row r="49" spans="1:5" ht="12" customHeight="1">
      <c r="A49" s="213" t="s">
        <v>66</v>
      </c>
      <c r="B49" s="6" t="s">
        <v>123</v>
      </c>
      <c r="C49" s="49"/>
      <c r="D49" s="62"/>
      <c r="E49" s="274"/>
    </row>
    <row r="50" spans="1:5" ht="12" customHeight="1" thickBot="1">
      <c r="A50" s="213" t="s">
        <v>97</v>
      </c>
      <c r="B50" s="6" t="s">
        <v>124</v>
      </c>
      <c r="C50" s="49"/>
      <c r="D50" s="62"/>
      <c r="E50" s="274"/>
    </row>
    <row r="51" spans="1:5" ht="12" customHeight="1" thickBot="1">
      <c r="A51" s="81" t="s">
        <v>7</v>
      </c>
      <c r="B51" s="59" t="s">
        <v>319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>
      <c r="A52" s="213" t="s">
        <v>69</v>
      </c>
      <c r="B52" s="7" t="s">
        <v>142</v>
      </c>
      <c r="C52" s="278"/>
      <c r="D52" s="61"/>
      <c r="E52" s="276"/>
    </row>
    <row r="53" spans="1:5" ht="12" customHeight="1">
      <c r="A53" s="213" t="s">
        <v>70</v>
      </c>
      <c r="B53" s="6" t="s">
        <v>126</v>
      </c>
      <c r="C53" s="49"/>
      <c r="D53" s="62"/>
      <c r="E53" s="274"/>
    </row>
    <row r="54" spans="1:5" ht="12" customHeight="1">
      <c r="A54" s="213" t="s">
        <v>71</v>
      </c>
      <c r="B54" s="6" t="s">
        <v>41</v>
      </c>
      <c r="C54" s="49"/>
      <c r="D54" s="62"/>
      <c r="E54" s="274"/>
    </row>
    <row r="55" spans="1:5" ht="12" customHeight="1" thickBot="1">
      <c r="A55" s="213" t="s">
        <v>72</v>
      </c>
      <c r="B55" s="6" t="s">
        <v>407</v>
      </c>
      <c r="C55" s="49"/>
      <c r="D55" s="62"/>
      <c r="E55" s="274"/>
    </row>
    <row r="56" spans="1:5" ht="15.2" customHeight="1" thickBot="1">
      <c r="A56" s="81" t="s">
        <v>8</v>
      </c>
      <c r="B56" s="59" t="s">
        <v>2</v>
      </c>
      <c r="C56" s="301"/>
      <c r="D56" s="303"/>
      <c r="E56" s="149"/>
    </row>
    <row r="57" spans="1:5" ht="13.5" thickBot="1">
      <c r="A57" s="81" t="s">
        <v>9</v>
      </c>
      <c r="B57" s="93" t="s">
        <v>411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>
      <c r="C58" s="660">
        <f>C41-C57</f>
        <v>0</v>
      </c>
      <c r="D58" s="660">
        <f>D41-D57</f>
        <v>0</v>
      </c>
    </row>
    <row r="59" spans="1:5" ht="14.45" customHeight="1" thickBot="1">
      <c r="A59" s="306" t="s">
        <v>482</v>
      </c>
      <c r="B59" s="307"/>
      <c r="C59" s="296"/>
      <c r="D59" s="296"/>
      <c r="E59" s="295"/>
    </row>
    <row r="60" spans="1:5" ht="13.5" thickBot="1">
      <c r="A60" s="308" t="s">
        <v>483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rgb="FF92D050"/>
  </sheetPr>
  <dimension ref="A1:G40"/>
  <sheetViews>
    <sheetView topLeftCell="A4" zoomScale="120" zoomScaleNormal="120" workbookViewId="0">
      <selection activeCell="G10" sqref="G10"/>
    </sheetView>
  </sheetViews>
  <sheetFormatPr defaultRowHeight="12.75"/>
  <cols>
    <col min="1" max="1" width="7" style="689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>
      <c r="A1" s="865" t="str">
        <f>CONCATENATE("7. melléklet ",Z_ALAPADATOK!A7," ",Z_ALAPADATOK!B7," ",Z_ALAPADATOK!C7," ",Z_ALAPADATOK!D7," ",Z_ALAPADATOK!E7," ",Z_ALAPADATOK!F7," ",Z_ALAPADATOK!G7," ",Z_ALAPADATOK!H7)</f>
        <v>7. melléklet a … / 2021. ( … ) önkormányzati rendelethez</v>
      </c>
      <c r="B1" s="866"/>
      <c r="C1" s="866"/>
      <c r="D1" s="866"/>
      <c r="E1" s="866"/>
      <c r="F1" s="866"/>
      <c r="G1" s="866"/>
    </row>
    <row r="3" spans="1:7" ht="15.75">
      <c r="A3" s="863" t="s">
        <v>842</v>
      </c>
      <c r="B3" s="864"/>
      <c r="C3" s="864"/>
      <c r="D3" s="864"/>
      <c r="E3" s="864"/>
      <c r="F3" s="864"/>
      <c r="G3" s="864"/>
    </row>
    <row r="5" spans="1:7" ht="14.25" thickBot="1">
      <c r="G5" s="690" t="s">
        <v>846</v>
      </c>
    </row>
    <row r="6" spans="1:7" ht="17.25" customHeight="1" thickBot="1">
      <c r="A6" s="867" t="s">
        <v>4</v>
      </c>
      <c r="B6" s="869" t="s">
        <v>834</v>
      </c>
      <c r="C6" s="869" t="s">
        <v>835</v>
      </c>
      <c r="D6" s="869" t="s">
        <v>836</v>
      </c>
      <c r="E6" s="871" t="s">
        <v>837</v>
      </c>
      <c r="F6" s="871"/>
      <c r="G6" s="872"/>
    </row>
    <row r="7" spans="1:7" s="693" customFormat="1" ht="57.75" customHeight="1" thickBot="1">
      <c r="A7" s="868"/>
      <c r="B7" s="870"/>
      <c r="C7" s="870"/>
      <c r="D7" s="870"/>
      <c r="E7" s="691" t="s">
        <v>838</v>
      </c>
      <c r="F7" s="691" t="s">
        <v>839</v>
      </c>
      <c r="G7" s="692" t="s">
        <v>840</v>
      </c>
    </row>
    <row r="8" spans="1:7" s="221" customFormat="1" ht="15" customHeight="1" thickBot="1">
      <c r="A8" s="77" t="s">
        <v>382</v>
      </c>
      <c r="B8" s="78" t="s">
        <v>383</v>
      </c>
      <c r="C8" s="78" t="s">
        <v>384</v>
      </c>
      <c r="D8" s="78" t="s">
        <v>386</v>
      </c>
      <c r="E8" s="78" t="s">
        <v>841</v>
      </c>
      <c r="F8" s="78" t="s">
        <v>387</v>
      </c>
      <c r="G8" s="79" t="s">
        <v>388</v>
      </c>
    </row>
    <row r="9" spans="1:7" ht="15" customHeight="1">
      <c r="A9" s="694" t="s">
        <v>6</v>
      </c>
      <c r="B9" s="695" t="s">
        <v>878</v>
      </c>
      <c r="C9" s="696">
        <v>112766268</v>
      </c>
      <c r="D9" s="696"/>
      <c r="E9" s="697">
        <f>C9-D9</f>
        <v>112766268</v>
      </c>
      <c r="F9" s="696">
        <v>94752640</v>
      </c>
      <c r="G9" s="698">
        <v>18013628</v>
      </c>
    </row>
    <row r="10" spans="1:7" ht="15" customHeight="1">
      <c r="A10" s="699" t="s">
        <v>7</v>
      </c>
      <c r="B10" s="700"/>
      <c r="C10" s="21">
        <v>0</v>
      </c>
      <c r="D10" s="21">
        <v>0</v>
      </c>
      <c r="E10" s="697">
        <f t="shared" ref="E10:E39" si="0">C10-D10</f>
        <v>0</v>
      </c>
      <c r="F10" s="21">
        <v>0</v>
      </c>
      <c r="G10" s="457">
        <v>0</v>
      </c>
    </row>
    <row r="11" spans="1:7" ht="15" customHeight="1">
      <c r="A11" s="699" t="s">
        <v>8</v>
      </c>
      <c r="B11" s="700"/>
      <c r="C11" s="21"/>
      <c r="D11" s="21"/>
      <c r="E11" s="697">
        <f t="shared" si="0"/>
        <v>0</v>
      </c>
      <c r="F11" s="21"/>
      <c r="G11" s="457"/>
    </row>
    <row r="12" spans="1:7" ht="15" customHeight="1">
      <c r="A12" s="699" t="s">
        <v>9</v>
      </c>
      <c r="B12" s="700"/>
      <c r="C12" s="21"/>
      <c r="D12" s="21"/>
      <c r="E12" s="697">
        <f t="shared" si="0"/>
        <v>0</v>
      </c>
      <c r="F12" s="21"/>
      <c r="G12" s="457"/>
    </row>
    <row r="13" spans="1:7" ht="15" customHeight="1">
      <c r="A13" s="699" t="s">
        <v>10</v>
      </c>
      <c r="B13" s="700"/>
      <c r="C13" s="21"/>
      <c r="D13" s="21"/>
      <c r="E13" s="697">
        <f t="shared" si="0"/>
        <v>0</v>
      </c>
      <c r="F13" s="21"/>
      <c r="G13" s="457"/>
    </row>
    <row r="14" spans="1:7" ht="15" customHeight="1">
      <c r="A14" s="699" t="s">
        <v>11</v>
      </c>
      <c r="B14" s="700"/>
      <c r="C14" s="21"/>
      <c r="D14" s="21"/>
      <c r="E14" s="697">
        <f t="shared" si="0"/>
        <v>0</v>
      </c>
      <c r="F14" s="21"/>
      <c r="G14" s="457"/>
    </row>
    <row r="15" spans="1:7" ht="15" customHeight="1">
      <c r="A15" s="699" t="s">
        <v>12</v>
      </c>
      <c r="B15" s="700"/>
      <c r="C15" s="21"/>
      <c r="D15" s="21"/>
      <c r="E15" s="697">
        <f t="shared" si="0"/>
        <v>0</v>
      </c>
      <c r="F15" s="21"/>
      <c r="G15" s="457"/>
    </row>
    <row r="16" spans="1:7" ht="15" customHeight="1">
      <c r="A16" s="699" t="s">
        <v>13</v>
      </c>
      <c r="B16" s="700"/>
      <c r="C16" s="21"/>
      <c r="D16" s="21"/>
      <c r="E16" s="697">
        <f t="shared" si="0"/>
        <v>0</v>
      </c>
      <c r="F16" s="21"/>
      <c r="G16" s="457"/>
    </row>
    <row r="17" spans="1:7" ht="15" customHeight="1">
      <c r="A17" s="699" t="s">
        <v>14</v>
      </c>
      <c r="B17" s="700"/>
      <c r="C17" s="21"/>
      <c r="D17" s="21"/>
      <c r="E17" s="697">
        <f t="shared" si="0"/>
        <v>0</v>
      </c>
      <c r="F17" s="21"/>
      <c r="G17" s="457"/>
    </row>
    <row r="18" spans="1:7" ht="15" customHeight="1">
      <c r="A18" s="699" t="s">
        <v>15</v>
      </c>
      <c r="B18" s="700"/>
      <c r="C18" s="21"/>
      <c r="D18" s="21"/>
      <c r="E18" s="697">
        <f t="shared" si="0"/>
        <v>0</v>
      </c>
      <c r="F18" s="21"/>
      <c r="G18" s="457"/>
    </row>
    <row r="19" spans="1:7" ht="15" customHeight="1">
      <c r="A19" s="699" t="s">
        <v>16</v>
      </c>
      <c r="B19" s="700"/>
      <c r="C19" s="21"/>
      <c r="D19" s="21"/>
      <c r="E19" s="697">
        <f t="shared" si="0"/>
        <v>0</v>
      </c>
      <c r="F19" s="21"/>
      <c r="G19" s="457"/>
    </row>
    <row r="20" spans="1:7" ht="15" customHeight="1">
      <c r="A20" s="699" t="s">
        <v>17</v>
      </c>
      <c r="B20" s="700"/>
      <c r="C20" s="21"/>
      <c r="D20" s="21"/>
      <c r="E20" s="697">
        <f t="shared" si="0"/>
        <v>0</v>
      </c>
      <c r="F20" s="21"/>
      <c r="G20" s="457"/>
    </row>
    <row r="21" spans="1:7" ht="15" customHeight="1">
      <c r="A21" s="699" t="s">
        <v>18</v>
      </c>
      <c r="B21" s="700"/>
      <c r="C21" s="21"/>
      <c r="D21" s="21"/>
      <c r="E21" s="697">
        <f t="shared" si="0"/>
        <v>0</v>
      </c>
      <c r="F21" s="21"/>
      <c r="G21" s="457"/>
    </row>
    <row r="22" spans="1:7" ht="15" customHeight="1">
      <c r="A22" s="699" t="s">
        <v>19</v>
      </c>
      <c r="B22" s="700"/>
      <c r="C22" s="21"/>
      <c r="D22" s="21"/>
      <c r="E22" s="697">
        <f t="shared" si="0"/>
        <v>0</v>
      </c>
      <c r="F22" s="21"/>
      <c r="G22" s="457"/>
    </row>
    <row r="23" spans="1:7" ht="15" customHeight="1">
      <c r="A23" s="699" t="s">
        <v>20</v>
      </c>
      <c r="B23" s="700"/>
      <c r="C23" s="21"/>
      <c r="D23" s="21"/>
      <c r="E23" s="697">
        <f t="shared" si="0"/>
        <v>0</v>
      </c>
      <c r="F23" s="21"/>
      <c r="G23" s="457"/>
    </row>
    <row r="24" spans="1:7" ht="15" customHeight="1">
      <c r="A24" s="699" t="s">
        <v>21</v>
      </c>
      <c r="B24" s="700"/>
      <c r="C24" s="21"/>
      <c r="D24" s="21"/>
      <c r="E24" s="697">
        <f t="shared" si="0"/>
        <v>0</v>
      </c>
      <c r="F24" s="21"/>
      <c r="G24" s="457"/>
    </row>
    <row r="25" spans="1:7" ht="15" customHeight="1">
      <c r="A25" s="699" t="s">
        <v>22</v>
      </c>
      <c r="B25" s="700"/>
      <c r="C25" s="21"/>
      <c r="D25" s="21"/>
      <c r="E25" s="697">
        <f t="shared" si="0"/>
        <v>0</v>
      </c>
      <c r="F25" s="21"/>
      <c r="G25" s="457"/>
    </row>
    <row r="26" spans="1:7" ht="15" customHeight="1">
      <c r="A26" s="699" t="s">
        <v>23</v>
      </c>
      <c r="B26" s="700"/>
      <c r="C26" s="21"/>
      <c r="D26" s="21"/>
      <c r="E26" s="697">
        <f t="shared" si="0"/>
        <v>0</v>
      </c>
      <c r="F26" s="21"/>
      <c r="G26" s="457"/>
    </row>
    <row r="27" spans="1:7" ht="15" customHeight="1">
      <c r="A27" s="699" t="s">
        <v>24</v>
      </c>
      <c r="B27" s="700"/>
      <c r="C27" s="21"/>
      <c r="D27" s="21"/>
      <c r="E27" s="697">
        <f t="shared" si="0"/>
        <v>0</v>
      </c>
      <c r="F27" s="21"/>
      <c r="G27" s="457"/>
    </row>
    <row r="28" spans="1:7" ht="15" customHeight="1">
      <c r="A28" s="699" t="s">
        <v>25</v>
      </c>
      <c r="B28" s="700"/>
      <c r="C28" s="21"/>
      <c r="D28" s="21"/>
      <c r="E28" s="697">
        <f t="shared" si="0"/>
        <v>0</v>
      </c>
      <c r="F28" s="21"/>
      <c r="G28" s="457"/>
    </row>
    <row r="29" spans="1:7" ht="15" customHeight="1">
      <c r="A29" s="699" t="s">
        <v>26</v>
      </c>
      <c r="B29" s="700"/>
      <c r="C29" s="21"/>
      <c r="D29" s="21"/>
      <c r="E29" s="697">
        <f t="shared" si="0"/>
        <v>0</v>
      </c>
      <c r="F29" s="21"/>
      <c r="G29" s="457"/>
    </row>
    <row r="30" spans="1:7" ht="15" customHeight="1">
      <c r="A30" s="699" t="s">
        <v>27</v>
      </c>
      <c r="B30" s="700"/>
      <c r="C30" s="21"/>
      <c r="D30" s="21"/>
      <c r="E30" s="697">
        <f t="shared" si="0"/>
        <v>0</v>
      </c>
      <c r="F30" s="21"/>
      <c r="G30" s="457"/>
    </row>
    <row r="31" spans="1:7" ht="15" customHeight="1">
      <c r="A31" s="699" t="s">
        <v>28</v>
      </c>
      <c r="B31" s="700"/>
      <c r="C31" s="21"/>
      <c r="D31" s="21"/>
      <c r="E31" s="697">
        <f t="shared" si="0"/>
        <v>0</v>
      </c>
      <c r="F31" s="21"/>
      <c r="G31" s="457"/>
    </row>
    <row r="32" spans="1:7" ht="15" customHeight="1">
      <c r="A32" s="699" t="s">
        <v>29</v>
      </c>
      <c r="B32" s="700"/>
      <c r="C32" s="21"/>
      <c r="D32" s="21"/>
      <c r="E32" s="697">
        <f t="shared" si="0"/>
        <v>0</v>
      </c>
      <c r="F32" s="21"/>
      <c r="G32" s="457"/>
    </row>
    <row r="33" spans="1:7" ht="15" customHeight="1">
      <c r="A33" s="699" t="s">
        <v>30</v>
      </c>
      <c r="B33" s="700"/>
      <c r="C33" s="21"/>
      <c r="D33" s="21"/>
      <c r="E33" s="697">
        <f t="shared" si="0"/>
        <v>0</v>
      </c>
      <c r="F33" s="21"/>
      <c r="G33" s="457"/>
    </row>
    <row r="34" spans="1:7" ht="15" customHeight="1">
      <c r="A34" s="699" t="s">
        <v>31</v>
      </c>
      <c r="B34" s="700"/>
      <c r="C34" s="21"/>
      <c r="D34" s="21"/>
      <c r="E34" s="697">
        <f t="shared" si="0"/>
        <v>0</v>
      </c>
      <c r="F34" s="21"/>
      <c r="G34" s="457"/>
    </row>
    <row r="35" spans="1:7" ht="15" customHeight="1">
      <c r="A35" s="699" t="s">
        <v>32</v>
      </c>
      <c r="B35" s="700"/>
      <c r="C35" s="21"/>
      <c r="D35" s="21"/>
      <c r="E35" s="697">
        <f t="shared" si="0"/>
        <v>0</v>
      </c>
      <c r="F35" s="21"/>
      <c r="G35" s="457"/>
    </row>
    <row r="36" spans="1:7" ht="15" customHeight="1">
      <c r="A36" s="699" t="s">
        <v>33</v>
      </c>
      <c r="B36" s="700"/>
      <c r="C36" s="21"/>
      <c r="D36" s="21"/>
      <c r="E36" s="697">
        <f t="shared" si="0"/>
        <v>0</v>
      </c>
      <c r="F36" s="21"/>
      <c r="G36" s="457"/>
    </row>
    <row r="37" spans="1:7" ht="15" customHeight="1">
      <c r="A37" s="699" t="s">
        <v>603</v>
      </c>
      <c r="B37" s="700"/>
      <c r="C37" s="21"/>
      <c r="D37" s="21"/>
      <c r="E37" s="697">
        <f t="shared" si="0"/>
        <v>0</v>
      </c>
      <c r="F37" s="21"/>
      <c r="G37" s="457"/>
    </row>
    <row r="38" spans="1:7" ht="15" customHeight="1">
      <c r="A38" s="699" t="s">
        <v>604</v>
      </c>
      <c r="B38" s="700"/>
      <c r="C38" s="21"/>
      <c r="D38" s="21"/>
      <c r="E38" s="697">
        <f t="shared" si="0"/>
        <v>0</v>
      </c>
      <c r="F38" s="21"/>
      <c r="G38" s="457"/>
    </row>
    <row r="39" spans="1:7" ht="15" customHeight="1" thickBot="1">
      <c r="A39" s="699" t="s">
        <v>605</v>
      </c>
      <c r="B39" s="701"/>
      <c r="C39" s="22"/>
      <c r="D39" s="22"/>
      <c r="E39" s="697">
        <f t="shared" si="0"/>
        <v>0</v>
      </c>
      <c r="F39" s="22"/>
      <c r="G39" s="702"/>
    </row>
    <row r="40" spans="1:7" ht="15" customHeight="1" thickBot="1">
      <c r="A40" s="861" t="s">
        <v>37</v>
      </c>
      <c r="B40" s="862"/>
      <c r="C40" s="37">
        <f>SUM(C9:C39)</f>
        <v>112766268</v>
      </c>
      <c r="D40" s="37">
        <f>SUM(D9:D39)</f>
        <v>0</v>
      </c>
      <c r="E40" s="37">
        <f>SUM(E9:E39)</f>
        <v>112766268</v>
      </c>
      <c r="F40" s="37">
        <f>SUM(F9:F39)</f>
        <v>94752640</v>
      </c>
      <c r="G40" s="38">
        <f>SUM(G9:G39)</f>
        <v>18013628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26"/>
  <sheetViews>
    <sheetView zoomScale="120" zoomScaleNormal="120" zoomScalePageLayoutView="120" workbookViewId="0">
      <selection activeCell="J10" sqref="J10"/>
    </sheetView>
  </sheetViews>
  <sheetFormatPr defaultRowHeight="12.75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88" customWidth="1"/>
    <col min="7" max="16384" width="9.33203125" style="31"/>
  </cols>
  <sheetData>
    <row r="1" spans="1:6" ht="47.25" customHeight="1">
      <c r="B1" s="873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73"/>
      <c r="D1" s="873"/>
      <c r="E1" s="873"/>
      <c r="F1" s="874" t="str">
        <f>CONCATENATE("8. melléklet ",Z_ALAPADATOK!A7," ",Z_ALAPADATOK!B7," ",Z_ALAPADATOK!C7," ",Z_ALAPADATOK!D7," ",Z_ALAPADATOK!E7," ",Z_ALAPADATOK!F7," ",Z_ALAPADATOK!G7," ",Z_ALAPADATOK!H7)</f>
        <v>8. melléklet a … / 2021. ( … ) önkormányzati rendelethez</v>
      </c>
    </row>
    <row r="2" spans="1:6" ht="22.5" customHeight="1" thickBot="1">
      <c r="B2" s="875"/>
      <c r="C2" s="875"/>
      <c r="D2" s="875"/>
      <c r="E2" s="664" t="s">
        <v>830</v>
      </c>
      <c r="F2" s="874"/>
    </row>
    <row r="3" spans="1:6" s="32" customFormat="1" ht="54" customHeight="1" thickBot="1">
      <c r="A3" s="665" t="s">
        <v>876</v>
      </c>
      <c r="B3" s="666" t="s">
        <v>831</v>
      </c>
      <c r="C3" s="667" t="str">
        <f>+CONCATENATE(Z_ALAPADATOK!B1,". évi tervezett támogatás összesen")</f>
        <v>2020. évi tervezett támogatás összesen</v>
      </c>
      <c r="D3" s="667" t="s">
        <v>832</v>
      </c>
      <c r="E3" s="668" t="s">
        <v>833</v>
      </c>
      <c r="F3" s="874"/>
    </row>
    <row r="4" spans="1:6" s="673" customFormat="1" ht="13.5" thickBot="1">
      <c r="A4" s="669" t="s">
        <v>382</v>
      </c>
      <c r="B4" s="670" t="s">
        <v>383</v>
      </c>
      <c r="C4" s="671" t="s">
        <v>384</v>
      </c>
      <c r="D4" s="671" t="s">
        <v>386</v>
      </c>
      <c r="E4" s="672" t="s">
        <v>385</v>
      </c>
      <c r="F4" s="874"/>
    </row>
    <row r="5" spans="1:6">
      <c r="A5" s="674"/>
      <c r="B5" s="675"/>
      <c r="C5" s="676"/>
      <c r="D5" s="676"/>
      <c r="E5" s="677"/>
      <c r="F5" s="874"/>
    </row>
    <row r="6" spans="1:6" ht="12.75" customHeight="1">
      <c r="A6" s="678"/>
      <c r="B6" s="679"/>
      <c r="C6" s="676"/>
      <c r="D6" s="676"/>
      <c r="E6" s="677"/>
      <c r="F6" s="874"/>
    </row>
    <row r="7" spans="1:6">
      <c r="A7" s="678"/>
      <c r="B7" s="679"/>
      <c r="C7" s="676"/>
      <c r="D7" s="676"/>
      <c r="E7" s="677"/>
      <c r="F7" s="874"/>
    </row>
    <row r="8" spans="1:6">
      <c r="A8" s="678"/>
      <c r="B8" s="679"/>
      <c r="C8" s="676"/>
      <c r="D8" s="676"/>
      <c r="E8" s="677"/>
      <c r="F8" s="874"/>
    </row>
    <row r="9" spans="1:6">
      <c r="A9" s="678"/>
      <c r="B9" s="679"/>
      <c r="C9" s="676"/>
      <c r="D9" s="676"/>
      <c r="E9" s="677"/>
      <c r="F9" s="874"/>
    </row>
    <row r="10" spans="1:6">
      <c r="A10" s="678"/>
      <c r="B10" s="679"/>
      <c r="C10" s="676"/>
      <c r="D10" s="676"/>
      <c r="E10" s="677"/>
      <c r="F10" s="874"/>
    </row>
    <row r="11" spans="1:6">
      <c r="A11" s="678"/>
      <c r="B11" s="679"/>
      <c r="C11" s="676"/>
      <c r="D11" s="676"/>
      <c r="E11" s="677"/>
      <c r="F11" s="874"/>
    </row>
    <row r="12" spans="1:6">
      <c r="A12" s="678"/>
      <c r="B12" s="679"/>
      <c r="C12" s="676"/>
      <c r="D12" s="676"/>
      <c r="E12" s="677"/>
      <c r="F12" s="874"/>
    </row>
    <row r="13" spans="1:6" ht="12.95" customHeight="1">
      <c r="A13" s="678"/>
      <c r="B13" s="679"/>
      <c r="C13" s="676"/>
      <c r="D13" s="676"/>
      <c r="E13" s="677"/>
      <c r="F13" s="874"/>
    </row>
    <row r="14" spans="1:6">
      <c r="A14" s="678"/>
      <c r="B14" s="679"/>
      <c r="C14" s="676"/>
      <c r="D14" s="676"/>
      <c r="E14" s="677"/>
      <c r="F14" s="874"/>
    </row>
    <row r="15" spans="1:6">
      <c r="A15" s="678"/>
      <c r="B15" s="679"/>
      <c r="C15" s="676"/>
      <c r="D15" s="676"/>
      <c r="E15" s="677"/>
      <c r="F15" s="874"/>
    </row>
    <row r="16" spans="1:6">
      <c r="A16" s="678"/>
      <c r="B16" s="679"/>
      <c r="C16" s="676"/>
      <c r="D16" s="676"/>
      <c r="E16" s="677"/>
      <c r="F16" s="874"/>
    </row>
    <row r="17" spans="1:6">
      <c r="A17" s="678"/>
      <c r="B17" s="679"/>
      <c r="C17" s="676"/>
      <c r="D17" s="676"/>
      <c r="E17" s="677"/>
      <c r="F17" s="874"/>
    </row>
    <row r="18" spans="1:6">
      <c r="A18" s="678"/>
      <c r="B18" s="679"/>
      <c r="C18" s="676"/>
      <c r="D18" s="676"/>
      <c r="E18" s="677"/>
      <c r="F18" s="874"/>
    </row>
    <row r="19" spans="1:6">
      <c r="A19" s="678"/>
      <c r="B19" s="679"/>
      <c r="C19" s="676"/>
      <c r="D19" s="676"/>
      <c r="E19" s="677"/>
      <c r="F19" s="874"/>
    </row>
    <row r="20" spans="1:6">
      <c r="A20" s="678"/>
      <c r="B20" s="679"/>
      <c r="C20" s="676"/>
      <c r="D20" s="676"/>
      <c r="E20" s="677"/>
      <c r="F20" s="874"/>
    </row>
    <row r="21" spans="1:6">
      <c r="A21" s="678"/>
      <c r="B21" s="679"/>
      <c r="C21" s="676"/>
      <c r="D21" s="676"/>
      <c r="E21" s="677"/>
      <c r="F21" s="874"/>
    </row>
    <row r="22" spans="1:6">
      <c r="A22" s="678"/>
      <c r="B22" s="679"/>
      <c r="C22" s="676"/>
      <c r="D22" s="676"/>
      <c r="E22" s="677"/>
      <c r="F22" s="874"/>
    </row>
    <row r="23" spans="1:6">
      <c r="A23" s="678"/>
      <c r="B23" s="679"/>
      <c r="C23" s="676"/>
      <c r="D23" s="676"/>
      <c r="E23" s="677"/>
      <c r="F23" s="874"/>
    </row>
    <row r="24" spans="1:6" ht="13.5" thickBot="1">
      <c r="A24" s="680"/>
      <c r="B24" s="681"/>
      <c r="C24" s="682"/>
      <c r="D24" s="682"/>
      <c r="E24" s="677"/>
      <c r="F24" s="874"/>
    </row>
    <row r="25" spans="1:6" s="687" customFormat="1" ht="19.5" customHeight="1" thickBot="1">
      <c r="A25" s="683"/>
      <c r="B25" s="684" t="s">
        <v>37</v>
      </c>
      <c r="C25" s="685">
        <f>SUM(C5:C24)</f>
        <v>0</v>
      </c>
      <c r="D25" s="685">
        <f>SUM(D5:D24)</f>
        <v>0</v>
      </c>
      <c r="E25" s="686">
        <f>SUM(E5:E24)</f>
        <v>0</v>
      </c>
      <c r="F25" s="874"/>
    </row>
    <row r="26" spans="1:6">
      <c r="A26" s="876" t="s">
        <v>877</v>
      </c>
      <c r="B26" s="876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7"/>
  <sheetViews>
    <sheetView topLeftCell="A139" zoomScale="120" zoomScaleNormal="120" zoomScaleSheetLayoutView="100" workbookViewId="0">
      <selection activeCell="D102" sqref="D102"/>
    </sheetView>
  </sheetViews>
  <sheetFormatPr defaultRowHeight="15.7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>
      <c r="A1" s="778" t="str">
        <f>CONCATENATE("1. tájékoztató tábla ",Z_ALAPADATOK!A7," ",Z_ALAPADATOK!B7," ",Z_ALAPADATOK!C7," ",Z_ALAPADATOK!D7," ",Z_ALAPADATOK!E7," ",Z_ALAPADATOK!F7," ",Z_ALAPADATOK!G7," ",Z_ALAPADATOK!H7)</f>
        <v>1. tájékoztató tábla a … / 2021. ( … ) önkormányzati rendelethez</v>
      </c>
      <c r="B1" s="779"/>
      <c r="C1" s="779"/>
      <c r="D1" s="779"/>
      <c r="E1" s="779"/>
    </row>
    <row r="2" spans="1:5">
      <c r="A2" s="780" t="str">
        <f>CONCATENATE(Z_ALAPADATOK!A3)</f>
        <v>Borsodivánka Község Önkormányzata</v>
      </c>
      <c r="B2" s="781"/>
      <c r="C2" s="781"/>
      <c r="D2" s="781"/>
      <c r="E2" s="781"/>
    </row>
    <row r="3" spans="1:5">
      <c r="A3" s="780" t="str">
        <f>CONCATENATE(Z_ALAPADATOK!B1,". ÉVI ZÁRSZÁMADÁSÁNAK PÉNZÜGYI MÉRLEGE")</f>
        <v>2020. ÉVI ZÁRSZÁMADÁSÁNAK PÉNZÜGYI MÉRLEGE</v>
      </c>
      <c r="B3" s="781"/>
      <c r="C3" s="781"/>
      <c r="D3" s="781"/>
      <c r="E3" s="781"/>
    </row>
    <row r="4" spans="1:5" ht="15.95" customHeight="1">
      <c r="A4" s="792" t="s">
        <v>3</v>
      </c>
      <c r="B4" s="792"/>
      <c r="C4" s="792"/>
      <c r="D4" s="792"/>
      <c r="E4" s="792"/>
    </row>
    <row r="5" spans="1:5" ht="15.95" customHeight="1" thickBot="1">
      <c r="A5" s="605" t="s">
        <v>100</v>
      </c>
      <c r="B5" s="605"/>
      <c r="C5" s="605"/>
      <c r="D5" s="606"/>
      <c r="E5" s="606" t="str">
        <f>CONCATENATE(Z_6.12.3.sz.mell!E4)</f>
        <v xml:space="preserve"> Forintban!</v>
      </c>
    </row>
    <row r="6" spans="1:5" ht="15.95" customHeight="1">
      <c r="A6" s="877" t="s">
        <v>51</v>
      </c>
      <c r="B6" s="879" t="s">
        <v>5</v>
      </c>
      <c r="C6" s="881" t="str">
        <f>CONCATENATE(Z_ALAPADATOK!B1-1," évi tény")</f>
        <v>2019 évi tény</v>
      </c>
      <c r="D6" s="883" t="str">
        <f>CONCATENATE(Z_ALAPADATOK!B1,". évi")</f>
        <v>2020. évi</v>
      </c>
      <c r="E6" s="884"/>
    </row>
    <row r="7" spans="1:5" ht="38.1" customHeight="1" thickBot="1">
      <c r="A7" s="878"/>
      <c r="B7" s="880"/>
      <c r="C7" s="882"/>
      <c r="D7" s="607" t="s">
        <v>447</v>
      </c>
      <c r="E7" s="314" t="s">
        <v>442</v>
      </c>
    </row>
    <row r="8" spans="1:5" s="180" customFormat="1" ht="12" customHeight="1" thickBot="1">
      <c r="A8" s="608" t="s">
        <v>382</v>
      </c>
      <c r="B8" s="609" t="s">
        <v>383</v>
      </c>
      <c r="C8" s="609" t="s">
        <v>384</v>
      </c>
      <c r="D8" s="609" t="s">
        <v>385</v>
      </c>
      <c r="E8" s="610" t="s">
        <v>387</v>
      </c>
    </row>
    <row r="9" spans="1:5" s="181" customFormat="1" ht="12" customHeight="1" thickBot="1">
      <c r="A9" s="18" t="s">
        <v>6</v>
      </c>
      <c r="B9" s="372" t="s">
        <v>161</v>
      </c>
      <c r="C9" s="169">
        <f>+C10+C11+C12+C13+C14+C15</f>
        <v>15439242</v>
      </c>
      <c r="D9" s="169">
        <f>+D10+D11+D12+D13+D14+D15</f>
        <v>18642576</v>
      </c>
      <c r="E9" s="105">
        <f>+E10+E11+E12+E13+E14+E15</f>
        <v>18642576</v>
      </c>
    </row>
    <row r="10" spans="1:5" s="181" customFormat="1" ht="12" customHeight="1">
      <c r="A10" s="13" t="s">
        <v>63</v>
      </c>
      <c r="B10" s="373" t="s">
        <v>162</v>
      </c>
      <c r="C10" s="107">
        <v>2309699</v>
      </c>
      <c r="D10" s="171">
        <v>1901292</v>
      </c>
      <c r="E10" s="107">
        <v>1901292</v>
      </c>
    </row>
    <row r="11" spans="1:5" s="181" customFormat="1" ht="12" customHeight="1">
      <c r="A11" s="12" t="s">
        <v>64</v>
      </c>
      <c r="B11" s="374" t="s">
        <v>163</v>
      </c>
      <c r="C11" s="106"/>
      <c r="D11" s="170"/>
      <c r="E11" s="106"/>
    </row>
    <row r="12" spans="1:5" s="181" customFormat="1" ht="12" customHeight="1">
      <c r="A12" s="12" t="s">
        <v>65</v>
      </c>
      <c r="B12" s="374" t="s">
        <v>164</v>
      </c>
      <c r="C12" s="106">
        <v>10701093</v>
      </c>
      <c r="D12" s="170">
        <v>14073614</v>
      </c>
      <c r="E12" s="106">
        <v>14073614</v>
      </c>
    </row>
    <row r="13" spans="1:5" s="181" customFormat="1" ht="12" customHeight="1">
      <c r="A13" s="12" t="s">
        <v>66</v>
      </c>
      <c r="B13" s="374" t="s">
        <v>165</v>
      </c>
      <c r="C13" s="106">
        <v>1800000</v>
      </c>
      <c r="D13" s="170">
        <v>2089820</v>
      </c>
      <c r="E13" s="106">
        <v>2089820</v>
      </c>
    </row>
    <row r="14" spans="1:5" s="181" customFormat="1" ht="12" customHeight="1">
      <c r="A14" s="12" t="s">
        <v>97</v>
      </c>
      <c r="B14" s="374" t="s">
        <v>331</v>
      </c>
      <c r="C14" s="106">
        <v>552450</v>
      </c>
      <c r="D14" s="170">
        <v>577850</v>
      </c>
      <c r="E14" s="106">
        <v>577850</v>
      </c>
    </row>
    <row r="15" spans="1:5" s="181" customFormat="1" ht="12" customHeight="1" thickBot="1">
      <c r="A15" s="14" t="s">
        <v>67</v>
      </c>
      <c r="B15" s="375" t="s">
        <v>332</v>
      </c>
      <c r="C15" s="108">
        <v>76000</v>
      </c>
      <c r="D15" s="170"/>
      <c r="E15" s="106"/>
    </row>
    <row r="16" spans="1:5" s="181" customFormat="1" ht="12" customHeight="1" thickBot="1">
      <c r="A16" s="18" t="s">
        <v>7</v>
      </c>
      <c r="B16" s="376" t="s">
        <v>166</v>
      </c>
      <c r="C16" s="169">
        <f>+C17+C18+C19+C20+C21</f>
        <v>15693134</v>
      </c>
      <c r="D16" s="169">
        <f>+D17+D18+D19+D20+D21</f>
        <v>20641962</v>
      </c>
      <c r="E16" s="105">
        <f>+E17+E18+E19+E20+E21</f>
        <v>31211511</v>
      </c>
    </row>
    <row r="17" spans="1:5" s="181" customFormat="1" ht="12" customHeight="1">
      <c r="A17" s="13" t="s">
        <v>69</v>
      </c>
      <c r="B17" s="373" t="s">
        <v>167</v>
      </c>
      <c r="C17" s="171"/>
      <c r="D17" s="171"/>
      <c r="E17" s="107"/>
    </row>
    <row r="18" spans="1:5" s="181" customFormat="1" ht="12" customHeight="1">
      <c r="A18" s="12" t="s">
        <v>70</v>
      </c>
      <c r="B18" s="374" t="s">
        <v>168</v>
      </c>
      <c r="C18" s="170"/>
      <c r="D18" s="170"/>
      <c r="E18" s="106"/>
    </row>
    <row r="19" spans="1:5" s="181" customFormat="1" ht="12" customHeight="1">
      <c r="A19" s="12" t="s">
        <v>71</v>
      </c>
      <c r="B19" s="374" t="s">
        <v>323</v>
      </c>
      <c r="C19" s="170"/>
      <c r="D19" s="170"/>
      <c r="E19" s="106"/>
    </row>
    <row r="20" spans="1:5" s="181" customFormat="1" ht="12" customHeight="1">
      <c r="A20" s="12" t="s">
        <v>72</v>
      </c>
      <c r="B20" s="374" t="s">
        <v>324</v>
      </c>
      <c r="C20" s="170"/>
      <c r="D20" s="170"/>
      <c r="E20" s="106"/>
    </row>
    <row r="21" spans="1:5" s="181" customFormat="1" ht="12" customHeight="1">
      <c r="A21" s="12" t="s">
        <v>73</v>
      </c>
      <c r="B21" s="374" t="s">
        <v>169</v>
      </c>
      <c r="C21" s="106">
        <v>15693134</v>
      </c>
      <c r="D21" s="170">
        <v>20641962</v>
      </c>
      <c r="E21" s="106">
        <v>31211511</v>
      </c>
    </row>
    <row r="22" spans="1:5" s="181" customFormat="1" ht="12" customHeight="1" thickBot="1">
      <c r="A22" s="14" t="s">
        <v>80</v>
      </c>
      <c r="B22" s="375" t="s">
        <v>170</v>
      </c>
      <c r="C22" s="172"/>
      <c r="D22" s="172"/>
      <c r="E22" s="108"/>
    </row>
    <row r="23" spans="1:5" s="181" customFormat="1" ht="12" customHeight="1" thickBot="1">
      <c r="A23" s="18" t="s">
        <v>8</v>
      </c>
      <c r="B23" s="372" t="s">
        <v>171</v>
      </c>
      <c r="C23" s="169">
        <f>+C24+C25+C26+C27+C28</f>
        <v>132625811</v>
      </c>
      <c r="D23" s="169">
        <f>+D24+D25+D26+D27+D28</f>
        <v>1602874</v>
      </c>
      <c r="E23" s="105">
        <f>+E24+E25+E26+E27+E28</f>
        <v>7907940</v>
      </c>
    </row>
    <row r="24" spans="1:5" s="181" customFormat="1" ht="12" customHeight="1">
      <c r="A24" s="13" t="s">
        <v>52</v>
      </c>
      <c r="B24" s="373" t="s">
        <v>172</v>
      </c>
      <c r="C24" s="107">
        <v>14960454</v>
      </c>
      <c r="D24" s="171"/>
      <c r="E24" s="107"/>
    </row>
    <row r="25" spans="1:5" s="181" customFormat="1" ht="12" customHeight="1">
      <c r="A25" s="12" t="s">
        <v>53</v>
      </c>
      <c r="B25" s="374" t="s">
        <v>173</v>
      </c>
      <c r="C25" s="106"/>
      <c r="D25" s="170"/>
      <c r="E25" s="106"/>
    </row>
    <row r="26" spans="1:5" s="181" customFormat="1" ht="12" customHeight="1">
      <c r="A26" s="12" t="s">
        <v>54</v>
      </c>
      <c r="B26" s="374" t="s">
        <v>325</v>
      </c>
      <c r="C26" s="106"/>
      <c r="D26" s="170"/>
      <c r="E26" s="106"/>
    </row>
    <row r="27" spans="1:5" s="181" customFormat="1" ht="12" customHeight="1">
      <c r="A27" s="12" t="s">
        <v>55</v>
      </c>
      <c r="B27" s="374" t="s">
        <v>326</v>
      </c>
      <c r="C27" s="106"/>
      <c r="D27" s="170"/>
      <c r="E27" s="106"/>
    </row>
    <row r="28" spans="1:5" s="181" customFormat="1" ht="12" customHeight="1">
      <c r="A28" s="12" t="s">
        <v>110</v>
      </c>
      <c r="B28" s="374" t="s">
        <v>174</v>
      </c>
      <c r="C28" s="106">
        <v>117665357</v>
      </c>
      <c r="D28" s="170">
        <v>1602874</v>
      </c>
      <c r="E28" s="106">
        <v>7907940</v>
      </c>
    </row>
    <row r="29" spans="1:5" s="181" customFormat="1" ht="12" customHeight="1" thickBot="1">
      <c r="A29" s="14" t="s">
        <v>111</v>
      </c>
      <c r="B29" s="375" t="s">
        <v>175</v>
      </c>
      <c r="C29" s="108"/>
      <c r="D29" s="172"/>
      <c r="E29" s="108"/>
    </row>
    <row r="30" spans="1:5" s="181" customFormat="1" ht="12" customHeight="1" thickBot="1">
      <c r="A30" s="25" t="s">
        <v>112</v>
      </c>
      <c r="B30" s="19" t="s">
        <v>526</v>
      </c>
      <c r="C30" s="175">
        <f>SUM(C31:C37)</f>
        <v>38852225</v>
      </c>
      <c r="D30" s="175">
        <f>SUM(D31:D37)</f>
        <v>35981813</v>
      </c>
      <c r="E30" s="211">
        <f>SUM(E31:E37)</f>
        <v>33235878</v>
      </c>
    </row>
    <row r="31" spans="1:5" s="181" customFormat="1" ht="12" customHeight="1">
      <c r="A31" s="199" t="s">
        <v>176</v>
      </c>
      <c r="B31" s="182" t="s">
        <v>474</v>
      </c>
      <c r="C31" s="107"/>
      <c r="D31" s="171"/>
      <c r="E31" s="107"/>
    </row>
    <row r="32" spans="1:5" s="181" customFormat="1" ht="12" customHeight="1">
      <c r="A32" s="200" t="s">
        <v>177</v>
      </c>
      <c r="B32" s="182" t="s">
        <v>869</v>
      </c>
      <c r="C32" s="106"/>
      <c r="D32" s="170"/>
      <c r="E32" s="106"/>
    </row>
    <row r="33" spans="1:5" s="181" customFormat="1" ht="12" customHeight="1">
      <c r="A33" s="200" t="s">
        <v>178</v>
      </c>
      <c r="B33" s="182" t="s">
        <v>475</v>
      </c>
      <c r="C33" s="106">
        <v>37707923</v>
      </c>
      <c r="D33" s="170">
        <v>34000000</v>
      </c>
      <c r="E33" s="106">
        <v>33107383</v>
      </c>
    </row>
    <row r="34" spans="1:5" s="181" customFormat="1" ht="12" customHeight="1">
      <c r="A34" s="200" t="s">
        <v>179</v>
      </c>
      <c r="B34" s="182" t="s">
        <v>870</v>
      </c>
      <c r="C34" s="106"/>
      <c r="D34" s="170"/>
      <c r="E34" s="106"/>
    </row>
    <row r="35" spans="1:5" s="181" customFormat="1" ht="12" customHeight="1">
      <c r="A35" s="200" t="s">
        <v>477</v>
      </c>
      <c r="B35" s="182" t="s">
        <v>180</v>
      </c>
      <c r="C35" s="106">
        <v>1029542</v>
      </c>
      <c r="D35" s="170">
        <v>877072</v>
      </c>
      <c r="E35" s="106"/>
    </row>
    <row r="36" spans="1:5" s="181" customFormat="1" ht="12" customHeight="1">
      <c r="A36" s="200" t="s">
        <v>478</v>
      </c>
      <c r="B36" s="182" t="s">
        <v>854</v>
      </c>
      <c r="C36" s="106"/>
      <c r="D36" s="170">
        <v>1104741</v>
      </c>
      <c r="E36" s="106">
        <v>128495</v>
      </c>
    </row>
    <row r="37" spans="1:5" s="181" customFormat="1" ht="12" customHeight="1" thickBot="1">
      <c r="A37" s="201" t="s">
        <v>479</v>
      </c>
      <c r="B37" s="182" t="s">
        <v>855</v>
      </c>
      <c r="C37" s="108">
        <v>114760</v>
      </c>
      <c r="D37" s="172"/>
      <c r="E37" s="108"/>
    </row>
    <row r="38" spans="1:5" s="181" customFormat="1" ht="12" customHeight="1" thickBot="1">
      <c r="A38" s="18" t="s">
        <v>10</v>
      </c>
      <c r="B38" s="372" t="s">
        <v>527</v>
      </c>
      <c r="C38" s="169">
        <f>SUM(C39:C49)</f>
        <v>29952603</v>
      </c>
      <c r="D38" s="169">
        <f>SUM(D39:D49)</f>
        <v>24629143</v>
      </c>
      <c r="E38" s="105">
        <f>SUM(E39:E49)</f>
        <v>25635733</v>
      </c>
    </row>
    <row r="39" spans="1:5" s="181" customFormat="1" ht="12" customHeight="1">
      <c r="A39" s="13" t="s">
        <v>56</v>
      </c>
      <c r="B39" s="373" t="s">
        <v>183</v>
      </c>
      <c r="C39" s="107">
        <v>33272</v>
      </c>
      <c r="D39" s="171"/>
      <c r="E39" s="107">
        <v>48236</v>
      </c>
    </row>
    <row r="40" spans="1:5" s="181" customFormat="1" ht="12" customHeight="1">
      <c r="A40" s="12" t="s">
        <v>57</v>
      </c>
      <c r="B40" s="374" t="s">
        <v>184</v>
      </c>
      <c r="C40" s="106">
        <v>19681741</v>
      </c>
      <c r="D40" s="170">
        <v>8939715</v>
      </c>
      <c r="E40" s="106">
        <v>9137330</v>
      </c>
    </row>
    <row r="41" spans="1:5" s="181" customFormat="1" ht="12" customHeight="1">
      <c r="A41" s="12" t="s">
        <v>58</v>
      </c>
      <c r="B41" s="374" t="s">
        <v>185</v>
      </c>
      <c r="C41" s="106">
        <v>316203</v>
      </c>
      <c r="D41" s="170">
        <v>706573</v>
      </c>
      <c r="E41" s="106">
        <v>1776147</v>
      </c>
    </row>
    <row r="42" spans="1:5" s="181" customFormat="1" ht="12" customHeight="1">
      <c r="A42" s="12" t="s">
        <v>114</v>
      </c>
      <c r="B42" s="374" t="s">
        <v>186</v>
      </c>
      <c r="C42" s="106"/>
      <c r="D42" s="170"/>
      <c r="E42" s="106"/>
    </row>
    <row r="43" spans="1:5" s="181" customFormat="1" ht="12" customHeight="1">
      <c r="A43" s="12" t="s">
        <v>115</v>
      </c>
      <c r="B43" s="374" t="s">
        <v>187</v>
      </c>
      <c r="C43" s="106">
        <v>6497256</v>
      </c>
      <c r="D43" s="170">
        <v>10296715</v>
      </c>
      <c r="E43" s="106">
        <v>10341495</v>
      </c>
    </row>
    <row r="44" spans="1:5" s="181" customFormat="1" ht="12" customHeight="1">
      <c r="A44" s="12" t="s">
        <v>116</v>
      </c>
      <c r="B44" s="374" t="s">
        <v>188</v>
      </c>
      <c r="C44" s="106">
        <v>2679264</v>
      </c>
      <c r="D44" s="170">
        <v>4381140</v>
      </c>
      <c r="E44" s="106">
        <v>3953302</v>
      </c>
    </row>
    <row r="45" spans="1:5" s="181" customFormat="1" ht="12" customHeight="1">
      <c r="A45" s="12" t="s">
        <v>117</v>
      </c>
      <c r="B45" s="374" t="s">
        <v>189</v>
      </c>
      <c r="C45" s="106">
        <v>463973</v>
      </c>
      <c r="D45" s="170">
        <v>305000</v>
      </c>
      <c r="E45" s="106"/>
    </row>
    <row r="46" spans="1:5" s="181" customFormat="1" ht="12" customHeight="1">
      <c r="A46" s="12" t="s">
        <v>118</v>
      </c>
      <c r="B46" s="374" t="s">
        <v>190</v>
      </c>
      <c r="C46" s="106">
        <v>81994</v>
      </c>
      <c r="D46" s="170"/>
      <c r="E46" s="106"/>
    </row>
    <row r="47" spans="1:5" s="181" customFormat="1" ht="12" customHeight="1">
      <c r="A47" s="12" t="s">
        <v>181</v>
      </c>
      <c r="B47" s="374" t="s">
        <v>191</v>
      </c>
      <c r="C47" s="106"/>
      <c r="D47" s="173"/>
      <c r="E47" s="109">
        <v>136</v>
      </c>
    </row>
    <row r="48" spans="1:5" s="181" customFormat="1" ht="12" customHeight="1">
      <c r="A48" s="12" t="s">
        <v>182</v>
      </c>
      <c r="B48" s="374" t="s">
        <v>335</v>
      </c>
      <c r="C48" s="109">
        <v>5000</v>
      </c>
      <c r="D48" s="174"/>
      <c r="E48" s="110"/>
    </row>
    <row r="49" spans="1:5" s="181" customFormat="1" ht="12" customHeight="1" thickBot="1">
      <c r="A49" s="14" t="s">
        <v>334</v>
      </c>
      <c r="B49" s="375" t="s">
        <v>192</v>
      </c>
      <c r="C49" s="110">
        <v>193900</v>
      </c>
      <c r="D49" s="174"/>
      <c r="E49" s="110">
        <v>379087</v>
      </c>
    </row>
    <row r="50" spans="1:5" s="181" customFormat="1" ht="12" customHeight="1" thickBot="1">
      <c r="A50" s="18" t="s">
        <v>11</v>
      </c>
      <c r="B50" s="372" t="s">
        <v>193</v>
      </c>
      <c r="C50" s="169">
        <f>SUM(C51:C55)</f>
        <v>2731000</v>
      </c>
      <c r="D50" s="169">
        <f>SUM(D51:D55)</f>
        <v>0</v>
      </c>
      <c r="E50" s="105">
        <f>SUM(E51:E55)</f>
        <v>4000000</v>
      </c>
    </row>
    <row r="51" spans="1:5" s="181" customFormat="1" ht="12" customHeight="1">
      <c r="A51" s="13" t="s">
        <v>59</v>
      </c>
      <c r="B51" s="373" t="s">
        <v>197</v>
      </c>
      <c r="C51" s="111">
        <v>2531000</v>
      </c>
      <c r="D51" s="222"/>
      <c r="E51" s="111"/>
    </row>
    <row r="52" spans="1:5" s="181" customFormat="1" ht="12" customHeight="1">
      <c r="A52" s="12" t="s">
        <v>60</v>
      </c>
      <c r="B52" s="374" t="s">
        <v>198</v>
      </c>
      <c r="C52" s="109">
        <v>200000</v>
      </c>
      <c r="D52" s="173"/>
      <c r="E52" s="109">
        <v>4000000</v>
      </c>
    </row>
    <row r="53" spans="1:5" s="181" customFormat="1" ht="12" customHeight="1">
      <c r="A53" s="12" t="s">
        <v>194</v>
      </c>
      <c r="B53" s="374" t="s">
        <v>199</v>
      </c>
      <c r="C53" s="109"/>
      <c r="D53" s="173"/>
      <c r="E53" s="109"/>
    </row>
    <row r="54" spans="1:5" s="181" customFormat="1" ht="12" customHeight="1">
      <c r="A54" s="12" t="s">
        <v>195</v>
      </c>
      <c r="B54" s="374" t="s">
        <v>200</v>
      </c>
      <c r="C54" s="109"/>
      <c r="D54" s="173"/>
      <c r="E54" s="109"/>
    </row>
    <row r="55" spans="1:5" s="181" customFormat="1" ht="12" customHeight="1" thickBot="1">
      <c r="A55" s="14" t="s">
        <v>196</v>
      </c>
      <c r="B55" s="375" t="s">
        <v>201</v>
      </c>
      <c r="C55" s="110"/>
      <c r="D55" s="174"/>
      <c r="E55" s="110"/>
    </row>
    <row r="56" spans="1:5" s="181" customFormat="1" ht="13.5" thickBot="1">
      <c r="A56" s="18" t="s">
        <v>119</v>
      </c>
      <c r="B56" s="372" t="s">
        <v>202</v>
      </c>
      <c r="C56" s="169">
        <f>SUM(C57:C59)</f>
        <v>200000</v>
      </c>
      <c r="D56" s="169">
        <f>SUM(D57:D59)</f>
        <v>0</v>
      </c>
      <c r="E56" s="105">
        <f>SUM(E57:E59)</f>
        <v>100000</v>
      </c>
    </row>
    <row r="57" spans="1:5" s="181" customFormat="1" ht="12.75">
      <c r="A57" s="13" t="s">
        <v>61</v>
      </c>
      <c r="B57" s="373" t="s">
        <v>203</v>
      </c>
      <c r="C57" s="171"/>
      <c r="D57" s="171"/>
      <c r="E57" s="107"/>
    </row>
    <row r="58" spans="1:5" s="181" customFormat="1" ht="14.45" customHeight="1">
      <c r="A58" s="12" t="s">
        <v>62</v>
      </c>
      <c r="B58" s="374" t="s">
        <v>528</v>
      </c>
      <c r="C58" s="170"/>
      <c r="D58" s="170"/>
      <c r="E58" s="106"/>
    </row>
    <row r="59" spans="1:5" s="181" customFormat="1" ht="12.75">
      <c r="A59" s="12" t="s">
        <v>206</v>
      </c>
      <c r="B59" s="374" t="s">
        <v>204</v>
      </c>
      <c r="C59" s="106">
        <v>200000</v>
      </c>
      <c r="D59" s="170"/>
      <c r="E59" s="106">
        <v>100000</v>
      </c>
    </row>
    <row r="60" spans="1:5" s="181" customFormat="1" ht="13.5" thickBot="1">
      <c r="A60" s="14" t="s">
        <v>207</v>
      </c>
      <c r="B60" s="375" t="s">
        <v>205</v>
      </c>
      <c r="C60" s="172"/>
      <c r="D60" s="172"/>
      <c r="E60" s="108"/>
    </row>
    <row r="61" spans="1:5" s="181" customFormat="1" ht="13.5" thickBot="1">
      <c r="A61" s="18" t="s">
        <v>13</v>
      </c>
      <c r="B61" s="376" t="s">
        <v>208</v>
      </c>
      <c r="C61" s="169">
        <f>SUM(C62:C64)</f>
        <v>1469000</v>
      </c>
      <c r="D61" s="169">
        <f>SUM(D62:D64)</f>
        <v>0</v>
      </c>
      <c r="E61" s="105">
        <f>SUM(E62:E64)</f>
        <v>0</v>
      </c>
    </row>
    <row r="62" spans="1:5" s="181" customFormat="1" ht="12.75">
      <c r="A62" s="12" t="s">
        <v>120</v>
      </c>
      <c r="B62" s="373" t="s">
        <v>210</v>
      </c>
      <c r="C62" s="173"/>
      <c r="D62" s="173"/>
      <c r="E62" s="109"/>
    </row>
    <row r="63" spans="1:5" s="181" customFormat="1" ht="12.75" customHeight="1">
      <c r="A63" s="12" t="s">
        <v>121</v>
      </c>
      <c r="B63" s="374" t="s">
        <v>529</v>
      </c>
      <c r="C63" s="173"/>
      <c r="D63" s="173"/>
      <c r="E63" s="109"/>
    </row>
    <row r="64" spans="1:5" s="181" customFormat="1" ht="12.75">
      <c r="A64" s="12" t="s">
        <v>143</v>
      </c>
      <c r="B64" s="374" t="s">
        <v>211</v>
      </c>
      <c r="C64" s="109">
        <v>1469000</v>
      </c>
      <c r="D64" s="173"/>
      <c r="E64" s="109"/>
    </row>
    <row r="65" spans="1:5" s="181" customFormat="1" ht="13.5" thickBot="1">
      <c r="A65" s="12" t="s">
        <v>209</v>
      </c>
      <c r="B65" s="375" t="s">
        <v>212</v>
      </c>
      <c r="C65" s="173"/>
      <c r="D65" s="173"/>
      <c r="E65" s="109"/>
    </row>
    <row r="66" spans="1:5" s="181" customFormat="1" ht="13.5" thickBot="1">
      <c r="A66" s="18" t="s">
        <v>14</v>
      </c>
      <c r="B66" s="372" t="s">
        <v>213</v>
      </c>
      <c r="C66" s="175">
        <f>+C9+C16+C23+C30+C38+C50+C56+C61</f>
        <v>236963015</v>
      </c>
      <c r="D66" s="175">
        <f>+D9+D16+D23+D30+D38+D50+D56+D61</f>
        <v>101498368</v>
      </c>
      <c r="E66" s="211">
        <f>+E9+E16+E23+E30+E38+E50+E56+E61</f>
        <v>120733638</v>
      </c>
    </row>
    <row r="67" spans="1:5" s="181" customFormat="1" ht="13.5" thickBot="1">
      <c r="A67" s="223" t="s">
        <v>214</v>
      </c>
      <c r="B67" s="376" t="s">
        <v>530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>
      <c r="A68" s="12" t="s">
        <v>243</v>
      </c>
      <c r="B68" s="373" t="s">
        <v>216</v>
      </c>
      <c r="C68" s="173"/>
      <c r="D68" s="173"/>
      <c r="E68" s="109"/>
    </row>
    <row r="69" spans="1:5" s="181" customFormat="1" ht="12.75">
      <c r="A69" s="12" t="s">
        <v>252</v>
      </c>
      <c r="B69" s="374" t="s">
        <v>217</v>
      </c>
      <c r="C69" s="173"/>
      <c r="D69" s="173"/>
      <c r="E69" s="109"/>
    </row>
    <row r="70" spans="1:5" s="181" customFormat="1" ht="13.5" thickBot="1">
      <c r="A70" s="12" t="s">
        <v>253</v>
      </c>
      <c r="B70" s="233" t="s">
        <v>871</v>
      </c>
      <c r="C70" s="173"/>
      <c r="D70" s="173"/>
      <c r="E70" s="109"/>
    </row>
    <row r="71" spans="1:5" s="181" customFormat="1" ht="13.5" thickBot="1">
      <c r="A71" s="223" t="s">
        <v>219</v>
      </c>
      <c r="B71" s="376" t="s">
        <v>220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>
      <c r="A72" s="12" t="s">
        <v>98</v>
      </c>
      <c r="B72" s="377" t="s">
        <v>221</v>
      </c>
      <c r="C72" s="173"/>
      <c r="D72" s="173"/>
      <c r="E72" s="109"/>
    </row>
    <row r="73" spans="1:5" s="181" customFormat="1" ht="12.75">
      <c r="A73" s="12" t="s">
        <v>99</v>
      </c>
      <c r="B73" s="377" t="s">
        <v>487</v>
      </c>
      <c r="C73" s="173"/>
      <c r="D73" s="173"/>
      <c r="E73" s="109"/>
    </row>
    <row r="74" spans="1:5" s="181" customFormat="1" ht="12" customHeight="1">
      <c r="A74" s="12" t="s">
        <v>244</v>
      </c>
      <c r="B74" s="377" t="s">
        <v>222</v>
      </c>
      <c r="C74" s="173"/>
      <c r="D74" s="173"/>
      <c r="E74" s="109"/>
    </row>
    <row r="75" spans="1:5" s="181" customFormat="1" ht="12" customHeight="1" thickBot="1">
      <c r="A75" s="12" t="s">
        <v>245</v>
      </c>
      <c r="B75" s="378" t="s">
        <v>488</v>
      </c>
      <c r="C75" s="173"/>
      <c r="D75" s="173"/>
      <c r="E75" s="109"/>
    </row>
    <row r="76" spans="1:5" s="181" customFormat="1" ht="12" customHeight="1" thickBot="1">
      <c r="A76" s="223" t="s">
        <v>223</v>
      </c>
      <c r="B76" s="376" t="s">
        <v>224</v>
      </c>
      <c r="C76" s="169">
        <f>SUM(C77:C78)</f>
        <v>23318632</v>
      </c>
      <c r="D76" s="169">
        <f>SUM(D77:D78)</f>
        <v>113599319</v>
      </c>
      <c r="E76" s="105">
        <f>SUM(E77:E78)</f>
        <v>109303836</v>
      </c>
    </row>
    <row r="77" spans="1:5" s="181" customFormat="1" ht="12" customHeight="1">
      <c r="A77" s="12" t="s">
        <v>246</v>
      </c>
      <c r="B77" s="373" t="s">
        <v>225</v>
      </c>
      <c r="C77" s="109">
        <v>23318632</v>
      </c>
      <c r="D77" s="173">
        <v>113599319</v>
      </c>
      <c r="E77" s="109">
        <v>109303836</v>
      </c>
    </row>
    <row r="78" spans="1:5" s="181" customFormat="1" ht="12" customHeight="1" thickBot="1">
      <c r="A78" s="12" t="s">
        <v>247</v>
      </c>
      <c r="B78" s="375" t="s">
        <v>226</v>
      </c>
      <c r="C78" s="173"/>
      <c r="D78" s="173"/>
      <c r="E78" s="109"/>
    </row>
    <row r="79" spans="1:5" s="181" customFormat="1" ht="12" customHeight="1" thickBot="1">
      <c r="A79" s="223" t="s">
        <v>227</v>
      </c>
      <c r="B79" s="376" t="s">
        <v>228</v>
      </c>
      <c r="C79" s="169">
        <f>SUM(C80:C82)</f>
        <v>164070099</v>
      </c>
      <c r="D79" s="169">
        <f>SUM(D80:D82)</f>
        <v>1309301</v>
      </c>
      <c r="E79" s="105">
        <f>SUM(E80:E82)</f>
        <v>2400550</v>
      </c>
    </row>
    <row r="80" spans="1:5" s="181" customFormat="1" ht="12" customHeight="1">
      <c r="A80" s="12" t="s">
        <v>248</v>
      </c>
      <c r="B80" s="373" t="s">
        <v>229</v>
      </c>
      <c r="C80" s="109">
        <v>2035218</v>
      </c>
      <c r="D80" s="173">
        <v>1309301</v>
      </c>
      <c r="E80" s="109">
        <v>2400550</v>
      </c>
    </row>
    <row r="81" spans="1:5" s="181" customFormat="1" ht="12" customHeight="1">
      <c r="A81" s="12" t="s">
        <v>249</v>
      </c>
      <c r="B81" s="374" t="s">
        <v>230</v>
      </c>
      <c r="C81" s="173"/>
      <c r="D81" s="173"/>
      <c r="E81" s="109"/>
    </row>
    <row r="82" spans="1:5" s="181" customFormat="1" ht="12" customHeight="1" thickBot="1">
      <c r="A82" s="12" t="s">
        <v>250</v>
      </c>
      <c r="B82" s="379" t="s">
        <v>531</v>
      </c>
      <c r="C82" s="109">
        <v>162034881</v>
      </c>
      <c r="D82" s="173"/>
      <c r="E82" s="109"/>
    </row>
    <row r="83" spans="1:5" s="181" customFormat="1" ht="12" customHeight="1" thickBot="1">
      <c r="A83" s="223" t="s">
        <v>231</v>
      </c>
      <c r="B83" s="376" t="s">
        <v>251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>
      <c r="A84" s="380" t="s">
        <v>232</v>
      </c>
      <c r="B84" s="373" t="s">
        <v>233</v>
      </c>
      <c r="C84" s="173"/>
      <c r="D84" s="173"/>
      <c r="E84" s="109"/>
    </row>
    <row r="85" spans="1:5" s="181" customFormat="1" ht="12" customHeight="1">
      <c r="A85" s="381" t="s">
        <v>234</v>
      </c>
      <c r="B85" s="374" t="s">
        <v>235</v>
      </c>
      <c r="C85" s="173"/>
      <c r="D85" s="173"/>
      <c r="E85" s="109"/>
    </row>
    <row r="86" spans="1:5" s="181" customFormat="1" ht="12" customHeight="1">
      <c r="A86" s="381" t="s">
        <v>236</v>
      </c>
      <c r="B86" s="374" t="s">
        <v>237</v>
      </c>
      <c r="C86" s="173"/>
      <c r="D86" s="173"/>
      <c r="E86" s="109"/>
    </row>
    <row r="87" spans="1:5" s="181" customFormat="1" ht="12" customHeight="1" thickBot="1">
      <c r="A87" s="382" t="s">
        <v>238</v>
      </c>
      <c r="B87" s="375" t="s">
        <v>239</v>
      </c>
      <c r="C87" s="173"/>
      <c r="D87" s="173"/>
      <c r="E87" s="109"/>
    </row>
    <row r="88" spans="1:5" s="181" customFormat="1" ht="12" customHeight="1" thickBot="1">
      <c r="A88" s="223" t="s">
        <v>240</v>
      </c>
      <c r="B88" s="376" t="s">
        <v>241</v>
      </c>
      <c r="C88" s="225"/>
      <c r="D88" s="225"/>
      <c r="E88" s="226"/>
    </row>
    <row r="89" spans="1:5" s="181" customFormat="1" ht="13.5" customHeight="1" thickBot="1">
      <c r="A89" s="223" t="s">
        <v>242</v>
      </c>
      <c r="B89" s="383" t="s">
        <v>532</v>
      </c>
      <c r="C89" s="175">
        <f>+C67+C71+C76+C79+C83+C88</f>
        <v>187388731</v>
      </c>
      <c r="D89" s="175">
        <f>+D67+D71+D76+D79+D83+D88</f>
        <v>114908620</v>
      </c>
      <c r="E89" s="211">
        <f>+E67+E71+E76+E79+E83+E88</f>
        <v>111704386</v>
      </c>
    </row>
    <row r="90" spans="1:5" s="181" customFormat="1" ht="12" customHeight="1" thickBot="1">
      <c r="A90" s="224" t="s">
        <v>254</v>
      </c>
      <c r="B90" s="384" t="s">
        <v>533</v>
      </c>
      <c r="C90" s="175">
        <f>+C66+C89</f>
        <v>424351746</v>
      </c>
      <c r="D90" s="175">
        <f>+D66+D89</f>
        <v>216406988</v>
      </c>
      <c r="E90" s="211">
        <f>+E66+E89</f>
        <v>232438024</v>
      </c>
    </row>
    <row r="91" spans="1:5" ht="16.5" customHeight="1">
      <c r="A91" s="793" t="s">
        <v>34</v>
      </c>
      <c r="B91" s="793"/>
      <c r="C91" s="793"/>
      <c r="D91" s="793"/>
      <c r="E91" s="793"/>
    </row>
    <row r="92" spans="1:5" s="191" customFormat="1" ht="16.5" customHeight="1" thickBot="1">
      <c r="A92" s="385" t="s">
        <v>101</v>
      </c>
      <c r="B92" s="385"/>
      <c r="C92" s="385"/>
      <c r="D92" s="63"/>
      <c r="E92" s="63" t="str">
        <f>E5</f>
        <v xml:space="preserve"> Forintban!</v>
      </c>
    </row>
    <row r="93" spans="1:5" s="191" customFormat="1" ht="16.5" customHeight="1">
      <c r="A93" s="885" t="s">
        <v>51</v>
      </c>
      <c r="B93" s="789" t="s">
        <v>417</v>
      </c>
      <c r="C93" s="786" t="str">
        <f>+C6</f>
        <v>2019 évi tény</v>
      </c>
      <c r="D93" s="888" t="str">
        <f>+D6</f>
        <v>2020. évi</v>
      </c>
      <c r="E93" s="889"/>
    </row>
    <row r="94" spans="1:5" ht="38.1" customHeight="1" thickBot="1">
      <c r="A94" s="886"/>
      <c r="B94" s="887"/>
      <c r="C94" s="787"/>
      <c r="D94" s="253" t="s">
        <v>447</v>
      </c>
      <c r="E94" s="371" t="s">
        <v>442</v>
      </c>
    </row>
    <row r="95" spans="1:5" s="180" customFormat="1" ht="12" customHeight="1" thickBot="1">
      <c r="A95" s="25" t="s">
        <v>382</v>
      </c>
      <c r="B95" s="26" t="s">
        <v>383</v>
      </c>
      <c r="C95" s="26" t="s">
        <v>384</v>
      </c>
      <c r="D95" s="26" t="s">
        <v>385</v>
      </c>
      <c r="E95" s="386" t="s">
        <v>387</v>
      </c>
    </row>
    <row r="96" spans="1:5" ht="12" customHeight="1" thickBot="1">
      <c r="A96" s="20" t="s">
        <v>6</v>
      </c>
      <c r="B96" s="24" t="s">
        <v>318</v>
      </c>
      <c r="C96" s="168">
        <f>SUM(C97:C101)</f>
        <v>99260831</v>
      </c>
      <c r="D96" s="168">
        <f>+D97+D98+D99+D100+D101</f>
        <v>115482903</v>
      </c>
      <c r="E96" s="240">
        <f>+E97+E98+E99+E100+E101</f>
        <v>94990592</v>
      </c>
    </row>
    <row r="97" spans="1:5" ht="12" customHeight="1">
      <c r="A97" s="15" t="s">
        <v>63</v>
      </c>
      <c r="B97" s="387" t="s">
        <v>35</v>
      </c>
      <c r="C97" s="241">
        <v>35657329</v>
      </c>
      <c r="D97" s="247">
        <v>38750937</v>
      </c>
      <c r="E97" s="241">
        <v>35281151</v>
      </c>
    </row>
    <row r="98" spans="1:5" ht="12" customHeight="1">
      <c r="A98" s="12" t="s">
        <v>64</v>
      </c>
      <c r="B98" s="388" t="s">
        <v>122</v>
      </c>
      <c r="C98" s="106">
        <v>6167387</v>
      </c>
      <c r="D98" s="170">
        <v>6506498</v>
      </c>
      <c r="E98" s="106">
        <v>5342314</v>
      </c>
    </row>
    <row r="99" spans="1:5" ht="12" customHeight="1">
      <c r="A99" s="12" t="s">
        <v>65</v>
      </c>
      <c r="B99" s="388" t="s">
        <v>90</v>
      </c>
      <c r="C99" s="108">
        <v>49068494</v>
      </c>
      <c r="D99" s="172">
        <v>56315669</v>
      </c>
      <c r="E99" s="108">
        <v>49407214</v>
      </c>
    </row>
    <row r="100" spans="1:5" ht="12" customHeight="1">
      <c r="A100" s="12" t="s">
        <v>66</v>
      </c>
      <c r="B100" s="389" t="s">
        <v>123</v>
      </c>
      <c r="C100" s="108">
        <v>4188160</v>
      </c>
      <c r="D100" s="172">
        <v>3855821</v>
      </c>
      <c r="E100" s="108">
        <v>2376139</v>
      </c>
    </row>
    <row r="101" spans="1:5" ht="12" customHeight="1">
      <c r="A101" s="12" t="s">
        <v>75</v>
      </c>
      <c r="B101" s="390" t="s">
        <v>124</v>
      </c>
      <c r="C101" s="108">
        <v>4179461</v>
      </c>
      <c r="D101" s="172">
        <v>10053978</v>
      </c>
      <c r="E101" s="108">
        <v>2583774</v>
      </c>
    </row>
    <row r="102" spans="1:5" ht="12" customHeight="1">
      <c r="A102" s="12" t="s">
        <v>67</v>
      </c>
      <c r="B102" s="388" t="s">
        <v>341</v>
      </c>
      <c r="C102" s="108">
        <v>7842</v>
      </c>
      <c r="D102" s="172"/>
      <c r="E102" s="108"/>
    </row>
    <row r="103" spans="1:5" ht="12" customHeight="1">
      <c r="A103" s="12" t="s">
        <v>68</v>
      </c>
      <c r="B103" s="391" t="s">
        <v>340</v>
      </c>
      <c r="C103" s="108"/>
      <c r="D103" s="172"/>
      <c r="E103" s="108"/>
    </row>
    <row r="104" spans="1:5" ht="12" customHeight="1">
      <c r="A104" s="12" t="s">
        <v>76</v>
      </c>
      <c r="B104" s="388" t="s">
        <v>339</v>
      </c>
      <c r="C104" s="108"/>
      <c r="D104" s="172">
        <v>425833</v>
      </c>
      <c r="E104" s="108"/>
    </row>
    <row r="105" spans="1:5" ht="12" customHeight="1">
      <c r="A105" s="12" t="s">
        <v>77</v>
      </c>
      <c r="B105" s="388" t="s">
        <v>257</v>
      </c>
      <c r="C105" s="108"/>
      <c r="D105" s="172"/>
      <c r="E105" s="108"/>
    </row>
    <row r="106" spans="1:5" ht="12" customHeight="1">
      <c r="A106" s="12" t="s">
        <v>78</v>
      </c>
      <c r="B106" s="391" t="s">
        <v>258</v>
      </c>
      <c r="C106" s="108"/>
      <c r="D106" s="172"/>
      <c r="E106" s="108"/>
    </row>
    <row r="107" spans="1:5" ht="12" customHeight="1">
      <c r="A107" s="12" t="s">
        <v>79</v>
      </c>
      <c r="B107" s="391" t="s">
        <v>259</v>
      </c>
      <c r="C107" s="108"/>
      <c r="D107" s="172"/>
      <c r="E107" s="108"/>
    </row>
    <row r="108" spans="1:5" ht="12" customHeight="1">
      <c r="A108" s="12" t="s">
        <v>81</v>
      </c>
      <c r="B108" s="391" t="s">
        <v>260</v>
      </c>
      <c r="C108" s="108">
        <v>2753904</v>
      </c>
      <c r="D108" s="172">
        <v>4577072</v>
      </c>
      <c r="E108" s="108"/>
    </row>
    <row r="109" spans="1:5" ht="12" customHeight="1">
      <c r="A109" s="12" t="s">
        <v>125</v>
      </c>
      <c r="B109" s="391" t="s">
        <v>261</v>
      </c>
      <c r="C109" s="108"/>
      <c r="D109" s="172"/>
      <c r="E109" s="108"/>
    </row>
    <row r="110" spans="1:5" ht="12" customHeight="1">
      <c r="A110" s="12" t="s">
        <v>255</v>
      </c>
      <c r="B110" s="391" t="s">
        <v>262</v>
      </c>
      <c r="C110" s="108">
        <v>1417715</v>
      </c>
      <c r="D110" s="172"/>
      <c r="E110" s="108"/>
    </row>
    <row r="111" spans="1:5" ht="12" customHeight="1">
      <c r="A111" s="12" t="s">
        <v>256</v>
      </c>
      <c r="B111" s="391" t="s">
        <v>263</v>
      </c>
      <c r="C111" s="108"/>
      <c r="D111" s="172"/>
      <c r="E111" s="108"/>
    </row>
    <row r="112" spans="1:5" ht="12" customHeight="1">
      <c r="A112" s="12" t="s">
        <v>337</v>
      </c>
      <c r="B112" s="391" t="s">
        <v>264</v>
      </c>
      <c r="C112" s="108"/>
      <c r="D112" s="172"/>
      <c r="E112" s="108"/>
    </row>
    <row r="113" spans="1:5" ht="12" customHeight="1">
      <c r="A113" s="12" t="s">
        <v>338</v>
      </c>
      <c r="B113" s="388" t="s">
        <v>265</v>
      </c>
      <c r="C113" s="108"/>
      <c r="D113" s="172">
        <v>900000</v>
      </c>
      <c r="E113" s="108"/>
    </row>
    <row r="114" spans="1:5" ht="12" customHeight="1">
      <c r="A114" s="11" t="s">
        <v>342</v>
      </c>
      <c r="B114" s="392" t="s">
        <v>36</v>
      </c>
      <c r="C114" s="108"/>
      <c r="D114" s="170">
        <v>4151073</v>
      </c>
      <c r="E114" s="106">
        <v>0</v>
      </c>
    </row>
    <row r="115" spans="1:5" ht="12" customHeight="1">
      <c r="A115" s="12" t="s">
        <v>343</v>
      </c>
      <c r="B115" s="392" t="s">
        <v>345</v>
      </c>
      <c r="C115" s="108"/>
      <c r="D115" s="170"/>
      <c r="E115" s="106"/>
    </row>
    <row r="116" spans="1:5" ht="12" customHeight="1" thickBot="1">
      <c r="A116" s="16" t="s">
        <v>344</v>
      </c>
      <c r="B116" s="393" t="s">
        <v>346</v>
      </c>
      <c r="C116" s="242"/>
      <c r="D116" s="248"/>
      <c r="E116" s="242"/>
    </row>
    <row r="117" spans="1:5" ht="12" customHeight="1" thickBot="1">
      <c r="A117" s="18" t="s">
        <v>7</v>
      </c>
      <c r="B117" s="23" t="s">
        <v>872</v>
      </c>
      <c r="C117" s="169">
        <f>+C118+C120+C122</f>
        <v>65378124</v>
      </c>
      <c r="D117" s="169">
        <f>+D118+D120+D122</f>
        <v>99165250</v>
      </c>
      <c r="E117" s="105">
        <f>+E118+E120+E122</f>
        <v>22204549</v>
      </c>
    </row>
    <row r="118" spans="1:5" ht="12" customHeight="1">
      <c r="A118" s="13" t="s">
        <v>69</v>
      </c>
      <c r="B118" s="388" t="s">
        <v>142</v>
      </c>
      <c r="C118" s="107">
        <v>16325000</v>
      </c>
      <c r="D118" s="258">
        <v>92915250</v>
      </c>
      <c r="E118" s="107">
        <v>16088288</v>
      </c>
    </row>
    <row r="119" spans="1:5" ht="12" customHeight="1">
      <c r="A119" s="13" t="s">
        <v>70</v>
      </c>
      <c r="B119" s="392" t="s">
        <v>270</v>
      </c>
      <c r="C119" s="107"/>
      <c r="D119" s="258"/>
      <c r="E119" s="107"/>
    </row>
    <row r="120" spans="1:5">
      <c r="A120" s="13" t="s">
        <v>71</v>
      </c>
      <c r="B120" s="392" t="s">
        <v>126</v>
      </c>
      <c r="C120" s="106">
        <v>49053124</v>
      </c>
      <c r="D120" s="259">
        <v>6250000</v>
      </c>
      <c r="E120" s="106">
        <v>6116261</v>
      </c>
    </row>
    <row r="121" spans="1:5" ht="12" customHeight="1">
      <c r="A121" s="13" t="s">
        <v>72</v>
      </c>
      <c r="B121" s="392" t="s">
        <v>271</v>
      </c>
      <c r="C121" s="106"/>
      <c r="D121" s="259"/>
      <c r="E121" s="106"/>
    </row>
    <row r="122" spans="1:5" ht="12" customHeight="1">
      <c r="A122" s="13" t="s">
        <v>73</v>
      </c>
      <c r="B122" s="375" t="s">
        <v>144</v>
      </c>
      <c r="C122" s="106"/>
      <c r="D122" s="259"/>
      <c r="E122" s="106"/>
    </row>
    <row r="123" spans="1:5">
      <c r="A123" s="13" t="s">
        <v>80</v>
      </c>
      <c r="B123" s="374" t="s">
        <v>329</v>
      </c>
      <c r="C123" s="106"/>
      <c r="D123" s="259"/>
      <c r="E123" s="106"/>
    </row>
    <row r="124" spans="1:5">
      <c r="A124" s="13" t="s">
        <v>82</v>
      </c>
      <c r="B124" s="394" t="s">
        <v>276</v>
      </c>
      <c r="C124" s="106"/>
      <c r="D124" s="259"/>
      <c r="E124" s="106"/>
    </row>
    <row r="125" spans="1:5" ht="12" customHeight="1">
      <c r="A125" s="13" t="s">
        <v>127</v>
      </c>
      <c r="B125" s="388" t="s">
        <v>259</v>
      </c>
      <c r="C125" s="106"/>
      <c r="D125" s="259"/>
      <c r="E125" s="106"/>
    </row>
    <row r="126" spans="1:5" ht="12" customHeight="1">
      <c r="A126" s="13" t="s">
        <v>128</v>
      </c>
      <c r="B126" s="388" t="s">
        <v>275</v>
      </c>
      <c r="C126" s="106"/>
      <c r="D126" s="259"/>
      <c r="E126" s="106"/>
    </row>
    <row r="127" spans="1:5" ht="12" customHeight="1">
      <c r="A127" s="13" t="s">
        <v>129</v>
      </c>
      <c r="B127" s="388" t="s">
        <v>274</v>
      </c>
      <c r="C127" s="106"/>
      <c r="D127" s="259"/>
      <c r="E127" s="106"/>
    </row>
    <row r="128" spans="1:5" s="395" customFormat="1" ht="12" customHeight="1">
      <c r="A128" s="13" t="s">
        <v>267</v>
      </c>
      <c r="B128" s="388" t="s">
        <v>262</v>
      </c>
      <c r="C128" s="106"/>
      <c r="D128" s="259"/>
      <c r="E128" s="106"/>
    </row>
    <row r="129" spans="1:5" ht="12" customHeight="1">
      <c r="A129" s="13" t="s">
        <v>268</v>
      </c>
      <c r="B129" s="388" t="s">
        <v>273</v>
      </c>
      <c r="C129" s="106"/>
      <c r="D129" s="259"/>
      <c r="E129" s="106"/>
    </row>
    <row r="130" spans="1:5" ht="12" customHeight="1" thickBot="1">
      <c r="A130" s="11" t="s">
        <v>269</v>
      </c>
      <c r="B130" s="388" t="s">
        <v>272</v>
      </c>
      <c r="C130" s="108"/>
      <c r="D130" s="260"/>
      <c r="E130" s="108"/>
    </row>
    <row r="131" spans="1:5" ht="12" customHeight="1" thickBot="1">
      <c r="A131" s="18" t="s">
        <v>8</v>
      </c>
      <c r="B131" s="396" t="s">
        <v>347</v>
      </c>
      <c r="C131" s="169">
        <f>+C96+C117</f>
        <v>164638955</v>
      </c>
      <c r="D131" s="169">
        <f>+D96+D117</f>
        <v>214648153</v>
      </c>
      <c r="E131" s="105">
        <f>+E96+E117</f>
        <v>117195141</v>
      </c>
    </row>
    <row r="132" spans="1:5" ht="12" customHeight="1" thickBot="1">
      <c r="A132" s="18" t="s">
        <v>9</v>
      </c>
      <c r="B132" s="396" t="s">
        <v>348</v>
      </c>
      <c r="C132" s="169">
        <f>+C133+C134+C135</f>
        <v>146113472</v>
      </c>
      <c r="D132" s="169">
        <f>+D133+D134+D135</f>
        <v>0</v>
      </c>
      <c r="E132" s="105">
        <f>+E133+E134+E135</f>
        <v>0</v>
      </c>
    </row>
    <row r="133" spans="1:5" ht="12" customHeight="1">
      <c r="A133" s="13" t="s">
        <v>176</v>
      </c>
      <c r="B133" s="394" t="s">
        <v>401</v>
      </c>
      <c r="C133" s="106"/>
      <c r="D133" s="170"/>
      <c r="E133" s="106"/>
    </row>
    <row r="134" spans="1:5" ht="12" customHeight="1">
      <c r="A134" s="13" t="s">
        <v>177</v>
      </c>
      <c r="B134" s="394" t="s">
        <v>356</v>
      </c>
      <c r="C134" s="106">
        <v>2079480</v>
      </c>
      <c r="D134" s="170"/>
      <c r="E134" s="106"/>
    </row>
    <row r="135" spans="1:5" ht="12" customHeight="1" thickBot="1">
      <c r="A135" s="11" t="s">
        <v>178</v>
      </c>
      <c r="B135" s="397" t="s">
        <v>400</v>
      </c>
      <c r="C135" s="106">
        <v>144033992</v>
      </c>
      <c r="D135" s="170"/>
      <c r="E135" s="106"/>
    </row>
    <row r="136" spans="1:5" ht="12" customHeight="1" thickBot="1">
      <c r="A136" s="18" t="s">
        <v>10</v>
      </c>
      <c r="B136" s="396" t="s">
        <v>873</v>
      </c>
      <c r="C136" s="106"/>
      <c r="D136" s="169">
        <f>+D137+D138+D139+D140</f>
        <v>0</v>
      </c>
      <c r="E136" s="105">
        <f>+E137+E138+E139+E140</f>
        <v>0</v>
      </c>
    </row>
    <row r="137" spans="1:5" ht="12" customHeight="1">
      <c r="A137" s="13" t="s">
        <v>56</v>
      </c>
      <c r="B137" s="394" t="s">
        <v>358</v>
      </c>
      <c r="C137" s="170"/>
      <c r="D137" s="170"/>
      <c r="E137" s="106"/>
    </row>
    <row r="138" spans="1:5" ht="12" customHeight="1">
      <c r="A138" s="13" t="s">
        <v>57</v>
      </c>
      <c r="B138" s="394" t="s">
        <v>534</v>
      </c>
      <c r="C138" s="170"/>
      <c r="D138" s="170"/>
      <c r="E138" s="106"/>
    </row>
    <row r="139" spans="1:5" ht="12" customHeight="1">
      <c r="A139" s="13" t="s">
        <v>58</v>
      </c>
      <c r="B139" s="394" t="s">
        <v>350</v>
      </c>
      <c r="C139" s="170"/>
      <c r="D139" s="170"/>
      <c r="E139" s="106"/>
    </row>
    <row r="140" spans="1:5" ht="12" customHeight="1" thickBot="1">
      <c r="A140" s="11" t="s">
        <v>114</v>
      </c>
      <c r="B140" s="397" t="s">
        <v>535</v>
      </c>
      <c r="C140" s="170"/>
      <c r="D140" s="170"/>
      <c r="E140" s="106"/>
    </row>
    <row r="141" spans="1:5" ht="12" customHeight="1" thickBot="1">
      <c r="A141" s="18" t="s">
        <v>11</v>
      </c>
      <c r="B141" s="396" t="s">
        <v>362</v>
      </c>
      <c r="C141" s="175">
        <f>+C142+C143+C144+C145</f>
        <v>0</v>
      </c>
      <c r="D141" s="175">
        <f>+D142+D143+D144+D145</f>
        <v>1758835</v>
      </c>
      <c r="E141" s="211">
        <f>+E142+E143+E144+E145</f>
        <v>1758835</v>
      </c>
    </row>
    <row r="142" spans="1:5" ht="12" customHeight="1">
      <c r="A142" s="13" t="s">
        <v>59</v>
      </c>
      <c r="B142" s="394" t="s">
        <v>277</v>
      </c>
      <c r="C142" s="170"/>
      <c r="D142" s="170"/>
      <c r="E142" s="106"/>
    </row>
    <row r="143" spans="1:5" ht="12" customHeight="1">
      <c r="A143" s="13" t="s">
        <v>60</v>
      </c>
      <c r="B143" s="394" t="s">
        <v>278</v>
      </c>
      <c r="C143" s="170"/>
      <c r="D143" s="170">
        <v>1758835</v>
      </c>
      <c r="E143" s="106">
        <v>1758835</v>
      </c>
    </row>
    <row r="144" spans="1:5" ht="12" customHeight="1">
      <c r="A144" s="13" t="s">
        <v>194</v>
      </c>
      <c r="B144" s="394" t="s">
        <v>536</v>
      </c>
      <c r="C144" s="170"/>
      <c r="D144" s="170"/>
      <c r="E144" s="106"/>
    </row>
    <row r="145" spans="1:9" ht="12" customHeight="1" thickBot="1">
      <c r="A145" s="11" t="s">
        <v>195</v>
      </c>
      <c r="B145" s="397" t="s">
        <v>293</v>
      </c>
      <c r="C145" s="170"/>
      <c r="D145" s="170"/>
      <c r="E145" s="106"/>
    </row>
    <row r="146" spans="1:9" ht="15.2" customHeight="1" thickBot="1">
      <c r="A146" s="18" t="s">
        <v>12</v>
      </c>
      <c r="B146" s="396" t="s">
        <v>874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>
      <c r="A147" s="13" t="s">
        <v>61</v>
      </c>
      <c r="B147" s="394" t="s">
        <v>537</v>
      </c>
      <c r="C147" s="170"/>
      <c r="D147" s="170"/>
      <c r="E147" s="106"/>
    </row>
    <row r="148" spans="1:9" ht="13.5" customHeight="1">
      <c r="A148" s="13" t="s">
        <v>62</v>
      </c>
      <c r="B148" s="394" t="s">
        <v>538</v>
      </c>
      <c r="C148" s="170"/>
      <c r="D148" s="170"/>
      <c r="E148" s="106"/>
    </row>
    <row r="149" spans="1:9" ht="13.5" customHeight="1">
      <c r="A149" s="13" t="s">
        <v>206</v>
      </c>
      <c r="B149" s="394" t="s">
        <v>539</v>
      </c>
      <c r="C149" s="170"/>
      <c r="D149" s="170"/>
      <c r="E149" s="106"/>
    </row>
    <row r="150" spans="1:9" ht="13.5" customHeight="1">
      <c r="A150" s="13" t="s">
        <v>207</v>
      </c>
      <c r="B150" s="394" t="s">
        <v>367</v>
      </c>
      <c r="C150" s="170"/>
      <c r="D150" s="170"/>
      <c r="E150" s="106"/>
    </row>
    <row r="151" spans="1:9" ht="13.5" customHeight="1" thickBot="1">
      <c r="A151" s="11" t="s">
        <v>875</v>
      </c>
      <c r="B151" s="397" t="s">
        <v>368</v>
      </c>
      <c r="C151" s="765"/>
      <c r="D151" s="765"/>
      <c r="E151" s="766"/>
    </row>
    <row r="152" spans="1:9" ht="13.5" customHeight="1" thickBot="1">
      <c r="A152" s="767" t="s">
        <v>13</v>
      </c>
      <c r="B152" s="768" t="s">
        <v>369</v>
      </c>
      <c r="C152" s="769"/>
      <c r="D152" s="769"/>
      <c r="E152" s="770"/>
    </row>
    <row r="153" spans="1:9" ht="13.5" customHeight="1" thickBot="1">
      <c r="A153" s="767" t="s">
        <v>14</v>
      </c>
      <c r="B153" s="768" t="s">
        <v>370</v>
      </c>
      <c r="C153" s="769"/>
      <c r="D153" s="769"/>
      <c r="E153" s="770"/>
    </row>
    <row r="154" spans="1:9" ht="12.75" customHeight="1" thickBot="1">
      <c r="A154" s="18" t="s">
        <v>15</v>
      </c>
      <c r="B154" s="396" t="s">
        <v>372</v>
      </c>
      <c r="C154" s="252">
        <f>+C132+C136+C141+C146+C152+C153</f>
        <v>146113472</v>
      </c>
      <c r="D154" s="252">
        <f>+D132+D136+D141+D146+D152+D153</f>
        <v>1758835</v>
      </c>
      <c r="E154" s="246">
        <f>+E132+E136+E141+E146+E152+E153</f>
        <v>1758835</v>
      </c>
    </row>
    <row r="155" spans="1:9" ht="13.5" customHeight="1" thickBot="1">
      <c r="A155" s="115" t="s">
        <v>16</v>
      </c>
      <c r="B155" s="398" t="s">
        <v>371</v>
      </c>
      <c r="C155" s="252">
        <f>+C131+C154</f>
        <v>310752427</v>
      </c>
      <c r="D155" s="252">
        <f>+D131+D154</f>
        <v>216406988</v>
      </c>
      <c r="E155" s="246">
        <f>+E131+E154</f>
        <v>118953976</v>
      </c>
    </row>
    <row r="156" spans="1:9" ht="13.5" customHeight="1">
      <c r="C156" s="661"/>
      <c r="D156" s="661">
        <f>D90-D155</f>
        <v>0</v>
      </c>
    </row>
    <row r="157" spans="1:9" ht="13.5" customHeight="1"/>
    <row r="158" spans="1:9" ht="7.5" customHeight="1"/>
    <row r="160" spans="1:9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>
      <c r="A1" s="806" t="s">
        <v>765</v>
      </c>
      <c r="B1" s="890"/>
      <c r="C1" s="890"/>
      <c r="D1" s="890"/>
      <c r="E1" s="890"/>
      <c r="F1" s="890"/>
      <c r="G1" s="890"/>
      <c r="H1" s="890"/>
      <c r="I1" s="890"/>
      <c r="J1" s="890"/>
    </row>
    <row r="2" spans="1:11" ht="14.25" thickBot="1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Z_1.tájékoztató_t.!E5</f>
        <v xml:space="preserve"> Forintban!</v>
      </c>
      <c r="K2" s="800" t="str">
        <f>CONCATENATE("2. tájékoztató tábla ",Z_ALAPADATOK!A7," ",Z_ALAPADATOK!B7," ",Z_ALAPADATOK!C7," ",Z_ALAPADATOK!D7," ",Z_ALAPADATOK!E7," ",Z_ALAPADATOK!F7," ",Z_ALAPADATOK!G7," ",Z_ALAPADATOK!H7)</f>
        <v>2. tájékoztató tábla a … / 2021. ( … ) önkormányzati rendelethez</v>
      </c>
    </row>
    <row r="3" spans="1:11" s="402" customFormat="1" ht="26.45" customHeight="1">
      <c r="A3" s="891" t="s">
        <v>51</v>
      </c>
      <c r="B3" s="893" t="s">
        <v>540</v>
      </c>
      <c r="C3" s="893" t="s">
        <v>541</v>
      </c>
      <c r="D3" s="893" t="s">
        <v>542</v>
      </c>
      <c r="E3" s="893" t="str">
        <f>CONCATENATE(Z_ALAPADATOK!B1,". évi teljesítés")</f>
        <v>2020. évi teljesítés</v>
      </c>
      <c r="F3" s="399" t="s">
        <v>543</v>
      </c>
      <c r="G3" s="400"/>
      <c r="H3" s="400"/>
      <c r="I3" s="401"/>
      <c r="J3" s="896" t="s">
        <v>544</v>
      </c>
      <c r="K3" s="800"/>
    </row>
    <row r="4" spans="1:11" s="406" customFormat="1" ht="32.450000000000003" customHeight="1" thickBot="1">
      <c r="A4" s="892"/>
      <c r="B4" s="894"/>
      <c r="C4" s="894"/>
      <c r="D4" s="895"/>
      <c r="E4" s="895"/>
      <c r="F4" s="403" t="str">
        <f>CONCATENATE(Z_ALAPADATOK!B1+1,".")</f>
        <v>2021.</v>
      </c>
      <c r="G4" s="404" t="str">
        <f>CONCATENATE(Z_ALAPADATOK!B1+2,".")</f>
        <v>2022.</v>
      </c>
      <c r="H4" s="404" t="str">
        <f>CONCATENATE(Z_ALAPADATOK!B1+3,".")</f>
        <v>2023.</v>
      </c>
      <c r="I4" s="405" t="str">
        <f>CONCATENATE(Z_ALAPADATOK!B1+3,". után")</f>
        <v>2023. után</v>
      </c>
      <c r="J4" s="897"/>
      <c r="K4" s="800"/>
    </row>
    <row r="5" spans="1:11" s="411" customFormat="1" ht="14.1" customHeight="1" thickBot="1">
      <c r="A5" s="407" t="s">
        <v>382</v>
      </c>
      <c r="B5" s="408" t="s">
        <v>545</v>
      </c>
      <c r="C5" s="409" t="s">
        <v>384</v>
      </c>
      <c r="D5" s="409" t="s">
        <v>386</v>
      </c>
      <c r="E5" s="409" t="s">
        <v>385</v>
      </c>
      <c r="F5" s="409" t="s">
        <v>387</v>
      </c>
      <c r="G5" s="409" t="s">
        <v>388</v>
      </c>
      <c r="H5" s="409" t="s">
        <v>389</v>
      </c>
      <c r="I5" s="409" t="s">
        <v>420</v>
      </c>
      <c r="J5" s="410" t="s">
        <v>546</v>
      </c>
      <c r="K5" s="800"/>
    </row>
    <row r="6" spans="1:11" ht="33.75" customHeight="1">
      <c r="A6" s="412" t="s">
        <v>6</v>
      </c>
      <c r="B6" s="413" t="s">
        <v>547</v>
      </c>
      <c r="C6" s="414"/>
      <c r="D6" s="415">
        <f t="shared" ref="D6:I6" si="0">SUM(D7:D8)</f>
        <v>0</v>
      </c>
      <c r="E6" s="415">
        <f t="shared" si="0"/>
        <v>0</v>
      </c>
      <c r="F6" s="415">
        <f t="shared" si="0"/>
        <v>0</v>
      </c>
      <c r="G6" s="415">
        <f t="shared" si="0"/>
        <v>0</v>
      </c>
      <c r="H6" s="415">
        <f t="shared" si="0"/>
        <v>0</v>
      </c>
      <c r="I6" s="416">
        <f t="shared" si="0"/>
        <v>0</v>
      </c>
      <c r="J6" s="417">
        <f t="shared" ref="J6:J18" si="1">SUM(F6:I6)</f>
        <v>0</v>
      </c>
      <c r="K6" s="800"/>
    </row>
    <row r="7" spans="1:11" ht="21.2" customHeight="1">
      <c r="A7" s="418" t="s">
        <v>7</v>
      </c>
      <c r="B7" s="419" t="s">
        <v>548</v>
      </c>
      <c r="C7" s="420"/>
      <c r="D7" s="21"/>
      <c r="E7" s="21"/>
      <c r="F7" s="21"/>
      <c r="G7" s="21"/>
      <c r="H7" s="21"/>
      <c r="I7" s="421"/>
      <c r="J7" s="422">
        <f t="shared" si="1"/>
        <v>0</v>
      </c>
      <c r="K7" s="800"/>
    </row>
    <row r="8" spans="1:11" ht="21.2" customHeight="1">
      <c r="A8" s="418" t="s">
        <v>8</v>
      </c>
      <c r="B8" s="419" t="s">
        <v>548</v>
      </c>
      <c r="C8" s="420"/>
      <c r="D8" s="21"/>
      <c r="E8" s="21"/>
      <c r="F8" s="21"/>
      <c r="G8" s="21"/>
      <c r="H8" s="21"/>
      <c r="I8" s="421"/>
      <c r="J8" s="422">
        <f t="shared" si="1"/>
        <v>0</v>
      </c>
      <c r="K8" s="800"/>
    </row>
    <row r="9" spans="1:11" ht="33" customHeight="1">
      <c r="A9" s="418" t="s">
        <v>9</v>
      </c>
      <c r="B9" s="423" t="s">
        <v>549</v>
      </c>
      <c r="C9" s="424"/>
      <c r="D9" s="425">
        <f t="shared" ref="D9:I9" si="2">SUM(D10:D11)</f>
        <v>0</v>
      </c>
      <c r="E9" s="425">
        <f t="shared" si="2"/>
        <v>0</v>
      </c>
      <c r="F9" s="425">
        <f t="shared" si="2"/>
        <v>0</v>
      </c>
      <c r="G9" s="425">
        <f t="shared" si="2"/>
        <v>0</v>
      </c>
      <c r="H9" s="425">
        <f t="shared" si="2"/>
        <v>0</v>
      </c>
      <c r="I9" s="426">
        <f t="shared" si="2"/>
        <v>0</v>
      </c>
      <c r="J9" s="427">
        <f t="shared" si="1"/>
        <v>0</v>
      </c>
      <c r="K9" s="800"/>
    </row>
    <row r="10" spans="1:11" ht="21.2" customHeight="1">
      <c r="A10" s="418" t="s">
        <v>10</v>
      </c>
      <c r="B10" s="419" t="s">
        <v>548</v>
      </c>
      <c r="C10" s="420"/>
      <c r="D10" s="21"/>
      <c r="E10" s="21"/>
      <c r="F10" s="21"/>
      <c r="G10" s="21"/>
      <c r="H10" s="21"/>
      <c r="I10" s="421"/>
      <c r="J10" s="422">
        <f t="shared" si="1"/>
        <v>0</v>
      </c>
      <c r="K10" s="800"/>
    </row>
    <row r="11" spans="1:11" ht="18" customHeight="1">
      <c r="A11" s="418" t="s">
        <v>11</v>
      </c>
      <c r="B11" s="419" t="s">
        <v>548</v>
      </c>
      <c r="C11" s="420"/>
      <c r="D11" s="21"/>
      <c r="E11" s="21"/>
      <c r="F11" s="21"/>
      <c r="G11" s="21"/>
      <c r="H11" s="21"/>
      <c r="I11" s="421"/>
      <c r="J11" s="422">
        <f t="shared" si="1"/>
        <v>0</v>
      </c>
      <c r="K11" s="800"/>
    </row>
    <row r="12" spans="1:11" ht="21.2" customHeight="1">
      <c r="A12" s="418" t="s">
        <v>12</v>
      </c>
      <c r="B12" s="428" t="s">
        <v>550</v>
      </c>
      <c r="C12" s="424"/>
      <c r="D12" s="425">
        <f t="shared" ref="D12:I12" si="3">SUM(D13:D13)</f>
        <v>0</v>
      </c>
      <c r="E12" s="425">
        <f t="shared" si="3"/>
        <v>0</v>
      </c>
      <c r="F12" s="425">
        <f t="shared" si="3"/>
        <v>0</v>
      </c>
      <c r="G12" s="425">
        <f t="shared" si="3"/>
        <v>0</v>
      </c>
      <c r="H12" s="425">
        <f t="shared" si="3"/>
        <v>0</v>
      </c>
      <c r="I12" s="426">
        <f t="shared" si="3"/>
        <v>0</v>
      </c>
      <c r="J12" s="427">
        <f t="shared" si="1"/>
        <v>0</v>
      </c>
      <c r="K12" s="800"/>
    </row>
    <row r="13" spans="1:11" ht="21.2" customHeight="1">
      <c r="A13" s="418" t="s">
        <v>13</v>
      </c>
      <c r="B13" s="419" t="s">
        <v>548</v>
      </c>
      <c r="C13" s="420"/>
      <c r="D13" s="21"/>
      <c r="E13" s="21"/>
      <c r="F13" s="21"/>
      <c r="G13" s="21"/>
      <c r="H13" s="21"/>
      <c r="I13" s="421"/>
      <c r="J13" s="422">
        <f t="shared" si="1"/>
        <v>0</v>
      </c>
      <c r="K13" s="800"/>
    </row>
    <row r="14" spans="1:11" ht="21.2" customHeight="1">
      <c r="A14" s="418" t="s">
        <v>14</v>
      </c>
      <c r="B14" s="428" t="s">
        <v>551</v>
      </c>
      <c r="C14" s="424"/>
      <c r="D14" s="425">
        <f t="shared" ref="D14:I14" si="4">SUM(D15:D15)</f>
        <v>0</v>
      </c>
      <c r="E14" s="425">
        <f t="shared" si="4"/>
        <v>0</v>
      </c>
      <c r="F14" s="425">
        <f t="shared" si="4"/>
        <v>0</v>
      </c>
      <c r="G14" s="425">
        <f t="shared" si="4"/>
        <v>0</v>
      </c>
      <c r="H14" s="425">
        <f t="shared" si="4"/>
        <v>0</v>
      </c>
      <c r="I14" s="426">
        <f t="shared" si="4"/>
        <v>0</v>
      </c>
      <c r="J14" s="427">
        <f t="shared" si="1"/>
        <v>0</v>
      </c>
      <c r="K14" s="800"/>
    </row>
    <row r="15" spans="1:11" ht="21.2" customHeight="1">
      <c r="A15" s="418" t="s">
        <v>15</v>
      </c>
      <c r="B15" s="419" t="s">
        <v>548</v>
      </c>
      <c r="C15" s="420"/>
      <c r="D15" s="21"/>
      <c r="E15" s="21"/>
      <c r="F15" s="21"/>
      <c r="G15" s="21"/>
      <c r="H15" s="21"/>
      <c r="I15" s="421"/>
      <c r="J15" s="422">
        <f t="shared" si="1"/>
        <v>0</v>
      </c>
      <c r="K15" s="800"/>
    </row>
    <row r="16" spans="1:11" ht="21.2" customHeight="1">
      <c r="A16" s="429" t="s">
        <v>16</v>
      </c>
      <c r="B16" s="430" t="s">
        <v>552</v>
      </c>
      <c r="C16" s="431"/>
      <c r="D16" s="432">
        <f t="shared" ref="D16:I16" si="5">SUM(D17:D18)</f>
        <v>0</v>
      </c>
      <c r="E16" s="432">
        <f t="shared" si="5"/>
        <v>0</v>
      </c>
      <c r="F16" s="432">
        <f t="shared" si="5"/>
        <v>0</v>
      </c>
      <c r="G16" s="432">
        <f t="shared" si="5"/>
        <v>0</v>
      </c>
      <c r="H16" s="432">
        <f t="shared" si="5"/>
        <v>0</v>
      </c>
      <c r="I16" s="433">
        <f t="shared" si="5"/>
        <v>0</v>
      </c>
      <c r="J16" s="427">
        <f t="shared" si="1"/>
        <v>0</v>
      </c>
      <c r="K16" s="800"/>
    </row>
    <row r="17" spans="1:11" ht="21.2" customHeight="1">
      <c r="A17" s="429" t="s">
        <v>17</v>
      </c>
      <c r="B17" s="419" t="s">
        <v>548</v>
      </c>
      <c r="C17" s="420"/>
      <c r="D17" s="21"/>
      <c r="E17" s="21"/>
      <c r="F17" s="21"/>
      <c r="G17" s="21"/>
      <c r="H17" s="21"/>
      <c r="I17" s="421"/>
      <c r="J17" s="422">
        <f t="shared" si="1"/>
        <v>0</v>
      </c>
      <c r="K17" s="800"/>
    </row>
    <row r="18" spans="1:11" ht="21.2" customHeight="1" thickBot="1">
      <c r="A18" s="429" t="s">
        <v>18</v>
      </c>
      <c r="B18" s="419" t="s">
        <v>548</v>
      </c>
      <c r="C18" s="434"/>
      <c r="D18" s="435"/>
      <c r="E18" s="435"/>
      <c r="F18" s="435"/>
      <c r="G18" s="435"/>
      <c r="H18" s="435"/>
      <c r="I18" s="436"/>
      <c r="J18" s="422">
        <f t="shared" si="1"/>
        <v>0</v>
      </c>
      <c r="K18" s="800"/>
    </row>
    <row r="19" spans="1:11" ht="21.2" customHeight="1" thickBot="1">
      <c r="A19" s="437" t="s">
        <v>19</v>
      </c>
      <c r="B19" s="438" t="s">
        <v>553</v>
      </c>
      <c r="C19" s="439"/>
      <c r="D19" s="440">
        <f t="shared" ref="D19:J19" si="6">D6+D9+D12+D14+D16</f>
        <v>0</v>
      </c>
      <c r="E19" s="440">
        <f t="shared" si="6"/>
        <v>0</v>
      </c>
      <c r="F19" s="440">
        <f t="shared" si="6"/>
        <v>0</v>
      </c>
      <c r="G19" s="440">
        <f t="shared" si="6"/>
        <v>0</v>
      </c>
      <c r="H19" s="440">
        <f t="shared" si="6"/>
        <v>0</v>
      </c>
      <c r="I19" s="441">
        <f t="shared" si="6"/>
        <v>0</v>
      </c>
      <c r="J19" s="442">
        <f t="shared" si="6"/>
        <v>0</v>
      </c>
      <c r="K19" s="800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>
      <c r="A1" s="806" t="s">
        <v>829</v>
      </c>
      <c r="B1" s="890"/>
      <c r="C1" s="890"/>
      <c r="D1" s="890"/>
      <c r="E1" s="890"/>
      <c r="F1" s="890"/>
      <c r="G1" s="890"/>
      <c r="H1" s="890"/>
    </row>
    <row r="2" spans="1:9">
      <c r="A2" s="344"/>
      <c r="B2" s="345"/>
      <c r="C2" s="345"/>
      <c r="D2" s="345"/>
      <c r="E2" s="345"/>
      <c r="F2" s="345"/>
      <c r="G2" s="345"/>
      <c r="H2" s="345"/>
    </row>
    <row r="3" spans="1:9" s="443" customFormat="1" ht="15.75" thickBot="1">
      <c r="A3" s="611"/>
      <c r="B3" s="343"/>
      <c r="C3" s="343"/>
      <c r="D3" s="343"/>
      <c r="E3" s="343"/>
      <c r="F3" s="343"/>
      <c r="G3" s="343"/>
      <c r="H3" s="353" t="str">
        <f>Z_2.tájékoztató_t.!J2</f>
        <v xml:space="preserve"> Forintban!</v>
      </c>
      <c r="I3" s="898" t="str">
        <f>CONCATENATE("3. tájékoztató tábla ",Z_ALAPADATOK!A7," ",Z_ALAPADATOK!B7," ",Z_ALAPADATOK!C7," ",Z_ALAPADATOK!D7," ",Z_ALAPADATOK!E7," ",Z_ALAPADATOK!F7," ",Z_ALAPADATOK!G7," ",Z_ALAPADATOK!H7)</f>
        <v>3. tájékoztató tábla a … / 2021. ( … ) önkormányzati rendelethez</v>
      </c>
    </row>
    <row r="4" spans="1:9" s="402" customFormat="1" ht="26.45" customHeight="1">
      <c r="A4" s="899" t="s">
        <v>51</v>
      </c>
      <c r="B4" s="901" t="s">
        <v>554</v>
      </c>
      <c r="C4" s="899" t="s">
        <v>555</v>
      </c>
      <c r="D4" s="899" t="s">
        <v>556</v>
      </c>
      <c r="E4" s="903" t="str">
        <f>CONCATENATE("Hitel, kölcsön állomány ",Z_ALAPADATOK!B1,". dec. 31-én")</f>
        <v>Hitel, kölcsön állomány 2020. dec. 31-én</v>
      </c>
      <c r="F4" s="905" t="s">
        <v>557</v>
      </c>
      <c r="G4" s="906"/>
      <c r="H4" s="907" t="str">
        <f>CONCATENATE(G5," után")</f>
        <v>2022. után</v>
      </c>
      <c r="I4" s="898"/>
    </row>
    <row r="5" spans="1:9" s="406" customFormat="1" ht="40.5" customHeight="1" thickBot="1">
      <c r="A5" s="900"/>
      <c r="B5" s="902"/>
      <c r="C5" s="902"/>
      <c r="D5" s="900"/>
      <c r="E5" s="904"/>
      <c r="F5" s="612" t="str">
        <f>Z_2.tájékoztató_t.!F4</f>
        <v>2021.</v>
      </c>
      <c r="G5" s="613" t="str">
        <f>Z_2.tájékoztató_t.!G4</f>
        <v>2022.</v>
      </c>
      <c r="H5" s="908"/>
      <c r="I5" s="898"/>
    </row>
    <row r="6" spans="1:9" s="444" customFormat="1" ht="12.95" customHeight="1" thickBot="1">
      <c r="A6" s="614" t="s">
        <v>382</v>
      </c>
      <c r="B6" s="615" t="s">
        <v>383</v>
      </c>
      <c r="C6" s="615" t="s">
        <v>384</v>
      </c>
      <c r="D6" s="616" t="s">
        <v>386</v>
      </c>
      <c r="E6" s="614" t="s">
        <v>385</v>
      </c>
      <c r="F6" s="616" t="s">
        <v>387</v>
      </c>
      <c r="G6" s="616" t="s">
        <v>388</v>
      </c>
      <c r="H6" s="318" t="s">
        <v>389</v>
      </c>
      <c r="I6" s="898"/>
    </row>
    <row r="7" spans="1:9" ht="22.5" customHeight="1" thickBot="1">
      <c r="A7" s="445" t="s">
        <v>6</v>
      </c>
      <c r="B7" s="446" t="s">
        <v>558</v>
      </c>
      <c r="C7" s="447"/>
      <c r="D7" s="448"/>
      <c r="E7" s="449">
        <f>SUM(E8:E13)</f>
        <v>0</v>
      </c>
      <c r="F7" s="450">
        <f>SUM(F8:F13)</f>
        <v>0</v>
      </c>
      <c r="G7" s="450">
        <f>SUM(G8:G13)</f>
        <v>0</v>
      </c>
      <c r="H7" s="451">
        <f>SUM(H8:H13)</f>
        <v>0</v>
      </c>
      <c r="I7" s="898"/>
    </row>
    <row r="8" spans="1:9" ht="22.5" customHeight="1">
      <c r="A8" s="452" t="s">
        <v>7</v>
      </c>
      <c r="B8" s="453" t="s">
        <v>548</v>
      </c>
      <c r="C8" s="454"/>
      <c r="D8" s="455"/>
      <c r="E8" s="456"/>
      <c r="F8" s="21"/>
      <c r="G8" s="21"/>
      <c r="H8" s="457"/>
      <c r="I8" s="898"/>
    </row>
    <row r="9" spans="1:9" ht="22.5" customHeight="1">
      <c r="A9" s="452" t="s">
        <v>8</v>
      </c>
      <c r="B9" s="453" t="s">
        <v>548</v>
      </c>
      <c r="C9" s="454"/>
      <c r="D9" s="455"/>
      <c r="E9" s="456"/>
      <c r="F9" s="21"/>
      <c r="G9" s="21"/>
      <c r="H9" s="457"/>
      <c r="I9" s="898"/>
    </row>
    <row r="10" spans="1:9" ht="22.5" customHeight="1">
      <c r="A10" s="452" t="s">
        <v>9</v>
      </c>
      <c r="B10" s="453" t="s">
        <v>548</v>
      </c>
      <c r="C10" s="454"/>
      <c r="D10" s="455"/>
      <c r="E10" s="456"/>
      <c r="F10" s="21"/>
      <c r="G10" s="21"/>
      <c r="H10" s="457"/>
      <c r="I10" s="898"/>
    </row>
    <row r="11" spans="1:9" ht="22.5" customHeight="1">
      <c r="A11" s="452" t="s">
        <v>10</v>
      </c>
      <c r="B11" s="453" t="s">
        <v>548</v>
      </c>
      <c r="C11" s="454"/>
      <c r="D11" s="455"/>
      <c r="E11" s="456"/>
      <c r="F11" s="21"/>
      <c r="G11" s="21"/>
      <c r="H11" s="457"/>
      <c r="I11" s="898"/>
    </row>
    <row r="12" spans="1:9" ht="22.5" customHeight="1">
      <c r="A12" s="452" t="s">
        <v>11</v>
      </c>
      <c r="B12" s="453" t="s">
        <v>548</v>
      </c>
      <c r="C12" s="454"/>
      <c r="D12" s="455"/>
      <c r="E12" s="456"/>
      <c r="F12" s="21"/>
      <c r="G12" s="21"/>
      <c r="H12" s="457"/>
      <c r="I12" s="898"/>
    </row>
    <row r="13" spans="1:9" ht="22.5" customHeight="1" thickBot="1">
      <c r="A13" s="452" t="s">
        <v>12</v>
      </c>
      <c r="B13" s="453" t="s">
        <v>548</v>
      </c>
      <c r="C13" s="454"/>
      <c r="D13" s="455"/>
      <c r="E13" s="456"/>
      <c r="F13" s="21"/>
      <c r="G13" s="21"/>
      <c r="H13" s="457"/>
      <c r="I13" s="898"/>
    </row>
    <row r="14" spans="1:9" ht="22.5" customHeight="1" thickBot="1">
      <c r="A14" s="445" t="s">
        <v>13</v>
      </c>
      <c r="B14" s="446" t="s">
        <v>559</v>
      </c>
      <c r="C14" s="458"/>
      <c r="D14" s="459"/>
      <c r="E14" s="449">
        <f>SUM(E15:E20)</f>
        <v>0</v>
      </c>
      <c r="F14" s="450">
        <f>SUM(F15:F20)</f>
        <v>0</v>
      </c>
      <c r="G14" s="450">
        <f>SUM(G15:G20)</f>
        <v>0</v>
      </c>
      <c r="H14" s="451">
        <f>SUM(H15:H20)</f>
        <v>0</v>
      </c>
      <c r="I14" s="898"/>
    </row>
    <row r="15" spans="1:9" ht="22.5" customHeight="1">
      <c r="A15" s="452" t="s">
        <v>14</v>
      </c>
      <c r="B15" s="453" t="s">
        <v>548</v>
      </c>
      <c r="C15" s="454"/>
      <c r="D15" s="455"/>
      <c r="E15" s="456"/>
      <c r="F15" s="21"/>
      <c r="G15" s="21"/>
      <c r="H15" s="457"/>
      <c r="I15" s="898"/>
    </row>
    <row r="16" spans="1:9" ht="22.5" customHeight="1">
      <c r="A16" s="452" t="s">
        <v>15</v>
      </c>
      <c r="B16" s="453" t="s">
        <v>548</v>
      </c>
      <c r="C16" s="454"/>
      <c r="D16" s="455"/>
      <c r="E16" s="456"/>
      <c r="F16" s="21"/>
      <c r="G16" s="21"/>
      <c r="H16" s="457"/>
      <c r="I16" s="898"/>
    </row>
    <row r="17" spans="1:9" ht="22.5" customHeight="1">
      <c r="A17" s="452" t="s">
        <v>16</v>
      </c>
      <c r="B17" s="453" t="s">
        <v>548</v>
      </c>
      <c r="C17" s="454"/>
      <c r="D17" s="455"/>
      <c r="E17" s="456"/>
      <c r="F17" s="21"/>
      <c r="G17" s="21"/>
      <c r="H17" s="457"/>
      <c r="I17" s="898"/>
    </row>
    <row r="18" spans="1:9" ht="22.5" customHeight="1">
      <c r="A18" s="452" t="s">
        <v>17</v>
      </c>
      <c r="B18" s="453" t="s">
        <v>548</v>
      </c>
      <c r="C18" s="454"/>
      <c r="D18" s="455"/>
      <c r="E18" s="456"/>
      <c r="F18" s="21"/>
      <c r="G18" s="21"/>
      <c r="H18" s="457"/>
      <c r="I18" s="898"/>
    </row>
    <row r="19" spans="1:9" ht="22.5" customHeight="1">
      <c r="A19" s="452" t="s">
        <v>18</v>
      </c>
      <c r="B19" s="453" t="s">
        <v>548</v>
      </c>
      <c r="C19" s="454"/>
      <c r="D19" s="455"/>
      <c r="E19" s="456"/>
      <c r="F19" s="21"/>
      <c r="G19" s="21"/>
      <c r="H19" s="457"/>
      <c r="I19" s="898"/>
    </row>
    <row r="20" spans="1:9" ht="22.5" customHeight="1" thickBot="1">
      <c r="A20" s="452" t="s">
        <v>19</v>
      </c>
      <c r="B20" s="453" t="s">
        <v>548</v>
      </c>
      <c r="C20" s="454"/>
      <c r="D20" s="455"/>
      <c r="E20" s="456"/>
      <c r="F20" s="21"/>
      <c r="G20" s="21"/>
      <c r="H20" s="457"/>
      <c r="I20" s="898"/>
    </row>
    <row r="21" spans="1:9" ht="22.5" customHeight="1" thickBot="1">
      <c r="A21" s="445" t="s">
        <v>20</v>
      </c>
      <c r="B21" s="446" t="s">
        <v>560</v>
      </c>
      <c r="C21" s="447"/>
      <c r="D21" s="448"/>
      <c r="E21" s="449">
        <f>E7+E14</f>
        <v>0</v>
      </c>
      <c r="F21" s="450">
        <f>F7+F14</f>
        <v>0</v>
      </c>
      <c r="G21" s="450">
        <f>G7+G14</f>
        <v>0</v>
      </c>
      <c r="H21" s="451">
        <f>H7+H14</f>
        <v>0</v>
      </c>
      <c r="I21" s="898"/>
    </row>
    <row r="22" spans="1:9" ht="20.100000000000001" customHeight="1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>
      <c r="A1" s="909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10"/>
      <c r="C1" s="910"/>
      <c r="D1" s="910"/>
      <c r="E1" s="910"/>
      <c r="F1" s="910"/>
      <c r="G1" s="910"/>
      <c r="H1" s="910"/>
      <c r="I1" s="910"/>
      <c r="J1" s="898" t="str">
        <f>CONCATENATE("4. tájékoztató tábla ",Z_ALAPADATOK!A7," ",Z_ALAPADATOK!B7," ",Z_ALAPADATOK!C7," ",Z_ALAPADATOK!D7," ",Z_ALAPADATOK!E7," ",Z_ALAPADATOK!F7," ",Z_ALAPADATOK!G7," ",Z_ALAPADATOK!H7)</f>
        <v>4. tájékoztató tábla a … / 2021. ( … ) önkormányzati rendelethez</v>
      </c>
    </row>
    <row r="2" spans="1:10" ht="14.25" thickBot="1">
      <c r="A2" s="70"/>
      <c r="B2" s="70"/>
      <c r="C2" s="70"/>
      <c r="D2" s="70"/>
      <c r="E2" s="70"/>
      <c r="F2" s="70"/>
      <c r="G2" s="70"/>
      <c r="H2" s="911" t="str">
        <f>Z_3.tájékoztató_t.!H3</f>
        <v xml:space="preserve"> Forintban!</v>
      </c>
      <c r="I2" s="911"/>
      <c r="J2" s="898"/>
    </row>
    <row r="3" spans="1:10" ht="13.5" thickBot="1">
      <c r="A3" s="912" t="s">
        <v>4</v>
      </c>
      <c r="B3" s="914" t="s">
        <v>561</v>
      </c>
      <c r="C3" s="916" t="s">
        <v>562</v>
      </c>
      <c r="D3" s="918" t="s">
        <v>563</v>
      </c>
      <c r="E3" s="919"/>
      <c r="F3" s="919"/>
      <c r="G3" s="919"/>
      <c r="H3" s="919"/>
      <c r="I3" s="920" t="s">
        <v>867</v>
      </c>
      <c r="J3" s="898"/>
    </row>
    <row r="4" spans="1:10" s="48" customFormat="1" ht="42" customHeight="1" thickBot="1">
      <c r="A4" s="913"/>
      <c r="B4" s="915"/>
      <c r="C4" s="917"/>
      <c r="D4" s="336" t="s">
        <v>564</v>
      </c>
      <c r="E4" s="336" t="s">
        <v>565</v>
      </c>
      <c r="F4" s="336" t="s">
        <v>566</v>
      </c>
      <c r="G4" s="617" t="s">
        <v>567</v>
      </c>
      <c r="H4" s="617" t="s">
        <v>568</v>
      </c>
      <c r="I4" s="921"/>
      <c r="J4" s="898"/>
    </row>
    <row r="5" spans="1:10" s="48" customFormat="1" ht="12" customHeight="1" thickBot="1">
      <c r="A5" s="367" t="s">
        <v>382</v>
      </c>
      <c r="B5" s="368" t="s">
        <v>383</v>
      </c>
      <c r="C5" s="368" t="s">
        <v>384</v>
      </c>
      <c r="D5" s="368" t="s">
        <v>386</v>
      </c>
      <c r="E5" s="368" t="s">
        <v>385</v>
      </c>
      <c r="F5" s="368" t="s">
        <v>387</v>
      </c>
      <c r="G5" s="368" t="s">
        <v>388</v>
      </c>
      <c r="H5" s="368" t="s">
        <v>569</v>
      </c>
      <c r="I5" s="370" t="s">
        <v>570</v>
      </c>
      <c r="J5" s="898"/>
    </row>
    <row r="6" spans="1:10" s="48" customFormat="1" ht="18" customHeight="1">
      <c r="A6" s="922" t="s">
        <v>571</v>
      </c>
      <c r="B6" s="923"/>
      <c r="C6" s="923"/>
      <c r="D6" s="923"/>
      <c r="E6" s="923"/>
      <c r="F6" s="923"/>
      <c r="G6" s="923"/>
      <c r="H6" s="923"/>
      <c r="I6" s="924"/>
      <c r="J6" s="898"/>
    </row>
    <row r="7" spans="1:10" ht="15.95" customHeight="1">
      <c r="A7" s="99" t="s">
        <v>6</v>
      </c>
      <c r="B7" s="80" t="s">
        <v>572</v>
      </c>
      <c r="C7" s="71"/>
      <c r="D7" s="71"/>
      <c r="E7" s="71"/>
      <c r="F7" s="71"/>
      <c r="G7" s="460"/>
      <c r="H7" s="461">
        <f t="shared" ref="H7:H13" si="0">SUM(D7:G7)</f>
        <v>0</v>
      </c>
      <c r="I7" s="100">
        <f t="shared" ref="I7:I13" si="1">C7+H7</f>
        <v>0</v>
      </c>
      <c r="J7" s="898"/>
    </row>
    <row r="8" spans="1:10" ht="22.5">
      <c r="A8" s="99" t="s">
        <v>7</v>
      </c>
      <c r="B8" s="80" t="s">
        <v>136</v>
      </c>
      <c r="C8" s="71"/>
      <c r="D8" s="71"/>
      <c r="E8" s="71"/>
      <c r="F8" s="71"/>
      <c r="G8" s="460"/>
      <c r="H8" s="461">
        <f t="shared" si="0"/>
        <v>0</v>
      </c>
      <c r="I8" s="100">
        <f t="shared" si="1"/>
        <v>0</v>
      </c>
      <c r="J8" s="898"/>
    </row>
    <row r="9" spans="1:10" ht="22.5">
      <c r="A9" s="99" t="s">
        <v>8</v>
      </c>
      <c r="B9" s="80" t="s">
        <v>137</v>
      </c>
      <c r="C9" s="71"/>
      <c r="D9" s="71"/>
      <c r="E9" s="71"/>
      <c r="F9" s="71"/>
      <c r="G9" s="460"/>
      <c r="H9" s="461">
        <f t="shared" si="0"/>
        <v>0</v>
      </c>
      <c r="I9" s="100">
        <f t="shared" si="1"/>
        <v>0</v>
      </c>
      <c r="J9" s="898"/>
    </row>
    <row r="10" spans="1:10" ht="15.95" customHeight="1">
      <c r="A10" s="99" t="s">
        <v>9</v>
      </c>
      <c r="B10" s="80" t="s">
        <v>138</v>
      </c>
      <c r="C10" s="71"/>
      <c r="D10" s="71"/>
      <c r="E10" s="71"/>
      <c r="F10" s="71"/>
      <c r="G10" s="460"/>
      <c r="H10" s="461">
        <f t="shared" si="0"/>
        <v>0</v>
      </c>
      <c r="I10" s="100">
        <f t="shared" si="1"/>
        <v>0</v>
      </c>
      <c r="J10" s="898"/>
    </row>
    <row r="11" spans="1:10" ht="22.5">
      <c r="A11" s="99" t="s">
        <v>10</v>
      </c>
      <c r="B11" s="80" t="s">
        <v>139</v>
      </c>
      <c r="C11" s="71"/>
      <c r="D11" s="71"/>
      <c r="E11" s="71"/>
      <c r="F11" s="71"/>
      <c r="G11" s="460"/>
      <c r="H11" s="461">
        <f t="shared" si="0"/>
        <v>0</v>
      </c>
      <c r="I11" s="100">
        <f t="shared" si="1"/>
        <v>0</v>
      </c>
      <c r="J11" s="898"/>
    </row>
    <row r="12" spans="1:10" ht="15.95" customHeight="1">
      <c r="A12" s="101" t="s">
        <v>11</v>
      </c>
      <c r="B12" s="102" t="s">
        <v>573</v>
      </c>
      <c r="C12" s="72"/>
      <c r="D12" s="72"/>
      <c r="E12" s="72"/>
      <c r="F12" s="72"/>
      <c r="G12" s="462"/>
      <c r="H12" s="461">
        <f t="shared" si="0"/>
        <v>0</v>
      </c>
      <c r="I12" s="100">
        <f t="shared" si="1"/>
        <v>0</v>
      </c>
      <c r="J12" s="898"/>
    </row>
    <row r="13" spans="1:10" ht="15.95" customHeight="1" thickBot="1">
      <c r="A13" s="463" t="s">
        <v>12</v>
      </c>
      <c r="B13" s="464" t="s">
        <v>574</v>
      </c>
      <c r="C13" s="465"/>
      <c r="D13" s="465"/>
      <c r="E13" s="465"/>
      <c r="F13" s="465"/>
      <c r="G13" s="466"/>
      <c r="H13" s="461">
        <f t="shared" si="0"/>
        <v>0</v>
      </c>
      <c r="I13" s="100">
        <f t="shared" si="1"/>
        <v>0</v>
      </c>
      <c r="J13" s="898"/>
    </row>
    <row r="14" spans="1:10" s="73" customFormat="1" ht="18" customHeight="1" thickBot="1">
      <c r="A14" s="925" t="s">
        <v>575</v>
      </c>
      <c r="B14" s="926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7">
        <f t="shared" si="2"/>
        <v>0</v>
      </c>
      <c r="H14" s="467">
        <f t="shared" si="2"/>
        <v>0</v>
      </c>
      <c r="I14" s="104">
        <f t="shared" si="2"/>
        <v>0</v>
      </c>
      <c r="J14" s="898"/>
    </row>
    <row r="15" spans="1:10" s="70" customFormat="1" ht="18" customHeight="1">
      <c r="A15" s="927" t="s">
        <v>576</v>
      </c>
      <c r="B15" s="928"/>
      <c r="C15" s="928"/>
      <c r="D15" s="928"/>
      <c r="E15" s="928"/>
      <c r="F15" s="928"/>
      <c r="G15" s="928"/>
      <c r="H15" s="928"/>
      <c r="I15" s="929"/>
      <c r="J15" s="898"/>
    </row>
    <row r="16" spans="1:10" s="70" customFormat="1">
      <c r="A16" s="99" t="s">
        <v>6</v>
      </c>
      <c r="B16" s="80" t="s">
        <v>577</v>
      </c>
      <c r="C16" s="71"/>
      <c r="D16" s="71"/>
      <c r="E16" s="71"/>
      <c r="F16" s="71"/>
      <c r="G16" s="460"/>
      <c r="H16" s="461">
        <f>SUM(D16:G16)</f>
        <v>0</v>
      </c>
      <c r="I16" s="100">
        <f>C16+H16</f>
        <v>0</v>
      </c>
      <c r="J16" s="898"/>
    </row>
    <row r="17" spans="1:10" ht="13.5" thickBot="1">
      <c r="A17" s="463" t="s">
        <v>7</v>
      </c>
      <c r="B17" s="464" t="s">
        <v>574</v>
      </c>
      <c r="C17" s="465"/>
      <c r="D17" s="465"/>
      <c r="E17" s="465"/>
      <c r="F17" s="465"/>
      <c r="G17" s="466"/>
      <c r="H17" s="461">
        <f>SUM(D17:G17)</f>
        <v>0</v>
      </c>
      <c r="I17" s="468">
        <f>C17+H17</f>
        <v>0</v>
      </c>
      <c r="J17" s="898"/>
    </row>
    <row r="18" spans="1:10" ht="15.95" customHeight="1" thickBot="1">
      <c r="A18" s="925" t="s">
        <v>578</v>
      </c>
      <c r="B18" s="926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7">
        <f t="shared" si="3"/>
        <v>0</v>
      </c>
      <c r="H18" s="467">
        <f t="shared" si="3"/>
        <v>0</v>
      </c>
      <c r="I18" s="104">
        <f t="shared" si="3"/>
        <v>0</v>
      </c>
      <c r="J18" s="898"/>
    </row>
    <row r="19" spans="1:10" ht="18" customHeight="1" thickBot="1">
      <c r="A19" s="930" t="s">
        <v>579</v>
      </c>
      <c r="B19" s="931"/>
      <c r="C19" s="469">
        <f t="shared" ref="C19:I19" si="4">C14+C18</f>
        <v>0</v>
      </c>
      <c r="D19" s="469">
        <f t="shared" si="4"/>
        <v>0</v>
      </c>
      <c r="E19" s="469">
        <f t="shared" si="4"/>
        <v>0</v>
      </c>
      <c r="F19" s="469">
        <f t="shared" si="4"/>
        <v>0</v>
      </c>
      <c r="G19" s="469">
        <f t="shared" si="4"/>
        <v>0</v>
      </c>
      <c r="H19" s="469">
        <f t="shared" si="4"/>
        <v>0</v>
      </c>
      <c r="I19" s="104">
        <f t="shared" si="4"/>
        <v>0</v>
      </c>
      <c r="J19" s="898"/>
    </row>
  </sheetData>
  <sheetProtection sheet="1"/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/>
  <cols>
    <col min="1" max="1" width="5.83203125" style="487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>
      <c r="A1" s="933" t="str">
        <f>CONCATENATE("5. tájékoztató tábla ",Z_ALAPADATOK!A7," ",Z_ALAPADATOK!B7," ",Z_ALAPADATOK!C7," ",Z_ALAPADATOK!D7," ",Z_ALAPADATOK!E7," ",Z_ALAPADATOK!F7," ",Z_ALAPADATOK!G7," ",Z_ALAPADATOK!H7)</f>
        <v>5. tájékoztató tábla a … / 2021. ( … ) önkormányzati rendelethez</v>
      </c>
      <c r="B1" s="808"/>
      <c r="C1" s="808"/>
      <c r="D1" s="808"/>
    </row>
    <row r="2" spans="1:4">
      <c r="A2" s="619"/>
      <c r="B2" s="620"/>
      <c r="C2" s="620"/>
      <c r="D2" s="620"/>
    </row>
    <row r="3" spans="1:4" ht="15.75">
      <c r="A3" s="909" t="s">
        <v>770</v>
      </c>
      <c r="B3" s="890"/>
      <c r="C3" s="890"/>
      <c r="D3" s="890"/>
    </row>
    <row r="4" spans="1:4" ht="15.75">
      <c r="A4" s="909" t="s">
        <v>771</v>
      </c>
      <c r="B4" s="890"/>
      <c r="C4" s="890"/>
      <c r="D4" s="890"/>
    </row>
    <row r="5" spans="1:4" s="443" customFormat="1" ht="15.75" thickBot="1">
      <c r="A5" s="611"/>
      <c r="B5" s="343"/>
      <c r="C5" s="343"/>
      <c r="D5" s="353" t="str">
        <f>Z_3.tájékoztató_t.!H3</f>
        <v xml:space="preserve"> Forintban!</v>
      </c>
    </row>
    <row r="6" spans="1:4" s="48" customFormat="1" ht="48" customHeight="1" thickBot="1">
      <c r="A6" s="329" t="s">
        <v>4</v>
      </c>
      <c r="B6" s="336" t="s">
        <v>5</v>
      </c>
      <c r="C6" s="336" t="s">
        <v>580</v>
      </c>
      <c r="D6" s="621" t="s">
        <v>581</v>
      </c>
    </row>
    <row r="7" spans="1:4" s="48" customFormat="1" ht="14.1" customHeight="1" thickBot="1">
      <c r="A7" s="622" t="s">
        <v>382</v>
      </c>
      <c r="B7" s="623" t="s">
        <v>383</v>
      </c>
      <c r="C7" s="623" t="s">
        <v>384</v>
      </c>
      <c r="D7" s="624" t="s">
        <v>386</v>
      </c>
    </row>
    <row r="8" spans="1:4" ht="18" customHeight="1">
      <c r="A8" s="470" t="s">
        <v>6</v>
      </c>
      <c r="B8" s="471" t="s">
        <v>582</v>
      </c>
      <c r="C8" s="472"/>
      <c r="D8" s="473"/>
    </row>
    <row r="9" spans="1:4" ht="18" customHeight="1">
      <c r="A9" s="474" t="s">
        <v>7</v>
      </c>
      <c r="B9" s="475" t="s">
        <v>583</v>
      </c>
      <c r="C9" s="476"/>
      <c r="D9" s="477"/>
    </row>
    <row r="10" spans="1:4" ht="18" customHeight="1">
      <c r="A10" s="474" t="s">
        <v>8</v>
      </c>
      <c r="B10" s="475" t="s">
        <v>584</v>
      </c>
      <c r="C10" s="476"/>
      <c r="D10" s="477"/>
    </row>
    <row r="11" spans="1:4" ht="18" customHeight="1">
      <c r="A11" s="474" t="s">
        <v>9</v>
      </c>
      <c r="B11" s="475" t="s">
        <v>585</v>
      </c>
      <c r="C11" s="476"/>
      <c r="D11" s="477"/>
    </row>
    <row r="12" spans="1:4" ht="18" customHeight="1">
      <c r="A12" s="478" t="s">
        <v>10</v>
      </c>
      <c r="B12" s="475" t="s">
        <v>586</v>
      </c>
      <c r="C12" s="476"/>
      <c r="D12" s="477"/>
    </row>
    <row r="13" spans="1:4" ht="18" customHeight="1">
      <c r="A13" s="474" t="s">
        <v>11</v>
      </c>
      <c r="B13" s="475" t="s">
        <v>587</v>
      </c>
      <c r="C13" s="476"/>
      <c r="D13" s="477"/>
    </row>
    <row r="14" spans="1:4" ht="18" customHeight="1">
      <c r="A14" s="478" t="s">
        <v>12</v>
      </c>
      <c r="B14" s="479" t="s">
        <v>588</v>
      </c>
      <c r="C14" s="476"/>
      <c r="D14" s="477"/>
    </row>
    <row r="15" spans="1:4" ht="18" customHeight="1">
      <c r="A15" s="478" t="s">
        <v>13</v>
      </c>
      <c r="B15" s="479" t="s">
        <v>589</v>
      </c>
      <c r="C15" s="476"/>
      <c r="D15" s="477"/>
    </row>
    <row r="16" spans="1:4" ht="18" customHeight="1">
      <c r="A16" s="474" t="s">
        <v>14</v>
      </c>
      <c r="B16" s="479" t="s">
        <v>590</v>
      </c>
      <c r="C16" s="476"/>
      <c r="D16" s="477"/>
    </row>
    <row r="17" spans="1:4" ht="18" customHeight="1">
      <c r="A17" s="478" t="s">
        <v>15</v>
      </c>
      <c r="B17" s="479" t="s">
        <v>591</v>
      </c>
      <c r="C17" s="476"/>
      <c r="D17" s="477"/>
    </row>
    <row r="18" spans="1:4" ht="22.5">
      <c r="A18" s="474" t="s">
        <v>16</v>
      </c>
      <c r="B18" s="479" t="s">
        <v>592</v>
      </c>
      <c r="C18" s="476"/>
      <c r="D18" s="477"/>
    </row>
    <row r="19" spans="1:4" ht="18" customHeight="1">
      <c r="A19" s="478" t="s">
        <v>17</v>
      </c>
      <c r="B19" s="475" t="s">
        <v>593</v>
      </c>
      <c r="C19" s="476"/>
      <c r="D19" s="477"/>
    </row>
    <row r="20" spans="1:4" ht="18" customHeight="1">
      <c r="A20" s="474" t="s">
        <v>18</v>
      </c>
      <c r="B20" s="475" t="s">
        <v>594</v>
      </c>
      <c r="C20" s="476"/>
      <c r="D20" s="477"/>
    </row>
    <row r="21" spans="1:4" ht="18" customHeight="1">
      <c r="A21" s="478" t="s">
        <v>19</v>
      </c>
      <c r="B21" s="475" t="s">
        <v>595</v>
      </c>
      <c r="C21" s="476"/>
      <c r="D21" s="477"/>
    </row>
    <row r="22" spans="1:4" ht="18" customHeight="1">
      <c r="A22" s="474" t="s">
        <v>20</v>
      </c>
      <c r="B22" s="475" t="s">
        <v>596</v>
      </c>
      <c r="C22" s="476"/>
      <c r="D22" s="477"/>
    </row>
    <row r="23" spans="1:4" ht="18" customHeight="1">
      <c r="A23" s="478" t="s">
        <v>21</v>
      </c>
      <c r="B23" s="475" t="s">
        <v>597</v>
      </c>
      <c r="C23" s="476"/>
      <c r="D23" s="477"/>
    </row>
    <row r="24" spans="1:4" ht="18" customHeight="1">
      <c r="A24" s="474" t="s">
        <v>22</v>
      </c>
      <c r="B24" s="480"/>
      <c r="C24" s="476"/>
      <c r="D24" s="477"/>
    </row>
    <row r="25" spans="1:4" ht="18" customHeight="1">
      <c r="A25" s="478" t="s">
        <v>23</v>
      </c>
      <c r="B25" s="480"/>
      <c r="C25" s="476"/>
      <c r="D25" s="477"/>
    </row>
    <row r="26" spans="1:4" ht="18" customHeight="1">
      <c r="A26" s="474" t="s">
        <v>24</v>
      </c>
      <c r="B26" s="480"/>
      <c r="C26" s="476"/>
      <c r="D26" s="477"/>
    </row>
    <row r="27" spans="1:4" ht="18" customHeight="1">
      <c r="A27" s="478" t="s">
        <v>25</v>
      </c>
      <c r="B27" s="480"/>
      <c r="C27" s="476"/>
      <c r="D27" s="477"/>
    </row>
    <row r="28" spans="1:4" ht="18" customHeight="1">
      <c r="A28" s="474" t="s">
        <v>26</v>
      </c>
      <c r="B28" s="480"/>
      <c r="C28" s="476"/>
      <c r="D28" s="477"/>
    </row>
    <row r="29" spans="1:4" ht="18" customHeight="1">
      <c r="A29" s="478" t="s">
        <v>27</v>
      </c>
      <c r="B29" s="480"/>
      <c r="C29" s="476"/>
      <c r="D29" s="477"/>
    </row>
    <row r="30" spans="1:4" ht="18" customHeight="1">
      <c r="A30" s="474" t="s">
        <v>28</v>
      </c>
      <c r="B30" s="480"/>
      <c r="C30" s="476"/>
      <c r="D30" s="477"/>
    </row>
    <row r="31" spans="1:4" ht="18" customHeight="1">
      <c r="A31" s="478" t="s">
        <v>29</v>
      </c>
      <c r="B31" s="480"/>
      <c r="C31" s="476"/>
      <c r="D31" s="477"/>
    </row>
    <row r="32" spans="1:4" ht="18" customHeight="1" thickBot="1">
      <c r="A32" s="481" t="s">
        <v>30</v>
      </c>
      <c r="B32" s="482"/>
      <c r="C32" s="483"/>
      <c r="D32" s="484"/>
    </row>
    <row r="33" spans="1:4" ht="18" customHeight="1" thickBot="1">
      <c r="A33" s="485" t="s">
        <v>31</v>
      </c>
      <c r="B33" s="618" t="s">
        <v>37</v>
      </c>
      <c r="C33" s="450">
        <f>+C8+C9+C10+C11+C12+C19+C20+C21+C22+C23+C24+C25+C26+C27+C28+C29+C30+C31+C32</f>
        <v>0</v>
      </c>
      <c r="D33" s="451">
        <f>+D8+D9+D10+D11+D12+D19+D20+D21+D22+D23+D24+D25+D26+D27+D28+D29+D30+D31+D32</f>
        <v>0</v>
      </c>
    </row>
    <row r="34" spans="1:4" ht="25.5" customHeight="1">
      <c r="A34" s="486"/>
      <c r="B34" s="932" t="s">
        <v>598</v>
      </c>
      <c r="C34" s="932"/>
      <c r="D34" s="932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>
    <tabColor rgb="FF92D050"/>
  </sheetPr>
  <dimension ref="A1:E41"/>
  <sheetViews>
    <sheetView zoomScale="112" zoomScaleNormal="112" workbookViewId="0">
      <selection activeCell="D12" sqref="D12"/>
    </sheetView>
  </sheetViews>
  <sheetFormatPr defaultRowHeight="12.75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>
      <c r="A1" s="936" t="str">
        <f>CONCATENATE("6. tájékoztató tábla ",Z_ALAPADATOK!A7," ",Z_ALAPADATOK!B7," ",Z_ALAPADATOK!C7," ",Z_ALAPADATOK!D7," ",Z_ALAPADATOK!E7," ",Z_ALAPADATOK!F7," ",Z_ALAPADATOK!G7," ",Z_ALAPADATOK!H7)</f>
        <v>6. tájékoztató tábla a … / 2021. ( … ) önkormányzati rendelethez</v>
      </c>
      <c r="B1" s="936"/>
      <c r="C1" s="936"/>
      <c r="D1" s="936"/>
      <c r="E1" s="936"/>
    </row>
    <row r="2" spans="1:5">
      <c r="A2" s="70"/>
      <c r="B2" s="70"/>
      <c r="C2" s="70"/>
      <c r="D2" s="70"/>
      <c r="E2" s="70"/>
    </row>
    <row r="3" spans="1:5" ht="15.75">
      <c r="A3" s="937" t="s">
        <v>772</v>
      </c>
      <c r="B3" s="937"/>
      <c r="C3" s="937"/>
      <c r="D3" s="937"/>
      <c r="E3" s="937"/>
    </row>
    <row r="4" spans="1:5" ht="15.75">
      <c r="A4" s="937" t="str">
        <f>CONCATENATE("A ",Z_ALAPADATOK!B1,". évi céljelleggel juttatott támogatások felhasználásáról")</f>
        <v>A 2020. évi céljelleggel juttatott támogatások felhasználásáról</v>
      </c>
      <c r="B4" s="937"/>
      <c r="C4" s="937"/>
      <c r="D4" s="937"/>
      <c r="E4" s="937"/>
    </row>
    <row r="5" spans="1:5">
      <c r="A5" s="70"/>
      <c r="B5" s="70"/>
      <c r="C5" s="70"/>
      <c r="D5" s="70"/>
      <c r="E5" s="70"/>
    </row>
    <row r="6" spans="1:5" ht="14.25" thickBot="1">
      <c r="A6" s="70"/>
      <c r="B6" s="70"/>
      <c r="C6" s="625"/>
      <c r="D6" s="625"/>
      <c r="E6" s="625" t="str">
        <f>Z_5.tájékoztató_t.!D5</f>
        <v xml:space="preserve"> Forintban!</v>
      </c>
    </row>
    <row r="7" spans="1:5" ht="42.75" customHeight="1" thickBot="1">
      <c r="A7" s="626" t="s">
        <v>51</v>
      </c>
      <c r="B7" s="627" t="s">
        <v>599</v>
      </c>
      <c r="C7" s="627" t="s">
        <v>600</v>
      </c>
      <c r="D7" s="628" t="s">
        <v>601</v>
      </c>
      <c r="E7" s="629" t="s">
        <v>602</v>
      </c>
    </row>
    <row r="8" spans="1:5" ht="15.95" customHeight="1">
      <c r="A8" s="488" t="s">
        <v>6</v>
      </c>
      <c r="B8" s="490" t="s">
        <v>889</v>
      </c>
      <c r="C8" s="490" t="s">
        <v>890</v>
      </c>
      <c r="D8" s="491">
        <v>300000</v>
      </c>
      <c r="E8" s="492">
        <v>300000</v>
      </c>
    </row>
    <row r="9" spans="1:5" ht="15.95" customHeight="1">
      <c r="A9" s="489" t="s">
        <v>7</v>
      </c>
      <c r="B9" s="490" t="s">
        <v>891</v>
      </c>
      <c r="C9" s="490" t="s">
        <v>892</v>
      </c>
      <c r="D9" s="491">
        <v>600615</v>
      </c>
      <c r="E9" s="492">
        <v>600615</v>
      </c>
    </row>
    <row r="10" spans="1:5" ht="15.95" customHeight="1">
      <c r="A10" s="489" t="s">
        <v>8</v>
      </c>
      <c r="B10" s="490" t="s">
        <v>893</v>
      </c>
      <c r="C10" s="490" t="s">
        <v>894</v>
      </c>
      <c r="D10" s="491">
        <v>600000</v>
      </c>
      <c r="E10" s="492">
        <v>600000</v>
      </c>
    </row>
    <row r="11" spans="1:5" ht="15.95" customHeight="1">
      <c r="A11" s="489" t="s">
        <v>9</v>
      </c>
      <c r="B11" s="490" t="s">
        <v>895</v>
      </c>
      <c r="C11" s="490" t="s">
        <v>896</v>
      </c>
      <c r="D11" s="491">
        <v>60000</v>
      </c>
      <c r="E11" s="492">
        <v>60000</v>
      </c>
    </row>
    <row r="12" spans="1:5" ht="15.95" customHeight="1">
      <c r="A12" s="489" t="s">
        <v>10</v>
      </c>
      <c r="B12" s="490"/>
      <c r="C12" s="490"/>
      <c r="D12" s="491"/>
      <c r="E12" s="492"/>
    </row>
    <row r="13" spans="1:5" ht="15.95" customHeight="1">
      <c r="A13" s="489" t="s">
        <v>11</v>
      </c>
      <c r="B13" s="490"/>
      <c r="C13" s="490"/>
      <c r="D13" s="491"/>
      <c r="E13" s="492"/>
    </row>
    <row r="14" spans="1:5" ht="15.95" customHeight="1">
      <c r="A14" s="489" t="s">
        <v>12</v>
      </c>
      <c r="B14" s="490"/>
      <c r="C14" s="490"/>
      <c r="D14" s="491"/>
      <c r="E14" s="492"/>
    </row>
    <row r="15" spans="1:5" ht="15.95" customHeight="1">
      <c r="A15" s="489" t="s">
        <v>13</v>
      </c>
      <c r="B15" s="490"/>
      <c r="C15" s="490"/>
      <c r="D15" s="491"/>
      <c r="E15" s="492"/>
    </row>
    <row r="16" spans="1:5" ht="15.95" customHeight="1">
      <c r="A16" s="489" t="s">
        <v>14</v>
      </c>
      <c r="B16" s="490"/>
      <c r="C16" s="490"/>
      <c r="D16" s="491"/>
      <c r="E16" s="492"/>
    </row>
    <row r="17" spans="1:5" ht="15.95" customHeight="1">
      <c r="A17" s="489" t="s">
        <v>15</v>
      </c>
      <c r="B17" s="490"/>
      <c r="C17" s="490"/>
      <c r="D17" s="491"/>
      <c r="E17" s="492"/>
    </row>
    <row r="18" spans="1:5" ht="15.95" customHeight="1">
      <c r="A18" s="489" t="s">
        <v>16</v>
      </c>
      <c r="B18" s="490"/>
      <c r="C18" s="490"/>
      <c r="D18" s="491"/>
      <c r="E18" s="492"/>
    </row>
    <row r="19" spans="1:5" ht="15.95" customHeight="1">
      <c r="A19" s="489" t="s">
        <v>17</v>
      </c>
      <c r="B19" s="490"/>
      <c r="C19" s="490"/>
      <c r="D19" s="491"/>
      <c r="E19" s="492"/>
    </row>
    <row r="20" spans="1:5" ht="15.95" customHeight="1">
      <c r="A20" s="489" t="s">
        <v>18</v>
      </c>
      <c r="B20" s="490"/>
      <c r="C20" s="490"/>
      <c r="D20" s="491"/>
      <c r="E20" s="492"/>
    </row>
    <row r="21" spans="1:5" ht="15.95" customHeight="1">
      <c r="A21" s="489" t="s">
        <v>19</v>
      </c>
      <c r="B21" s="490"/>
      <c r="C21" s="490"/>
      <c r="D21" s="491"/>
      <c r="E21" s="492"/>
    </row>
    <row r="22" spans="1:5" ht="15.95" customHeight="1">
      <c r="A22" s="489" t="s">
        <v>20</v>
      </c>
      <c r="B22" s="490"/>
      <c r="C22" s="490"/>
      <c r="D22" s="491"/>
      <c r="E22" s="492"/>
    </row>
    <row r="23" spans="1:5" ht="15.95" customHeight="1">
      <c r="A23" s="489" t="s">
        <v>21</v>
      </c>
      <c r="B23" s="490"/>
      <c r="C23" s="490"/>
      <c r="D23" s="491"/>
      <c r="E23" s="492"/>
    </row>
    <row r="24" spans="1:5" ht="15.95" customHeight="1">
      <c r="A24" s="489" t="s">
        <v>22</v>
      </c>
      <c r="B24" s="490"/>
      <c r="C24" s="490"/>
      <c r="D24" s="491"/>
      <c r="E24" s="492"/>
    </row>
    <row r="25" spans="1:5" ht="15.95" customHeight="1">
      <c r="A25" s="489" t="s">
        <v>23</v>
      </c>
      <c r="B25" s="490"/>
      <c r="C25" s="490"/>
      <c r="D25" s="491"/>
      <c r="E25" s="492"/>
    </row>
    <row r="26" spans="1:5" ht="15.95" customHeight="1">
      <c r="A26" s="489" t="s">
        <v>24</v>
      </c>
      <c r="B26" s="490"/>
      <c r="C26" s="490"/>
      <c r="D26" s="491"/>
      <c r="E26" s="492"/>
    </row>
    <row r="27" spans="1:5" ht="15.95" customHeight="1">
      <c r="A27" s="489" t="s">
        <v>25</v>
      </c>
      <c r="B27" s="490"/>
      <c r="C27" s="490"/>
      <c r="D27" s="491"/>
      <c r="E27" s="492"/>
    </row>
    <row r="28" spans="1:5" ht="15.95" customHeight="1">
      <c r="A28" s="489" t="s">
        <v>26</v>
      </c>
      <c r="B28" s="490"/>
      <c r="C28" s="490"/>
      <c r="D28" s="491"/>
      <c r="E28" s="492"/>
    </row>
    <row r="29" spans="1:5" ht="15.95" customHeight="1">
      <c r="A29" s="489" t="s">
        <v>27</v>
      </c>
      <c r="B29" s="490"/>
      <c r="C29" s="490"/>
      <c r="D29" s="491"/>
      <c r="E29" s="492"/>
    </row>
    <row r="30" spans="1:5" ht="15.95" customHeight="1">
      <c r="A30" s="489" t="s">
        <v>28</v>
      </c>
      <c r="B30" s="490"/>
      <c r="C30" s="490"/>
      <c r="D30" s="491"/>
      <c r="E30" s="492"/>
    </row>
    <row r="31" spans="1:5" ht="15.95" customHeight="1">
      <c r="A31" s="489" t="s">
        <v>29</v>
      </c>
      <c r="B31" s="490"/>
      <c r="C31" s="490"/>
      <c r="D31" s="491"/>
      <c r="E31" s="492"/>
    </row>
    <row r="32" spans="1:5" ht="15.95" customHeight="1">
      <c r="A32" s="489" t="s">
        <v>30</v>
      </c>
      <c r="B32" s="490"/>
      <c r="C32" s="490"/>
      <c r="D32" s="491"/>
      <c r="E32" s="492"/>
    </row>
    <row r="33" spans="1:5" ht="15.95" customHeight="1">
      <c r="A33" s="489" t="s">
        <v>31</v>
      </c>
      <c r="B33" s="490"/>
      <c r="C33" s="490"/>
      <c r="D33" s="491"/>
      <c r="E33" s="492"/>
    </row>
    <row r="34" spans="1:5" ht="15.95" customHeight="1">
      <c r="A34" s="489" t="s">
        <v>32</v>
      </c>
      <c r="B34" s="490"/>
      <c r="C34" s="490"/>
      <c r="D34" s="491"/>
      <c r="E34" s="492"/>
    </row>
    <row r="35" spans="1:5" ht="15.95" customHeight="1">
      <c r="A35" s="489" t="s">
        <v>33</v>
      </c>
      <c r="B35" s="490"/>
      <c r="C35" s="490"/>
      <c r="D35" s="491"/>
      <c r="E35" s="492"/>
    </row>
    <row r="36" spans="1:5" ht="15.95" customHeight="1">
      <c r="A36" s="489" t="s">
        <v>603</v>
      </c>
      <c r="B36" s="490"/>
      <c r="C36" s="490"/>
      <c r="D36" s="491"/>
      <c r="E36" s="492"/>
    </row>
    <row r="37" spans="1:5" ht="15.95" customHeight="1">
      <c r="A37" s="489" t="s">
        <v>604</v>
      </c>
      <c r="B37" s="490"/>
      <c r="C37" s="490"/>
      <c r="D37" s="491"/>
      <c r="E37" s="492"/>
    </row>
    <row r="38" spans="1:5" ht="15.95" customHeight="1">
      <c r="A38" s="489" t="s">
        <v>605</v>
      </c>
      <c r="B38" s="490"/>
      <c r="C38" s="490"/>
      <c r="D38" s="491"/>
      <c r="E38" s="492"/>
    </row>
    <row r="39" spans="1:5" ht="15.95" customHeight="1">
      <c r="A39" s="489" t="s">
        <v>606</v>
      </c>
      <c r="B39" s="490"/>
      <c r="C39" s="490"/>
      <c r="D39" s="491"/>
      <c r="E39" s="492"/>
    </row>
    <row r="40" spans="1:5" ht="15.95" customHeight="1" thickBot="1">
      <c r="A40" s="493" t="s">
        <v>607</v>
      </c>
      <c r="B40" s="494"/>
      <c r="C40" s="494"/>
      <c r="D40" s="495"/>
      <c r="E40" s="496"/>
    </row>
    <row r="41" spans="1:5" ht="15.95" customHeight="1" thickBot="1">
      <c r="A41" s="934" t="s">
        <v>37</v>
      </c>
      <c r="B41" s="935"/>
      <c r="C41" s="497"/>
      <c r="D41" s="498">
        <f>SUM(D8:D40)</f>
        <v>1560615</v>
      </c>
      <c r="E41" s="499">
        <f>SUM(E8:E40)</f>
        <v>1560615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A7" zoomScaleSheetLayoutView="130" workbookViewId="0">
      <selection activeCell="E11" sqref="E11"/>
    </sheetView>
  </sheetViews>
  <sheetFormatPr defaultRowHeight="12.75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00" t="str">
        <f>CONCATENATE("2.1. melléklet ",Z_ALAPADATOK!A7," ",Z_ALAPADATOK!B7," ",Z_ALAPADATOK!C7," ",Z_ALAPADATOK!D7," ",Z_ALAPADATOK!E7," ",Z_ALAPADATOK!F7," ",Z_ALAPADATOK!G7," ",Z_ALAPADATOK!H7)</f>
        <v>2.1. melléklet a … / 2021. ( … ) önkormányzati rendelethez</v>
      </c>
    </row>
    <row r="2" spans="1:10" ht="14.25" thickBot="1">
      <c r="A2" s="345"/>
      <c r="B2" s="344"/>
      <c r="C2" s="345"/>
      <c r="D2" s="345"/>
      <c r="E2" s="345"/>
      <c r="F2" s="345"/>
      <c r="G2" s="353"/>
      <c r="H2" s="353"/>
      <c r="I2" s="353" t="str">
        <f>CONCATENATE(Z_1.4.sz.mell.!E7)</f>
        <v xml:space="preserve"> Forintban!</v>
      </c>
      <c r="J2" s="800"/>
    </row>
    <row r="3" spans="1:10" ht="18" customHeight="1" thickBot="1">
      <c r="A3" s="797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0"/>
    </row>
    <row r="4" spans="1:10" s="125" customFormat="1" ht="35.25" customHeight="1" thickBot="1">
      <c r="A4" s="798"/>
      <c r="B4" s="347" t="s">
        <v>44</v>
      </c>
      <c r="C4" s="317" t="str">
        <f>+CONCATENATE(Z_1.1.sz.mell.!C8," eredeti előirányzat")</f>
        <v>2020. évi eredeti előirányzat</v>
      </c>
      <c r="D4" s="315" t="str">
        <f>+CONCATENATE(Z_1.1.sz.mell.!C8," módosított előirányzat")</f>
        <v>2020. évi módosított előirányzat</v>
      </c>
      <c r="E4" s="315" t="str">
        <f>CONCATENATE(Z_1.4.sz.mell.!E9)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0"/>
    </row>
    <row r="5" spans="1:10" s="126" customFormat="1" ht="12" customHeight="1" thickBot="1">
      <c r="A5" s="360" t="s">
        <v>382</v>
      </c>
      <c r="B5" s="361" t="s">
        <v>383</v>
      </c>
      <c r="C5" s="362" t="s">
        <v>384</v>
      </c>
      <c r="D5" s="365" t="s">
        <v>386</v>
      </c>
      <c r="E5" s="365" t="s">
        <v>385</v>
      </c>
      <c r="F5" s="361" t="s">
        <v>419</v>
      </c>
      <c r="G5" s="362" t="s">
        <v>388</v>
      </c>
      <c r="H5" s="362" t="s">
        <v>389</v>
      </c>
      <c r="I5" s="366" t="s">
        <v>420</v>
      </c>
      <c r="J5" s="800"/>
    </row>
    <row r="6" spans="1:10" ht="12.95" customHeight="1">
      <c r="A6" s="127" t="s">
        <v>6</v>
      </c>
      <c r="B6" s="128" t="s">
        <v>280</v>
      </c>
      <c r="C6" s="118">
        <v>11589426</v>
      </c>
      <c r="D6" s="118">
        <v>18642576</v>
      </c>
      <c r="E6" s="118">
        <v>18642576</v>
      </c>
      <c r="F6" s="128" t="s">
        <v>45</v>
      </c>
      <c r="G6" s="118">
        <v>38799930</v>
      </c>
      <c r="H6" s="118">
        <v>38750937</v>
      </c>
      <c r="I6" s="270">
        <v>35281151</v>
      </c>
      <c r="J6" s="800"/>
    </row>
    <row r="7" spans="1:10" ht="12.95" customHeight="1">
      <c r="A7" s="129" t="s">
        <v>7</v>
      </c>
      <c r="B7" s="130" t="s">
        <v>281</v>
      </c>
      <c r="C7" s="119">
        <v>13592850</v>
      </c>
      <c r="D7" s="119">
        <v>20641962</v>
      </c>
      <c r="E7" s="119">
        <v>31211511</v>
      </c>
      <c r="F7" s="130" t="s">
        <v>122</v>
      </c>
      <c r="G7" s="119">
        <v>6439612</v>
      </c>
      <c r="H7" s="119">
        <v>6506498</v>
      </c>
      <c r="I7" s="271">
        <v>5342314</v>
      </c>
      <c r="J7" s="800"/>
    </row>
    <row r="8" spans="1:10" ht="12.95" customHeight="1">
      <c r="A8" s="129" t="s">
        <v>8</v>
      </c>
      <c r="B8" s="130" t="s">
        <v>298</v>
      </c>
      <c r="C8" s="119"/>
      <c r="D8" s="119"/>
      <c r="E8" s="119"/>
      <c r="F8" s="130" t="s">
        <v>147</v>
      </c>
      <c r="G8" s="119">
        <v>49002939</v>
      </c>
      <c r="H8" s="119">
        <v>56315669</v>
      </c>
      <c r="I8" s="271">
        <v>49407214</v>
      </c>
      <c r="J8" s="800"/>
    </row>
    <row r="9" spans="1:10" ht="12.95" customHeight="1">
      <c r="A9" s="129" t="s">
        <v>9</v>
      </c>
      <c r="B9" s="130" t="s">
        <v>113</v>
      </c>
      <c r="C9" s="119">
        <v>37017000</v>
      </c>
      <c r="D9" s="119">
        <v>35981813</v>
      </c>
      <c r="E9" s="119">
        <v>33235878</v>
      </c>
      <c r="F9" s="130" t="s">
        <v>123</v>
      </c>
      <c r="G9" s="119">
        <v>2405000</v>
      </c>
      <c r="H9" s="119">
        <v>3855821</v>
      </c>
      <c r="I9" s="271">
        <v>2376139</v>
      </c>
      <c r="J9" s="800"/>
    </row>
    <row r="10" spans="1:10" ht="12.95" customHeight="1">
      <c r="A10" s="129" t="s">
        <v>10</v>
      </c>
      <c r="B10" s="131" t="s">
        <v>322</v>
      </c>
      <c r="C10" s="119">
        <v>20319713</v>
      </c>
      <c r="D10" s="119">
        <v>24629143</v>
      </c>
      <c r="E10" s="119">
        <v>29630333</v>
      </c>
      <c r="F10" s="130" t="s">
        <v>124</v>
      </c>
      <c r="G10" s="119">
        <v>6100000</v>
      </c>
      <c r="H10" s="119">
        <v>5902905</v>
      </c>
      <c r="I10" s="271">
        <v>2583774</v>
      </c>
      <c r="J10" s="800"/>
    </row>
    <row r="11" spans="1:10" ht="12.95" customHeight="1">
      <c r="A11" s="129" t="s">
        <v>11</v>
      </c>
      <c r="B11" s="130" t="s">
        <v>282</v>
      </c>
      <c r="C11" s="120"/>
      <c r="D11" s="120"/>
      <c r="E11" s="120">
        <v>100000</v>
      </c>
      <c r="F11" s="130" t="s">
        <v>36</v>
      </c>
      <c r="G11" s="119"/>
      <c r="H11" s="119">
        <v>4151073</v>
      </c>
      <c r="I11" s="271"/>
      <c r="J11" s="800"/>
    </row>
    <row r="12" spans="1:10" ht="12.95" customHeight="1">
      <c r="A12" s="129" t="s">
        <v>12</v>
      </c>
      <c r="B12" s="130"/>
      <c r="C12" s="119"/>
      <c r="D12" s="119"/>
      <c r="E12" s="119"/>
      <c r="F12" s="30"/>
      <c r="G12" s="119"/>
      <c r="H12" s="119"/>
      <c r="I12" s="271"/>
      <c r="J12" s="800"/>
    </row>
    <row r="13" spans="1:10" ht="12.95" customHeight="1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00"/>
    </row>
    <row r="14" spans="1:10" ht="12.95" customHeight="1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0"/>
    </row>
    <row r="15" spans="1:10" ht="12.95" customHeight="1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0"/>
    </row>
    <row r="16" spans="1:10" ht="12.95" customHeight="1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0"/>
    </row>
    <row r="17" spans="1:10" ht="12.95" customHeight="1" thickBot="1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0"/>
    </row>
    <row r="18" spans="1:10" ht="21.75" thickBot="1">
      <c r="A18" s="132" t="s">
        <v>18</v>
      </c>
      <c r="B18" s="60" t="s">
        <v>380</v>
      </c>
      <c r="C18" s="122">
        <f>C6+C7+C9+C10+C11+C13+C14+C15+C16+C17</f>
        <v>82518989</v>
      </c>
      <c r="D18" s="122">
        <f>D6+D7+D9+D10+D11+D13+D14+D15+D16+D17</f>
        <v>99895494</v>
      </c>
      <c r="E18" s="122">
        <f>E6+E7+E9+E10+E11+E13+E14+E15+E16+E17</f>
        <v>112820298</v>
      </c>
      <c r="F18" s="60" t="s">
        <v>284</v>
      </c>
      <c r="G18" s="122">
        <f>SUM(G6:G17)</f>
        <v>102747481</v>
      </c>
      <c r="H18" s="122">
        <f>SUM(H6:H17)</f>
        <v>115482903</v>
      </c>
      <c r="I18" s="150">
        <f>SUM(I6:I17)</f>
        <v>94990592</v>
      </c>
      <c r="J18" s="800"/>
    </row>
    <row r="19" spans="1:10" ht="12.95" customHeight="1">
      <c r="A19" s="133" t="s">
        <v>19</v>
      </c>
      <c r="B19" s="134" t="s">
        <v>851</v>
      </c>
      <c r="C19" s="238">
        <f>+C20+C21+C22+C23</f>
        <v>0</v>
      </c>
      <c r="D19" s="238">
        <f>+D20+D21+D22+D23</f>
        <v>0</v>
      </c>
      <c r="E19" s="238">
        <f>+E20+E21+E22+E23</f>
        <v>0</v>
      </c>
      <c r="F19" s="135" t="s">
        <v>130</v>
      </c>
      <c r="G19" s="123"/>
      <c r="H19" s="123"/>
      <c r="I19" s="273"/>
      <c r="J19" s="800"/>
    </row>
    <row r="20" spans="1:10" ht="12.95" customHeight="1">
      <c r="A20" s="136" t="s">
        <v>20</v>
      </c>
      <c r="B20" s="135" t="s">
        <v>140</v>
      </c>
      <c r="C20" s="49"/>
      <c r="D20" s="49"/>
      <c r="E20" s="49"/>
      <c r="F20" s="135" t="s">
        <v>283</v>
      </c>
      <c r="G20" s="49"/>
      <c r="H20" s="49"/>
      <c r="I20" s="274"/>
      <c r="J20" s="800"/>
    </row>
    <row r="21" spans="1:10" ht="12.95" customHeight="1">
      <c r="A21" s="136" t="s">
        <v>21</v>
      </c>
      <c r="B21" s="135" t="s">
        <v>141</v>
      </c>
      <c r="C21" s="49"/>
      <c r="D21" s="49"/>
      <c r="E21" s="49"/>
      <c r="F21" s="135" t="s">
        <v>104</v>
      </c>
      <c r="G21" s="49"/>
      <c r="H21" s="49"/>
      <c r="I21" s="274"/>
      <c r="J21" s="800"/>
    </row>
    <row r="22" spans="1:10" ht="12.95" customHeight="1">
      <c r="A22" s="136" t="s">
        <v>22</v>
      </c>
      <c r="B22" s="135" t="s">
        <v>145</v>
      </c>
      <c r="C22" s="49"/>
      <c r="D22" s="49"/>
      <c r="E22" s="49"/>
      <c r="F22" s="135" t="s">
        <v>105</v>
      </c>
      <c r="G22" s="49"/>
      <c r="H22" s="49"/>
      <c r="I22" s="274"/>
      <c r="J22" s="800"/>
    </row>
    <row r="23" spans="1:10" ht="12.95" customHeight="1">
      <c r="A23" s="136" t="s">
        <v>23</v>
      </c>
      <c r="B23" s="135" t="s">
        <v>146</v>
      </c>
      <c r="C23" s="49"/>
      <c r="D23" s="49"/>
      <c r="E23" s="49"/>
      <c r="F23" s="134" t="s">
        <v>148</v>
      </c>
      <c r="G23" s="49"/>
      <c r="H23" s="49"/>
      <c r="I23" s="274"/>
      <c r="J23" s="800"/>
    </row>
    <row r="24" spans="1:10" ht="12.95" customHeight="1">
      <c r="A24" s="129" t="s">
        <v>24</v>
      </c>
      <c r="B24" s="135" t="s">
        <v>897</v>
      </c>
      <c r="C24" s="49"/>
      <c r="D24" s="49"/>
      <c r="E24" s="49"/>
      <c r="F24" s="135" t="s">
        <v>131</v>
      </c>
      <c r="G24" s="49"/>
      <c r="H24" s="49"/>
      <c r="I24" s="274"/>
      <c r="J24" s="800"/>
    </row>
    <row r="25" spans="1:10" ht="12.95" customHeight="1">
      <c r="A25" s="129" t="s">
        <v>25</v>
      </c>
      <c r="B25" s="135" t="s">
        <v>850</v>
      </c>
      <c r="C25" s="137">
        <f>C26+C27+C28</f>
        <v>0</v>
      </c>
      <c r="D25" s="137">
        <f>D26+D27+D28</f>
        <v>1309301</v>
      </c>
      <c r="E25" s="137">
        <f>E26+E27+E28</f>
        <v>2400550</v>
      </c>
      <c r="F25" s="128" t="s">
        <v>363</v>
      </c>
      <c r="G25" s="49"/>
      <c r="H25" s="49"/>
      <c r="I25" s="274"/>
      <c r="J25" s="800"/>
    </row>
    <row r="26" spans="1:10" ht="12.95" customHeight="1">
      <c r="A26" s="165" t="s">
        <v>26</v>
      </c>
      <c r="B26" s="134" t="s">
        <v>156</v>
      </c>
      <c r="C26" s="123"/>
      <c r="D26" s="123"/>
      <c r="E26" s="123"/>
      <c r="F26" s="130" t="s">
        <v>369</v>
      </c>
      <c r="G26" s="123"/>
      <c r="H26" s="123"/>
      <c r="I26" s="273"/>
      <c r="J26" s="800"/>
    </row>
    <row r="27" spans="1:10" ht="12.95" customHeight="1">
      <c r="A27" s="129" t="s">
        <v>27</v>
      </c>
      <c r="B27" s="135" t="s">
        <v>229</v>
      </c>
      <c r="C27" s="49"/>
      <c r="D27" s="49">
        <v>1309301</v>
      </c>
      <c r="E27" s="49">
        <v>2400550</v>
      </c>
      <c r="F27" s="130" t="s">
        <v>370</v>
      </c>
      <c r="G27" s="49"/>
      <c r="H27" s="49"/>
      <c r="I27" s="274"/>
      <c r="J27" s="800"/>
    </row>
    <row r="28" spans="1:10" ht="12.95" customHeight="1" thickBot="1">
      <c r="A28" s="165" t="s">
        <v>28</v>
      </c>
      <c r="B28" s="134" t="s">
        <v>241</v>
      </c>
      <c r="C28" s="123"/>
      <c r="D28" s="123"/>
      <c r="E28" s="123"/>
      <c r="F28" s="196"/>
      <c r="G28" s="123"/>
      <c r="H28" s="123"/>
      <c r="I28" s="273"/>
      <c r="J28" s="800"/>
    </row>
    <row r="29" spans="1:10" ht="24" customHeight="1" thickBot="1">
      <c r="A29" s="132" t="s">
        <v>29</v>
      </c>
      <c r="B29" s="60" t="s">
        <v>853</v>
      </c>
      <c r="C29" s="122">
        <f>+C19+C25</f>
        <v>0</v>
      </c>
      <c r="D29" s="122">
        <f>+D19+D25</f>
        <v>1309301</v>
      </c>
      <c r="E29" s="268">
        <f>+E19+E25</f>
        <v>2400550</v>
      </c>
      <c r="F29" s="60" t="s">
        <v>852</v>
      </c>
      <c r="G29" s="122">
        <f>SUM(G19:G28)</f>
        <v>0</v>
      </c>
      <c r="H29" s="122">
        <f>SUM(H19:H28)</f>
        <v>0</v>
      </c>
      <c r="I29" s="150">
        <f>SUM(I19:I28)</f>
        <v>0</v>
      </c>
      <c r="J29" s="800"/>
    </row>
    <row r="30" spans="1:10" ht="13.5" thickBot="1">
      <c r="A30" s="132" t="s">
        <v>30</v>
      </c>
      <c r="B30" s="138" t="s">
        <v>381</v>
      </c>
      <c r="C30" s="310">
        <f>+C18+C29</f>
        <v>82518989</v>
      </c>
      <c r="D30" s="310">
        <f>+D18+D29</f>
        <v>101204795</v>
      </c>
      <c r="E30" s="311">
        <f>+E18+E29</f>
        <v>115220848</v>
      </c>
      <c r="F30" s="138"/>
      <c r="G30" s="310">
        <f>+G18+G29</f>
        <v>102747481</v>
      </c>
      <c r="H30" s="310">
        <f>+H18+H29</f>
        <v>115482903</v>
      </c>
      <c r="I30" s="311">
        <f>+I18+I29</f>
        <v>94990592</v>
      </c>
      <c r="J30" s="800"/>
    </row>
    <row r="31" spans="1:10" ht="13.5" thickBot="1">
      <c r="A31" s="132" t="s">
        <v>31</v>
      </c>
      <c r="B31" s="138" t="s">
        <v>108</v>
      </c>
      <c r="C31" s="310">
        <f>IF(C18-G18&lt;0,G18-C18,"-")</f>
        <v>20228492</v>
      </c>
      <c r="D31" s="310">
        <f>IF(D18-H18&lt;0,H18-D18,"-")</f>
        <v>15587409</v>
      </c>
      <c r="E31" s="311" t="str">
        <f>IF(E18-I18&lt;0,I18-E18,"-")</f>
        <v>-</v>
      </c>
      <c r="F31" s="138" t="s">
        <v>109</v>
      </c>
      <c r="G31" s="310" t="str">
        <f>IF(C18-G18&gt;0,C18-G18,"-")</f>
        <v>-</v>
      </c>
      <c r="H31" s="310" t="str">
        <f>IF(D18-H18&gt;0,D18-H18,"-")</f>
        <v>-</v>
      </c>
      <c r="I31" s="311">
        <f>IF(E18-I18&gt;0,E18-I18,"-")</f>
        <v>17829706</v>
      </c>
      <c r="J31" s="800"/>
    </row>
    <row r="32" spans="1:10" ht="13.5" thickBot="1">
      <c r="A32" s="132" t="s">
        <v>32</v>
      </c>
      <c r="B32" s="138" t="s">
        <v>485</v>
      </c>
      <c r="C32" s="310">
        <f>IF(C30-G30&lt;0,G30-C30,"-")</f>
        <v>20228492</v>
      </c>
      <c r="D32" s="310">
        <f>IF(D30-H30&lt;0,H30-D30,"-")</f>
        <v>14278108</v>
      </c>
      <c r="E32" s="310" t="str">
        <f>IF(E30-I30&lt;0,I30-E30,"-")</f>
        <v>-</v>
      </c>
      <c r="F32" s="138" t="s">
        <v>486</v>
      </c>
      <c r="G32" s="310" t="str">
        <f>IF(C30-G30&gt;0,C30-G30,"-")</f>
        <v>-</v>
      </c>
      <c r="H32" s="310" t="str">
        <f>IF(D30-H30&gt;0,D30-H30,"-")</f>
        <v>-</v>
      </c>
      <c r="I32" s="310">
        <f>IF(E30-I30&gt;0,E30-I30,"-")</f>
        <v>20230256</v>
      </c>
      <c r="J32" s="800"/>
    </row>
    <row r="33" spans="2:10" ht="18.75">
      <c r="B33" s="799"/>
      <c r="C33" s="799"/>
      <c r="D33" s="799"/>
      <c r="E33" s="799"/>
      <c r="F33" s="799"/>
      <c r="J33" s="800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>
    <tabColor rgb="FF92D050"/>
  </sheetPr>
  <dimension ref="A1:E76"/>
  <sheetViews>
    <sheetView topLeftCell="A28" zoomScale="120" zoomScaleNormal="120" zoomScaleSheetLayoutView="120" workbookViewId="0">
      <selection activeCell="C28" sqref="C28"/>
    </sheetView>
  </sheetViews>
  <sheetFormatPr defaultColWidth="12" defaultRowHeight="15.75"/>
  <cols>
    <col min="1" max="1" width="67.1640625" style="500" customWidth="1"/>
    <col min="2" max="2" width="6.1640625" style="501" customWidth="1"/>
    <col min="3" max="4" width="12.1640625" style="500" customWidth="1"/>
    <col min="5" max="5" width="12.1640625" style="527" customWidth="1"/>
    <col min="6" max="16384" width="12" style="500"/>
  </cols>
  <sheetData>
    <row r="1" spans="1:5">
      <c r="A1" s="951" t="str">
        <f>CONCATENATE("7.1. tájékoztató tábla ",Z_ALAPADATOK!A7," ",Z_ALAPADATOK!B7," ",Z_ALAPADATOK!C7," ",Z_ALAPADATOK!D7," ",Z_ALAPADATOK!E7," ",Z_ALAPADATOK!F7," ",Z_ALAPADATOK!G7," ",Z_ALAPADATOK!H7)</f>
        <v>7.1. tájékoztató tábla a … / 2021. ( … ) önkormányzati rendelethez</v>
      </c>
      <c r="B1" s="779"/>
      <c r="C1" s="779"/>
      <c r="D1" s="779"/>
      <c r="E1" s="779"/>
    </row>
    <row r="2" spans="1:5">
      <c r="A2" s="952" t="s">
        <v>776</v>
      </c>
      <c r="B2" s="953"/>
      <c r="C2" s="953"/>
      <c r="D2" s="953"/>
      <c r="E2" s="953"/>
    </row>
    <row r="3" spans="1:5" ht="16.5" customHeight="1">
      <c r="A3" s="952" t="s">
        <v>777</v>
      </c>
      <c r="B3" s="953"/>
      <c r="C3" s="953"/>
      <c r="D3" s="953"/>
      <c r="E3" s="953"/>
    </row>
    <row r="4" spans="1:5" ht="16.5" customHeight="1">
      <c r="A4" s="954" t="str">
        <f>CONCATENATE(Z_ALAPADATOK!B1,". év")</f>
        <v>2020. év</v>
      </c>
      <c r="B4" s="955"/>
      <c r="C4" s="955"/>
      <c r="D4" s="955"/>
      <c r="E4" s="955"/>
    </row>
    <row r="5" spans="1:5" ht="16.5" customHeight="1" thickBot="1">
      <c r="A5" s="630"/>
      <c r="B5" s="631"/>
      <c r="C5" s="956" t="str">
        <f>Z_6.tájékoztató_t.!E6</f>
        <v xml:space="preserve"> Forintban!</v>
      </c>
      <c r="D5" s="956"/>
      <c r="E5" s="956"/>
    </row>
    <row r="6" spans="1:5" ht="15.75" customHeight="1">
      <c r="A6" s="938" t="s">
        <v>608</v>
      </c>
      <c r="B6" s="941" t="s">
        <v>609</v>
      </c>
      <c r="C6" s="944" t="s">
        <v>610</v>
      </c>
      <c r="D6" s="944" t="s">
        <v>611</v>
      </c>
      <c r="E6" s="946" t="s">
        <v>612</v>
      </c>
    </row>
    <row r="7" spans="1:5" ht="11.25" customHeight="1">
      <c r="A7" s="939"/>
      <c r="B7" s="942"/>
      <c r="C7" s="945"/>
      <c r="D7" s="945"/>
      <c r="E7" s="947"/>
    </row>
    <row r="8" spans="1:5">
      <c r="A8" s="940"/>
      <c r="B8" s="943"/>
      <c r="C8" s="948" t="s">
        <v>613</v>
      </c>
      <c r="D8" s="948"/>
      <c r="E8" s="949"/>
    </row>
    <row r="9" spans="1:5" s="502" customFormat="1" ht="16.5" thickBot="1">
      <c r="A9" s="632" t="s">
        <v>614</v>
      </c>
      <c r="B9" s="633" t="s">
        <v>383</v>
      </c>
      <c r="C9" s="633" t="s">
        <v>384</v>
      </c>
      <c r="D9" s="633" t="s">
        <v>386</v>
      </c>
      <c r="E9" s="634" t="s">
        <v>385</v>
      </c>
    </row>
    <row r="10" spans="1:5" s="507" customFormat="1">
      <c r="A10" s="503" t="s">
        <v>615</v>
      </c>
      <c r="B10" s="504" t="s">
        <v>616</v>
      </c>
      <c r="C10" s="505">
        <v>249723</v>
      </c>
      <c r="D10" s="505"/>
      <c r="E10" s="506"/>
    </row>
    <row r="11" spans="1:5" s="507" customFormat="1">
      <c r="A11" s="508" t="s">
        <v>617</v>
      </c>
      <c r="B11" s="509" t="s">
        <v>618</v>
      </c>
      <c r="C11" s="510">
        <v>985083111</v>
      </c>
      <c r="D11" s="510">
        <f>+D12+D17+D22+D27+D32</f>
        <v>0</v>
      </c>
      <c r="E11" s="511">
        <f>+E12+E17+E22+E27+E32</f>
        <v>0</v>
      </c>
    </row>
    <row r="12" spans="1:5" s="507" customFormat="1">
      <c r="A12" s="508" t="s">
        <v>619</v>
      </c>
      <c r="B12" s="509" t="s">
        <v>620</v>
      </c>
      <c r="C12" s="510">
        <v>952042525</v>
      </c>
      <c r="D12" s="510">
        <f>+D13+D14+D15+D16</f>
        <v>0</v>
      </c>
      <c r="E12" s="511">
        <f>+E13+E14+E15+E16</f>
        <v>0</v>
      </c>
    </row>
    <row r="13" spans="1:5" s="507" customFormat="1">
      <c r="A13" s="512" t="s">
        <v>621</v>
      </c>
      <c r="B13" s="509" t="s">
        <v>622</v>
      </c>
      <c r="C13" s="513">
        <v>764455109</v>
      </c>
      <c r="D13" s="513"/>
      <c r="E13" s="514"/>
    </row>
    <row r="14" spans="1:5" s="507" customFormat="1" ht="26.45" customHeight="1">
      <c r="A14" s="512" t="s">
        <v>623</v>
      </c>
      <c r="B14" s="509" t="s">
        <v>624</v>
      </c>
      <c r="C14" s="515">
        <v>-4000000</v>
      </c>
      <c r="D14" s="515"/>
      <c r="E14" s="516"/>
    </row>
    <row r="15" spans="1:5" s="507" customFormat="1" ht="22.5">
      <c r="A15" s="512" t="s">
        <v>625</v>
      </c>
      <c r="B15" s="509" t="s">
        <v>626</v>
      </c>
      <c r="C15" s="515">
        <v>176214578</v>
      </c>
      <c r="D15" s="515"/>
      <c r="E15" s="516"/>
    </row>
    <row r="16" spans="1:5" s="507" customFormat="1">
      <c r="A16" s="512" t="s">
        <v>627</v>
      </c>
      <c r="B16" s="509" t="s">
        <v>628</v>
      </c>
      <c r="C16" s="515"/>
      <c r="D16" s="515"/>
      <c r="E16" s="516"/>
    </row>
    <row r="17" spans="1:5" s="507" customFormat="1">
      <c r="A17" s="508" t="s">
        <v>629</v>
      </c>
      <c r="B17" s="509" t="s">
        <v>630</v>
      </c>
      <c r="C17" s="517">
        <v>25207068</v>
      </c>
      <c r="D17" s="517">
        <f>+D18+D19+D20+D21</f>
        <v>0</v>
      </c>
      <c r="E17" s="518">
        <f>+E18+E19+E20+E21</f>
        <v>0</v>
      </c>
    </row>
    <row r="18" spans="1:5" s="507" customFormat="1">
      <c r="A18" s="512" t="s">
        <v>631</v>
      </c>
      <c r="B18" s="509" t="s">
        <v>632</v>
      </c>
      <c r="C18" s="515"/>
      <c r="D18" s="515"/>
      <c r="E18" s="516"/>
    </row>
    <row r="19" spans="1:5" s="507" customFormat="1" ht="22.5">
      <c r="A19" s="512" t="s">
        <v>633</v>
      </c>
      <c r="B19" s="509" t="s">
        <v>15</v>
      </c>
      <c r="C19" s="515"/>
      <c r="D19" s="515"/>
      <c r="E19" s="516"/>
    </row>
    <row r="20" spans="1:5" s="507" customFormat="1">
      <c r="A20" s="512" t="s">
        <v>634</v>
      </c>
      <c r="B20" s="509" t="s">
        <v>16</v>
      </c>
      <c r="C20" s="515"/>
      <c r="D20" s="515"/>
      <c r="E20" s="516"/>
    </row>
    <row r="21" spans="1:5" s="507" customFormat="1">
      <c r="A21" s="512" t="s">
        <v>635</v>
      </c>
      <c r="B21" s="509" t="s">
        <v>17</v>
      </c>
      <c r="C21" s="515"/>
      <c r="D21" s="515"/>
      <c r="E21" s="516"/>
    </row>
    <row r="22" spans="1:5" s="507" customFormat="1">
      <c r="A22" s="508" t="s">
        <v>636</v>
      </c>
      <c r="B22" s="509" t="s">
        <v>18</v>
      </c>
      <c r="C22" s="517">
        <f>+C23+C24+C25+C26</f>
        <v>0</v>
      </c>
      <c r="D22" s="517">
        <f>+D23+D24+D25+D26</f>
        <v>0</v>
      </c>
      <c r="E22" s="518">
        <f>+E23+E24+E25+E26</f>
        <v>0</v>
      </c>
    </row>
    <row r="23" spans="1:5" s="507" customFormat="1">
      <c r="A23" s="512" t="s">
        <v>637</v>
      </c>
      <c r="B23" s="509" t="s">
        <v>19</v>
      </c>
      <c r="C23" s="515"/>
      <c r="D23" s="515"/>
      <c r="E23" s="516"/>
    </row>
    <row r="24" spans="1:5" s="507" customFormat="1">
      <c r="A24" s="512" t="s">
        <v>638</v>
      </c>
      <c r="B24" s="509" t="s">
        <v>20</v>
      </c>
      <c r="C24" s="515"/>
      <c r="D24" s="515"/>
      <c r="E24" s="516"/>
    </row>
    <row r="25" spans="1:5" s="507" customFormat="1">
      <c r="A25" s="512" t="s">
        <v>639</v>
      </c>
      <c r="B25" s="509" t="s">
        <v>21</v>
      </c>
      <c r="C25" s="515"/>
      <c r="D25" s="515"/>
      <c r="E25" s="516"/>
    </row>
    <row r="26" spans="1:5" s="507" customFormat="1">
      <c r="A26" s="512" t="s">
        <v>640</v>
      </c>
      <c r="B26" s="509" t="s">
        <v>22</v>
      </c>
      <c r="C26" s="515"/>
      <c r="D26" s="515"/>
      <c r="E26" s="516"/>
    </row>
    <row r="27" spans="1:5" s="507" customFormat="1">
      <c r="A27" s="508" t="s">
        <v>641</v>
      </c>
      <c r="B27" s="509" t="s">
        <v>23</v>
      </c>
      <c r="C27" s="517">
        <v>7833518</v>
      </c>
      <c r="D27" s="517">
        <f>+D28+D29+D30+D31</f>
        <v>0</v>
      </c>
      <c r="E27" s="518">
        <f>+E28+E29+E30+E31</f>
        <v>0</v>
      </c>
    </row>
    <row r="28" spans="1:5" s="507" customFormat="1">
      <c r="A28" s="512" t="s">
        <v>642</v>
      </c>
      <c r="B28" s="509" t="s">
        <v>24</v>
      </c>
      <c r="C28" s="515"/>
      <c r="D28" s="515"/>
      <c r="E28" s="516"/>
    </row>
    <row r="29" spans="1:5" s="507" customFormat="1">
      <c r="A29" s="512" t="s">
        <v>643</v>
      </c>
      <c r="B29" s="509" t="s">
        <v>25</v>
      </c>
      <c r="C29" s="515"/>
      <c r="D29" s="515"/>
      <c r="E29" s="516"/>
    </row>
    <row r="30" spans="1:5" s="507" customFormat="1">
      <c r="A30" s="512" t="s">
        <v>644</v>
      </c>
      <c r="B30" s="509" t="s">
        <v>26</v>
      </c>
      <c r="C30" s="515"/>
      <c r="D30" s="515"/>
      <c r="E30" s="516"/>
    </row>
    <row r="31" spans="1:5" s="507" customFormat="1">
      <c r="A31" s="512" t="s">
        <v>645</v>
      </c>
      <c r="B31" s="509" t="s">
        <v>27</v>
      </c>
      <c r="C31" s="515"/>
      <c r="D31" s="515"/>
      <c r="E31" s="516"/>
    </row>
    <row r="32" spans="1:5" s="507" customFormat="1">
      <c r="A32" s="508" t="s">
        <v>646</v>
      </c>
      <c r="B32" s="509" t="s">
        <v>28</v>
      </c>
      <c r="C32" s="517">
        <f>+C33+C34+C35+C36</f>
        <v>0</v>
      </c>
      <c r="D32" s="517">
        <f>+D33+D34+D35+D36</f>
        <v>0</v>
      </c>
      <c r="E32" s="518">
        <f>+E33+E34+E35+E36</f>
        <v>0</v>
      </c>
    </row>
    <row r="33" spans="1:5" s="507" customFormat="1">
      <c r="A33" s="512" t="s">
        <v>647</v>
      </c>
      <c r="B33" s="509" t="s">
        <v>29</v>
      </c>
      <c r="C33" s="515"/>
      <c r="D33" s="515"/>
      <c r="E33" s="516"/>
    </row>
    <row r="34" spans="1:5" s="507" customFormat="1" ht="22.5">
      <c r="A34" s="512" t="s">
        <v>648</v>
      </c>
      <c r="B34" s="509" t="s">
        <v>30</v>
      </c>
      <c r="C34" s="515"/>
      <c r="D34" s="515"/>
      <c r="E34" s="516"/>
    </row>
    <row r="35" spans="1:5" s="507" customFormat="1">
      <c r="A35" s="512" t="s">
        <v>649</v>
      </c>
      <c r="B35" s="509" t="s">
        <v>31</v>
      </c>
      <c r="C35" s="515"/>
      <c r="D35" s="515"/>
      <c r="E35" s="516"/>
    </row>
    <row r="36" spans="1:5" s="507" customFormat="1">
      <c r="A36" s="512" t="s">
        <v>650</v>
      </c>
      <c r="B36" s="509" t="s">
        <v>32</v>
      </c>
      <c r="C36" s="515"/>
      <c r="D36" s="515"/>
      <c r="E36" s="516"/>
    </row>
    <row r="37" spans="1:5" s="507" customFormat="1">
      <c r="A37" s="508" t="s">
        <v>651</v>
      </c>
      <c r="B37" s="509" t="s">
        <v>33</v>
      </c>
      <c r="C37" s="517">
        <v>270000</v>
      </c>
      <c r="D37" s="517">
        <f>+D38+D43+D48</f>
        <v>0</v>
      </c>
      <c r="E37" s="518">
        <f>+E38+E43+E48</f>
        <v>0</v>
      </c>
    </row>
    <row r="38" spans="1:5" s="507" customFormat="1">
      <c r="A38" s="508" t="s">
        <v>652</v>
      </c>
      <c r="B38" s="509" t="s">
        <v>603</v>
      </c>
      <c r="C38" s="517">
        <f>+C39+C40+C41+C42</f>
        <v>0</v>
      </c>
      <c r="D38" s="517">
        <f>+D39+D40+D41+D42</f>
        <v>0</v>
      </c>
      <c r="E38" s="518">
        <f>+E39+E40+E41+E42</f>
        <v>0</v>
      </c>
    </row>
    <row r="39" spans="1:5" s="507" customFormat="1">
      <c r="A39" s="512" t="s">
        <v>653</v>
      </c>
      <c r="B39" s="509" t="s">
        <v>604</v>
      </c>
      <c r="C39" s="515"/>
      <c r="D39" s="515"/>
      <c r="E39" s="516"/>
    </row>
    <row r="40" spans="1:5" s="507" customFormat="1">
      <c r="A40" s="512" t="s">
        <v>654</v>
      </c>
      <c r="B40" s="509" t="s">
        <v>605</v>
      </c>
      <c r="C40" s="515"/>
      <c r="D40" s="515"/>
      <c r="E40" s="516"/>
    </row>
    <row r="41" spans="1:5" s="507" customFormat="1">
      <c r="A41" s="512" t="s">
        <v>655</v>
      </c>
      <c r="B41" s="509" t="s">
        <v>606</v>
      </c>
      <c r="C41" s="515"/>
      <c r="D41" s="515"/>
      <c r="E41" s="516"/>
    </row>
    <row r="42" spans="1:5" s="507" customFormat="1">
      <c r="A42" s="512" t="s">
        <v>656</v>
      </c>
      <c r="B42" s="509" t="s">
        <v>607</v>
      </c>
      <c r="C42" s="515"/>
      <c r="D42" s="515"/>
      <c r="E42" s="516"/>
    </row>
    <row r="43" spans="1:5" s="507" customFormat="1">
      <c r="A43" s="508" t="s">
        <v>657</v>
      </c>
      <c r="B43" s="509" t="s">
        <v>658</v>
      </c>
      <c r="C43" s="517">
        <f>+C44+C45+C46+C47</f>
        <v>0</v>
      </c>
      <c r="D43" s="517">
        <f>+D44+D45+D46+D47</f>
        <v>0</v>
      </c>
      <c r="E43" s="518">
        <f>+E44+E45+E46+E47</f>
        <v>0</v>
      </c>
    </row>
    <row r="44" spans="1:5" s="507" customFormat="1">
      <c r="A44" s="512" t="s">
        <v>659</v>
      </c>
      <c r="B44" s="509" t="s">
        <v>660</v>
      </c>
      <c r="C44" s="515"/>
      <c r="D44" s="515"/>
      <c r="E44" s="516"/>
    </row>
    <row r="45" spans="1:5" s="507" customFormat="1" ht="22.5">
      <c r="A45" s="512" t="s">
        <v>661</v>
      </c>
      <c r="B45" s="509" t="s">
        <v>662</v>
      </c>
      <c r="C45" s="515"/>
      <c r="D45" s="515"/>
      <c r="E45" s="516"/>
    </row>
    <row r="46" spans="1:5" s="507" customFormat="1">
      <c r="A46" s="512" t="s">
        <v>663</v>
      </c>
      <c r="B46" s="509" t="s">
        <v>664</v>
      </c>
      <c r="C46" s="515"/>
      <c r="D46" s="515"/>
      <c r="E46" s="516"/>
    </row>
    <row r="47" spans="1:5" s="507" customFormat="1">
      <c r="A47" s="512" t="s">
        <v>665</v>
      </c>
      <c r="B47" s="509" t="s">
        <v>666</v>
      </c>
      <c r="C47" s="515"/>
      <c r="D47" s="515"/>
      <c r="E47" s="516"/>
    </row>
    <row r="48" spans="1:5" s="507" customFormat="1">
      <c r="A48" s="508" t="s">
        <v>667</v>
      </c>
      <c r="B48" s="509" t="s">
        <v>668</v>
      </c>
      <c r="C48" s="517">
        <f>+C49+C50+C51+C52</f>
        <v>0</v>
      </c>
      <c r="D48" s="517">
        <f>+D49+D50+D51+D52</f>
        <v>0</v>
      </c>
      <c r="E48" s="518">
        <f>+E49+E50+E51+E52</f>
        <v>0</v>
      </c>
    </row>
    <row r="49" spans="1:5" s="507" customFormat="1">
      <c r="A49" s="512" t="s">
        <v>669</v>
      </c>
      <c r="B49" s="509" t="s">
        <v>670</v>
      </c>
      <c r="C49" s="515"/>
      <c r="D49" s="515"/>
      <c r="E49" s="516"/>
    </row>
    <row r="50" spans="1:5" s="507" customFormat="1" ht="22.5">
      <c r="A50" s="512" t="s">
        <v>671</v>
      </c>
      <c r="B50" s="509" t="s">
        <v>672</v>
      </c>
      <c r="C50" s="515"/>
      <c r="D50" s="515"/>
      <c r="E50" s="516"/>
    </row>
    <row r="51" spans="1:5" s="507" customFormat="1">
      <c r="A51" s="512" t="s">
        <v>673</v>
      </c>
      <c r="B51" s="509" t="s">
        <v>674</v>
      </c>
      <c r="C51" s="515"/>
      <c r="D51" s="515"/>
      <c r="E51" s="516"/>
    </row>
    <row r="52" spans="1:5" s="507" customFormat="1">
      <c r="A52" s="512" t="s">
        <v>675</v>
      </c>
      <c r="B52" s="509" t="s">
        <v>676</v>
      </c>
      <c r="C52" s="515"/>
      <c r="D52" s="515"/>
      <c r="E52" s="516"/>
    </row>
    <row r="53" spans="1:5" s="507" customFormat="1">
      <c r="A53" s="508" t="s">
        <v>677</v>
      </c>
      <c r="B53" s="509" t="s">
        <v>678</v>
      </c>
      <c r="C53" s="515"/>
      <c r="D53" s="515"/>
      <c r="E53" s="516"/>
    </row>
    <row r="54" spans="1:5" s="507" customFormat="1" ht="21">
      <c r="A54" s="508" t="s">
        <v>679</v>
      </c>
      <c r="B54" s="509" t="s">
        <v>680</v>
      </c>
      <c r="C54" s="517">
        <f>+C10+C11+C37+C53</f>
        <v>985602834</v>
      </c>
      <c r="D54" s="517">
        <f>+D10+D11+D37+D53</f>
        <v>0</v>
      </c>
      <c r="E54" s="518">
        <f>+E10+E11+E37+E53</f>
        <v>0</v>
      </c>
    </row>
    <row r="55" spans="1:5" s="507" customFormat="1">
      <c r="A55" s="508" t="s">
        <v>681</v>
      </c>
      <c r="B55" s="509" t="s">
        <v>682</v>
      </c>
      <c r="C55" s="515"/>
      <c r="D55" s="515"/>
      <c r="E55" s="516"/>
    </row>
    <row r="56" spans="1:5" s="507" customFormat="1">
      <c r="A56" s="508" t="s">
        <v>683</v>
      </c>
      <c r="B56" s="509" t="s">
        <v>684</v>
      </c>
      <c r="C56" s="515"/>
      <c r="D56" s="515"/>
      <c r="E56" s="516"/>
    </row>
    <row r="57" spans="1:5" s="507" customFormat="1">
      <c r="A57" s="508" t="s">
        <v>685</v>
      </c>
      <c r="B57" s="509" t="s">
        <v>686</v>
      </c>
      <c r="C57" s="517">
        <v>534191</v>
      </c>
      <c r="D57" s="517">
        <f>+D55+D56</f>
        <v>0</v>
      </c>
      <c r="E57" s="518">
        <f>+E55+E56</f>
        <v>0</v>
      </c>
    </row>
    <row r="58" spans="1:5" s="507" customFormat="1">
      <c r="A58" s="508" t="s">
        <v>687</v>
      </c>
      <c r="B58" s="509" t="s">
        <v>688</v>
      </c>
      <c r="C58" s="515"/>
      <c r="D58" s="515"/>
      <c r="E58" s="516"/>
    </row>
    <row r="59" spans="1:5" s="507" customFormat="1">
      <c r="A59" s="508" t="s">
        <v>689</v>
      </c>
      <c r="B59" s="509" t="s">
        <v>690</v>
      </c>
      <c r="C59" s="515"/>
      <c r="D59" s="515"/>
      <c r="E59" s="516"/>
    </row>
    <row r="60" spans="1:5" s="507" customFormat="1">
      <c r="A60" s="508" t="s">
        <v>691</v>
      </c>
      <c r="B60" s="509" t="s">
        <v>692</v>
      </c>
      <c r="C60" s="515">
        <v>117788487</v>
      </c>
      <c r="D60" s="515"/>
      <c r="E60" s="516"/>
    </row>
    <row r="61" spans="1:5" s="507" customFormat="1">
      <c r="A61" s="508" t="s">
        <v>693</v>
      </c>
      <c r="B61" s="509" t="s">
        <v>694</v>
      </c>
      <c r="C61" s="515"/>
      <c r="D61" s="515"/>
      <c r="E61" s="516"/>
    </row>
    <row r="62" spans="1:5" s="507" customFormat="1">
      <c r="A62" s="508" t="s">
        <v>695</v>
      </c>
      <c r="B62" s="509" t="s">
        <v>696</v>
      </c>
      <c r="C62" s="517">
        <f>+C58+C59+C60+C61</f>
        <v>117788487</v>
      </c>
      <c r="D62" s="517">
        <f>+D58+D59+D60+D61</f>
        <v>0</v>
      </c>
      <c r="E62" s="518">
        <f>+E58+E59+E60+E61</f>
        <v>0</v>
      </c>
    </row>
    <row r="63" spans="1:5" s="507" customFormat="1">
      <c r="A63" s="508" t="s">
        <v>697</v>
      </c>
      <c r="B63" s="509" t="s">
        <v>698</v>
      </c>
      <c r="C63" s="515">
        <v>7824751</v>
      </c>
      <c r="D63" s="515"/>
      <c r="E63" s="516"/>
    </row>
    <row r="64" spans="1:5" s="507" customFormat="1">
      <c r="A64" s="508" t="s">
        <v>699</v>
      </c>
      <c r="B64" s="509" t="s">
        <v>700</v>
      </c>
      <c r="C64" s="515"/>
      <c r="D64" s="515"/>
      <c r="E64" s="516"/>
    </row>
    <row r="65" spans="1:5" s="507" customFormat="1">
      <c r="A65" s="508" t="s">
        <v>701</v>
      </c>
      <c r="B65" s="509" t="s">
        <v>702</v>
      </c>
      <c r="C65" s="515">
        <v>234567</v>
      </c>
      <c r="D65" s="515"/>
      <c r="E65" s="516"/>
    </row>
    <row r="66" spans="1:5" s="507" customFormat="1">
      <c r="A66" s="508" t="s">
        <v>703</v>
      </c>
      <c r="B66" s="509" t="s">
        <v>704</v>
      </c>
      <c r="C66" s="517">
        <f>+C63+C64+C65</f>
        <v>8059318</v>
      </c>
      <c r="D66" s="517">
        <f>+D63+D64+D65</f>
        <v>0</v>
      </c>
      <c r="E66" s="518">
        <f>+E63+E64+E65</f>
        <v>0</v>
      </c>
    </row>
    <row r="67" spans="1:5" s="507" customFormat="1">
      <c r="A67" s="508" t="s">
        <v>705</v>
      </c>
      <c r="B67" s="509" t="s">
        <v>706</v>
      </c>
      <c r="C67" s="515"/>
      <c r="D67" s="515"/>
      <c r="E67" s="516"/>
    </row>
    <row r="68" spans="1:5" s="507" customFormat="1" ht="21">
      <c r="A68" s="508" t="s">
        <v>707</v>
      </c>
      <c r="B68" s="509" t="s">
        <v>708</v>
      </c>
      <c r="C68" s="515"/>
      <c r="D68" s="515"/>
      <c r="E68" s="516"/>
    </row>
    <row r="69" spans="1:5" s="507" customFormat="1">
      <c r="A69" s="508" t="s">
        <v>774</v>
      </c>
      <c r="B69" s="509" t="s">
        <v>709</v>
      </c>
      <c r="C69" s="517">
        <f>+C67+C68</f>
        <v>0</v>
      </c>
      <c r="D69" s="517">
        <f>+D67+D68</f>
        <v>0</v>
      </c>
      <c r="E69" s="518">
        <f>+E67+E68</f>
        <v>0</v>
      </c>
    </row>
    <row r="70" spans="1:5" s="507" customFormat="1">
      <c r="A70" s="508" t="s">
        <v>710</v>
      </c>
      <c r="B70" s="509" t="s">
        <v>711</v>
      </c>
      <c r="C70" s="515"/>
      <c r="D70" s="515"/>
      <c r="E70" s="516"/>
    </row>
    <row r="71" spans="1:5" s="507" customFormat="1" ht="16.5" thickBot="1">
      <c r="A71" s="519" t="s">
        <v>712</v>
      </c>
      <c r="B71" s="520" t="s">
        <v>713</v>
      </c>
      <c r="C71" s="521">
        <f>+C54+C57+C62+C66+C69+C70</f>
        <v>1111984830</v>
      </c>
      <c r="D71" s="521">
        <f>+D54+D57+D62+D66+D69+D70</f>
        <v>0</v>
      </c>
      <c r="E71" s="522">
        <f>+E54+E57+E62+E66+E69+E70</f>
        <v>0</v>
      </c>
    </row>
    <row r="72" spans="1:5">
      <c r="A72" s="523"/>
      <c r="C72" s="524"/>
      <c r="D72" s="524"/>
      <c r="E72" s="525"/>
    </row>
    <row r="73" spans="1:5">
      <c r="A73" s="523"/>
      <c r="C73" s="524"/>
      <c r="D73" s="524"/>
      <c r="E73" s="525"/>
    </row>
    <row r="74" spans="1:5">
      <c r="A74" s="526"/>
      <c r="C74" s="524"/>
      <c r="D74" s="524"/>
      <c r="E74" s="525"/>
    </row>
    <row r="75" spans="1:5">
      <c r="A75" s="950"/>
      <c r="B75" s="950"/>
      <c r="C75" s="950"/>
      <c r="D75" s="950"/>
      <c r="E75" s="950"/>
    </row>
    <row r="76" spans="1:5">
      <c r="A76" s="950"/>
      <c r="B76" s="950"/>
      <c r="C76" s="950"/>
      <c r="D76" s="950"/>
      <c r="E76" s="950"/>
    </row>
  </sheetData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>
  <sheetPr>
    <tabColor rgb="FF92D050"/>
  </sheetPr>
  <dimension ref="A1:E28"/>
  <sheetViews>
    <sheetView topLeftCell="A7" zoomScale="120" zoomScaleNormal="120" workbookViewId="0">
      <selection activeCell="C10" sqref="C10"/>
    </sheetView>
  </sheetViews>
  <sheetFormatPr defaultRowHeight="12.75"/>
  <cols>
    <col min="1" max="1" width="71.1640625" style="529" customWidth="1"/>
    <col min="2" max="2" width="6.1640625" style="541" customWidth="1"/>
    <col min="3" max="3" width="18" style="528" customWidth="1"/>
    <col min="4" max="16384" width="9.33203125" style="528"/>
  </cols>
  <sheetData>
    <row r="1" spans="1:3" ht="16.5" customHeight="1">
      <c r="A1" s="958" t="str">
        <f>CONCATENATE("7.2. tájékoztató tábla ",Z_ALAPADATOK!A7," ",Z_ALAPADATOK!B7," ",Z_ALAPADATOK!C7," ",Z_ALAPADATOK!D7," ",Z_ALAPADATOK!E7," ",Z_ALAPADATOK!F7," ",Z_ALAPADATOK!G7," ",Z_ALAPADATOK!H7)</f>
        <v>7.2. tájékoztató tábla a … / 2021. ( … ) önkormányzati rendelethez</v>
      </c>
      <c r="B1" s="959"/>
      <c r="C1" s="959"/>
    </row>
    <row r="2" spans="1:3" ht="16.5" customHeight="1">
      <c r="A2" s="635"/>
      <c r="B2" s="636"/>
      <c r="C2" s="637"/>
    </row>
    <row r="3" spans="1:3" ht="16.5" customHeight="1">
      <c r="A3" s="962" t="s">
        <v>776</v>
      </c>
      <c r="B3" s="962"/>
      <c r="C3" s="962"/>
    </row>
    <row r="4" spans="1:3" ht="16.5" customHeight="1">
      <c r="A4" s="960" t="s">
        <v>820</v>
      </c>
      <c r="B4" s="960"/>
      <c r="C4" s="960"/>
    </row>
    <row r="5" spans="1:3" ht="16.5" customHeight="1">
      <c r="A5" s="960" t="str">
        <f>Z_7.1.tájékoztató_t.!A4</f>
        <v>2020. év</v>
      </c>
      <c r="B5" s="961"/>
      <c r="C5" s="961"/>
    </row>
    <row r="6" spans="1:3" ht="13.5" thickBot="1">
      <c r="A6" s="635"/>
      <c r="B6" s="963" t="str">
        <f>Z_6.tájékoztató_t.!E6</f>
        <v xml:space="preserve"> Forintban!</v>
      </c>
      <c r="C6" s="963"/>
    </row>
    <row r="7" spans="1:3" s="530" customFormat="1" ht="31.5" customHeight="1">
      <c r="A7" s="964" t="s">
        <v>714</v>
      </c>
      <c r="B7" s="966" t="s">
        <v>609</v>
      </c>
      <c r="C7" s="968" t="s">
        <v>715</v>
      </c>
    </row>
    <row r="8" spans="1:3" s="530" customFormat="1">
      <c r="A8" s="965"/>
      <c r="B8" s="967"/>
      <c r="C8" s="969"/>
    </row>
    <row r="9" spans="1:3" s="531" customFormat="1" ht="13.5" thickBot="1">
      <c r="A9" s="638" t="s">
        <v>382</v>
      </c>
      <c r="B9" s="639" t="s">
        <v>383</v>
      </c>
      <c r="C9" s="640" t="s">
        <v>384</v>
      </c>
    </row>
    <row r="10" spans="1:3" ht="15.75" customHeight="1">
      <c r="A10" s="508" t="s">
        <v>716</v>
      </c>
      <c r="B10" s="532" t="s">
        <v>616</v>
      </c>
      <c r="C10" s="533">
        <v>690932573</v>
      </c>
    </row>
    <row r="11" spans="1:3" ht="15.75" customHeight="1">
      <c r="A11" s="508" t="s">
        <v>717</v>
      </c>
      <c r="B11" s="509" t="s">
        <v>618</v>
      </c>
      <c r="C11" s="533"/>
    </row>
    <row r="12" spans="1:3" ht="15.75" customHeight="1">
      <c r="A12" s="508" t="s">
        <v>718</v>
      </c>
      <c r="B12" s="509" t="s">
        <v>620</v>
      </c>
      <c r="C12" s="533"/>
    </row>
    <row r="13" spans="1:3" ht="15.75" customHeight="1">
      <c r="A13" s="508" t="s">
        <v>719</v>
      </c>
      <c r="B13" s="509" t="s">
        <v>622</v>
      </c>
      <c r="C13" s="534">
        <v>-199264070</v>
      </c>
    </row>
    <row r="14" spans="1:3" ht="15.75" customHeight="1">
      <c r="A14" s="508" t="s">
        <v>720</v>
      </c>
      <c r="B14" s="509" t="s">
        <v>624</v>
      </c>
      <c r="C14" s="534"/>
    </row>
    <row r="15" spans="1:3" ht="15.75" customHeight="1">
      <c r="A15" s="508" t="s">
        <v>721</v>
      </c>
      <c r="B15" s="509" t="s">
        <v>626</v>
      </c>
      <c r="C15" s="534">
        <v>-8262886</v>
      </c>
    </row>
    <row r="16" spans="1:3" ht="15.75" customHeight="1">
      <c r="A16" s="508" t="s">
        <v>722</v>
      </c>
      <c r="B16" s="509" t="s">
        <v>628</v>
      </c>
      <c r="C16" s="535">
        <f>+C10+C11+C12+C13+C14+C15</f>
        <v>483405617</v>
      </c>
    </row>
    <row r="17" spans="1:5" ht="15.75" customHeight="1">
      <c r="A17" s="508" t="s">
        <v>723</v>
      </c>
      <c r="B17" s="509" t="s">
        <v>630</v>
      </c>
      <c r="C17" s="536">
        <v>182045</v>
      </c>
    </row>
    <row r="18" spans="1:5" ht="15.75" customHeight="1">
      <c r="A18" s="508" t="s">
        <v>724</v>
      </c>
      <c r="B18" s="509" t="s">
        <v>632</v>
      </c>
      <c r="C18" s="534">
        <v>1091249</v>
      </c>
    </row>
    <row r="19" spans="1:5" ht="15.75" customHeight="1">
      <c r="A19" s="508" t="s">
        <v>725</v>
      </c>
      <c r="B19" s="509" t="s">
        <v>15</v>
      </c>
      <c r="C19" s="534">
        <v>4544404</v>
      </c>
    </row>
    <row r="20" spans="1:5" ht="15.75" customHeight="1">
      <c r="A20" s="508" t="s">
        <v>726</v>
      </c>
      <c r="B20" s="509" t="s">
        <v>16</v>
      </c>
      <c r="C20" s="535">
        <f>+C17+C18+C19</f>
        <v>5817698</v>
      </c>
    </row>
    <row r="21" spans="1:5" s="537" customFormat="1" ht="15.75" customHeight="1">
      <c r="A21" s="508" t="s">
        <v>727</v>
      </c>
      <c r="B21" s="509" t="s">
        <v>17</v>
      </c>
      <c r="C21" s="534"/>
    </row>
    <row r="22" spans="1:5" ht="15.75" customHeight="1">
      <c r="A22" s="508" t="s">
        <v>728</v>
      </c>
      <c r="B22" s="509" t="s">
        <v>18</v>
      </c>
      <c r="C22" s="534">
        <v>622116163</v>
      </c>
    </row>
    <row r="23" spans="1:5" ht="15.75" customHeight="1" thickBot="1">
      <c r="A23" s="538" t="s">
        <v>729</v>
      </c>
      <c r="B23" s="520" t="s">
        <v>19</v>
      </c>
      <c r="C23" s="539">
        <f>+C16+C20+C21+C22</f>
        <v>1111339478</v>
      </c>
    </row>
    <row r="24" spans="1:5" ht="15.75">
      <c r="A24" s="523"/>
      <c r="B24" s="526"/>
      <c r="C24" s="524"/>
      <c r="D24" s="524"/>
      <c r="E24" s="524"/>
    </row>
    <row r="25" spans="1:5" ht="15.75">
      <c r="A25" s="523"/>
      <c r="B25" s="526"/>
      <c r="C25" s="524"/>
      <c r="D25" s="524"/>
      <c r="E25" s="524"/>
    </row>
    <row r="26" spans="1:5" ht="15.75">
      <c r="A26" s="526"/>
      <c r="B26" s="526"/>
      <c r="C26" s="524"/>
      <c r="D26" s="524"/>
      <c r="E26" s="524"/>
    </row>
    <row r="27" spans="1:5" ht="15.75">
      <c r="A27" s="957"/>
      <c r="B27" s="957"/>
      <c r="C27" s="957"/>
      <c r="D27" s="540"/>
      <c r="E27" s="540"/>
    </row>
    <row r="28" spans="1:5" ht="15.75">
      <c r="A28" s="957"/>
      <c r="B28" s="957"/>
      <c r="C28" s="957"/>
      <c r="D28" s="540"/>
      <c r="E28" s="540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rgb="FF92D050"/>
  </sheetPr>
  <dimension ref="A1:F46"/>
  <sheetViews>
    <sheetView zoomScale="120" zoomScaleNormal="120" workbookViewId="0">
      <selection activeCell="G21" sqref="G21"/>
    </sheetView>
  </sheetViews>
  <sheetFormatPr defaultColWidth="12" defaultRowHeight="15.75"/>
  <cols>
    <col min="1" max="1" width="58.83203125" style="542" customWidth="1"/>
    <col min="2" max="2" width="6.83203125" style="542" customWidth="1"/>
    <col min="3" max="3" width="17.1640625" style="542" customWidth="1"/>
    <col min="4" max="4" width="19.1640625" style="542" customWidth="1"/>
    <col min="5" max="16384" width="12" style="542"/>
  </cols>
  <sheetData>
    <row r="1" spans="1:4" ht="16.5" customHeight="1">
      <c r="A1" s="975" t="str">
        <f>CONCATENATE("7.3. tájékoztató tábla ",Z_ALAPADATOK!A7," ",Z_ALAPADATOK!B7," ",Z_ALAPADATOK!C7," ",Z_ALAPADATOK!D7," ",Z_ALAPADATOK!E7," ",Z_ALAPADATOK!F7," ",Z_ALAPADATOK!G7," ",Z_ALAPADATOK!H7)</f>
        <v>7.3. tájékoztató tábla a … / 2021. ( … ) önkormányzati rendelethez</v>
      </c>
      <c r="B1" s="975"/>
      <c r="C1" s="975"/>
      <c r="D1" s="975"/>
    </row>
    <row r="2" spans="1:4" s="641" customFormat="1" ht="16.5" customHeight="1"/>
    <row r="3" spans="1:4" s="570" customFormat="1" ht="16.5" customHeight="1">
      <c r="A3" s="976" t="s">
        <v>776</v>
      </c>
      <c r="B3" s="976"/>
      <c r="C3" s="976"/>
      <c r="D3" s="976"/>
    </row>
    <row r="4" spans="1:4" s="570" customFormat="1" ht="16.5" customHeight="1">
      <c r="A4" s="976" t="s">
        <v>780</v>
      </c>
      <c r="B4" s="976"/>
      <c r="C4" s="976"/>
      <c r="D4" s="976"/>
    </row>
    <row r="5" spans="1:4" s="570" customFormat="1" ht="16.5" customHeight="1">
      <c r="A5" s="970" t="str">
        <f>Z_7.1.tájékoztató_t.!A4</f>
        <v>2020. év</v>
      </c>
      <c r="B5" s="971"/>
      <c r="C5" s="971"/>
      <c r="D5" s="971"/>
    </row>
    <row r="6" spans="1:4" ht="16.5" customHeight="1" thickBot="1"/>
    <row r="7" spans="1:4" ht="43.5" customHeight="1" thickBot="1">
      <c r="A7" s="543" t="s">
        <v>44</v>
      </c>
      <c r="B7" s="544" t="s">
        <v>609</v>
      </c>
      <c r="C7" s="545" t="s">
        <v>730</v>
      </c>
      <c r="D7" s="546" t="s">
        <v>731</v>
      </c>
    </row>
    <row r="8" spans="1:4" ht="16.5" thickBot="1">
      <c r="A8" s="547" t="s">
        <v>382</v>
      </c>
      <c r="B8" s="548" t="s">
        <v>383</v>
      </c>
      <c r="C8" s="548" t="s">
        <v>384</v>
      </c>
      <c r="D8" s="549" t="s">
        <v>386</v>
      </c>
    </row>
    <row r="9" spans="1:4" ht="15.75" customHeight="1">
      <c r="A9" s="550" t="s">
        <v>732</v>
      </c>
      <c r="B9" s="551" t="s">
        <v>6</v>
      </c>
      <c r="C9" s="552"/>
      <c r="D9" s="553"/>
    </row>
    <row r="10" spans="1:4" ht="15.75" customHeight="1">
      <c r="A10" s="550" t="s">
        <v>733</v>
      </c>
      <c r="B10" s="554" t="s">
        <v>7</v>
      </c>
      <c r="C10" s="555"/>
      <c r="D10" s="556"/>
    </row>
    <row r="11" spans="1:4" ht="15.75" customHeight="1">
      <c r="A11" s="550" t="s">
        <v>734</v>
      </c>
      <c r="B11" s="554" t="s">
        <v>8</v>
      </c>
      <c r="C11" s="555"/>
      <c r="D11" s="556"/>
    </row>
    <row r="12" spans="1:4" ht="15.75" customHeight="1" thickBot="1">
      <c r="A12" s="557" t="s">
        <v>735</v>
      </c>
      <c r="B12" s="558" t="s">
        <v>9</v>
      </c>
      <c r="C12" s="559"/>
      <c r="D12" s="560"/>
    </row>
    <row r="13" spans="1:4" ht="15.75" customHeight="1" thickBot="1">
      <c r="A13" s="561" t="s">
        <v>736</v>
      </c>
      <c r="B13" s="562" t="s">
        <v>10</v>
      </c>
      <c r="C13" s="755"/>
      <c r="D13" s="563">
        <f>+D14+D15+D16+D17</f>
        <v>0</v>
      </c>
    </row>
    <row r="14" spans="1:4" ht="15.75" customHeight="1">
      <c r="A14" s="564" t="s">
        <v>737</v>
      </c>
      <c r="B14" s="551" t="s">
        <v>11</v>
      </c>
      <c r="C14" s="552"/>
      <c r="D14" s="553"/>
    </row>
    <row r="15" spans="1:4" ht="15.75" customHeight="1">
      <c r="A15" s="550" t="s">
        <v>738</v>
      </c>
      <c r="B15" s="554" t="s">
        <v>12</v>
      </c>
      <c r="C15" s="555"/>
      <c r="D15" s="556"/>
    </row>
    <row r="16" spans="1:4" ht="15.75" customHeight="1">
      <c r="A16" s="550" t="s">
        <v>739</v>
      </c>
      <c r="B16" s="554" t="s">
        <v>13</v>
      </c>
      <c r="C16" s="555"/>
      <c r="D16" s="556"/>
    </row>
    <row r="17" spans="1:4" ht="15.75" customHeight="1" thickBot="1">
      <c r="A17" s="557" t="s">
        <v>740</v>
      </c>
      <c r="B17" s="558" t="s">
        <v>14</v>
      </c>
      <c r="C17" s="559"/>
      <c r="D17" s="560"/>
    </row>
    <row r="18" spans="1:4" ht="15.75" customHeight="1" thickBot="1">
      <c r="A18" s="561" t="s">
        <v>741</v>
      </c>
      <c r="B18" s="562" t="s">
        <v>15</v>
      </c>
      <c r="C18" s="755"/>
      <c r="D18" s="563">
        <f>+D19+D20+D21</f>
        <v>0</v>
      </c>
    </row>
    <row r="19" spans="1:4" ht="15.75" customHeight="1">
      <c r="A19" s="564" t="s">
        <v>742</v>
      </c>
      <c r="B19" s="551" t="s">
        <v>16</v>
      </c>
      <c r="C19" s="552"/>
      <c r="D19" s="553"/>
    </row>
    <row r="20" spans="1:4" ht="15.75" customHeight="1">
      <c r="A20" s="550" t="s">
        <v>743</v>
      </c>
      <c r="B20" s="554" t="s">
        <v>17</v>
      </c>
      <c r="C20" s="555"/>
      <c r="D20" s="556"/>
    </row>
    <row r="21" spans="1:4" ht="15.75" customHeight="1" thickBot="1">
      <c r="A21" s="557" t="s">
        <v>744</v>
      </c>
      <c r="B21" s="558" t="s">
        <v>18</v>
      </c>
      <c r="C21" s="559"/>
      <c r="D21" s="560"/>
    </row>
    <row r="22" spans="1:4" ht="15.75" customHeight="1" thickBot="1">
      <c r="A22" s="561" t="s">
        <v>745</v>
      </c>
      <c r="B22" s="562" t="s">
        <v>19</v>
      </c>
      <c r="C22" s="755"/>
      <c r="D22" s="563">
        <f>+D23+D24+D25</f>
        <v>0</v>
      </c>
    </row>
    <row r="23" spans="1:4" ht="15.75" customHeight="1">
      <c r="A23" s="564" t="s">
        <v>746</v>
      </c>
      <c r="B23" s="551" t="s">
        <v>20</v>
      </c>
      <c r="C23" s="552"/>
      <c r="D23" s="553"/>
    </row>
    <row r="24" spans="1:4" ht="15.75" customHeight="1">
      <c r="A24" s="550" t="s">
        <v>747</v>
      </c>
      <c r="B24" s="554" t="s">
        <v>21</v>
      </c>
      <c r="C24" s="555"/>
      <c r="D24" s="556"/>
    </row>
    <row r="25" spans="1:4" ht="15.75" customHeight="1">
      <c r="A25" s="550" t="s">
        <v>748</v>
      </c>
      <c r="B25" s="554" t="s">
        <v>22</v>
      </c>
      <c r="C25" s="555"/>
      <c r="D25" s="556"/>
    </row>
    <row r="26" spans="1:4" ht="15.75" customHeight="1">
      <c r="A26" s="550" t="s">
        <v>749</v>
      </c>
      <c r="B26" s="554" t="s">
        <v>23</v>
      </c>
      <c r="C26" s="555"/>
      <c r="D26" s="556"/>
    </row>
    <row r="27" spans="1:4" ht="15.75" customHeight="1">
      <c r="A27" s="550"/>
      <c r="B27" s="554" t="s">
        <v>24</v>
      </c>
      <c r="C27" s="555"/>
      <c r="D27" s="556"/>
    </row>
    <row r="28" spans="1:4" ht="15.75" customHeight="1">
      <c r="A28" s="550"/>
      <c r="B28" s="554" t="s">
        <v>25</v>
      </c>
      <c r="C28" s="555"/>
      <c r="D28" s="556"/>
    </row>
    <row r="29" spans="1:4" ht="15.75" customHeight="1">
      <c r="A29" s="550"/>
      <c r="B29" s="554" t="s">
        <v>26</v>
      </c>
      <c r="C29" s="555"/>
      <c r="D29" s="556"/>
    </row>
    <row r="30" spans="1:4" ht="15.75" customHeight="1">
      <c r="A30" s="550"/>
      <c r="B30" s="554" t="s">
        <v>27</v>
      </c>
      <c r="C30" s="555"/>
      <c r="D30" s="556"/>
    </row>
    <row r="31" spans="1:4" ht="15.75" customHeight="1">
      <c r="A31" s="550"/>
      <c r="B31" s="554" t="s">
        <v>28</v>
      </c>
      <c r="C31" s="555"/>
      <c r="D31" s="556"/>
    </row>
    <row r="32" spans="1:4" ht="15.75" customHeight="1">
      <c r="A32" s="550"/>
      <c r="B32" s="554" t="s">
        <v>29</v>
      </c>
      <c r="C32" s="555"/>
      <c r="D32" s="556"/>
    </row>
    <row r="33" spans="1:6" ht="15.75" customHeight="1">
      <c r="A33" s="550"/>
      <c r="B33" s="554" t="s">
        <v>30</v>
      </c>
      <c r="C33" s="555"/>
      <c r="D33" s="556"/>
    </row>
    <row r="34" spans="1:6" ht="15.75" customHeight="1">
      <c r="A34" s="550"/>
      <c r="B34" s="554" t="s">
        <v>31</v>
      </c>
      <c r="C34" s="555"/>
      <c r="D34" s="556"/>
    </row>
    <row r="35" spans="1:6" ht="15.75" customHeight="1">
      <c r="A35" s="550"/>
      <c r="B35" s="554" t="s">
        <v>32</v>
      </c>
      <c r="C35" s="555"/>
      <c r="D35" s="556"/>
    </row>
    <row r="36" spans="1:6" ht="15.75" customHeight="1">
      <c r="A36" s="550"/>
      <c r="B36" s="554" t="s">
        <v>33</v>
      </c>
      <c r="C36" s="555"/>
      <c r="D36" s="556"/>
    </row>
    <row r="37" spans="1:6" ht="15.75" customHeight="1">
      <c r="A37" s="550"/>
      <c r="B37" s="554" t="s">
        <v>603</v>
      </c>
      <c r="C37" s="555"/>
      <c r="D37" s="556"/>
    </row>
    <row r="38" spans="1:6" ht="15.75" customHeight="1">
      <c r="A38" s="550"/>
      <c r="B38" s="554" t="s">
        <v>604</v>
      </c>
      <c r="C38" s="555"/>
      <c r="D38" s="556"/>
    </row>
    <row r="39" spans="1:6" ht="15.75" customHeight="1">
      <c r="A39" s="550"/>
      <c r="B39" s="554" t="s">
        <v>605</v>
      </c>
      <c r="C39" s="555"/>
      <c r="D39" s="556"/>
    </row>
    <row r="40" spans="1:6" ht="15.75" customHeight="1">
      <c r="A40" s="550"/>
      <c r="B40" s="554" t="s">
        <v>606</v>
      </c>
      <c r="C40" s="555"/>
      <c r="D40" s="556"/>
    </row>
    <row r="41" spans="1:6" ht="15.75" customHeight="1" thickBot="1">
      <c r="A41" s="557"/>
      <c r="B41" s="558" t="s">
        <v>607</v>
      </c>
      <c r="C41" s="559"/>
      <c r="D41" s="560"/>
    </row>
    <row r="42" spans="1:6" ht="15.75" customHeight="1" thickBot="1">
      <c r="A42" s="972" t="s">
        <v>750</v>
      </c>
      <c r="B42" s="973"/>
      <c r="C42" s="565"/>
      <c r="D42" s="563">
        <f>+D9+D10+D11+D12+D13+D18+D22+D26+D27+D28+D29+D30+D31+D32+D33+D34+D35+D36+D37+D38+D39+D40+D41</f>
        <v>0</v>
      </c>
      <c r="F42" s="566"/>
    </row>
    <row r="43" spans="1:6">
      <c r="A43" s="567" t="s">
        <v>751</v>
      </c>
    </row>
    <row r="44" spans="1:6">
      <c r="A44" s="568"/>
      <c r="B44" s="568"/>
      <c r="C44" s="974"/>
      <c r="D44" s="974"/>
    </row>
    <row r="45" spans="1:6">
      <c r="A45" s="569"/>
      <c r="B45" s="569"/>
    </row>
    <row r="46" spans="1:6">
      <c r="A46" s="569"/>
      <c r="B46" s="569"/>
      <c r="C46" s="569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="120" zoomScaleNormal="120" workbookViewId="0">
      <selection activeCell="M12" sqref="M12"/>
    </sheetView>
  </sheetViews>
  <sheetFormatPr defaultRowHeight="12.75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>
      <c r="A1" s="645"/>
      <c r="B1" s="645"/>
      <c r="C1" s="645"/>
      <c r="D1" s="645"/>
      <c r="E1" s="645"/>
    </row>
    <row r="2" spans="1:6" ht="15.75">
      <c r="A2" s="796" t="str">
        <f>CONCATENATE(PROPER(Z_ALAPADATOK!A3)," tulajdonában álló gazdálkodó szervezetek működéséből származó")</f>
        <v>Borsodivánka Község Önkormányzata tulajdonában álló gazdálkodó szervezetek működéséből származó</v>
      </c>
      <c r="B2" s="796"/>
      <c r="C2" s="796"/>
      <c r="D2" s="796"/>
      <c r="E2" s="796"/>
    </row>
    <row r="3" spans="1:6" ht="15.75">
      <c r="A3" s="980" t="str">
        <f>CONCATENATE("kötelezettségek és részesedések alakulása ",Z_ALAPADATOK!B1,". évben")</f>
        <v>kötelezettségek és részesedések alakulása 2020. évben</v>
      </c>
      <c r="B3" s="796"/>
      <c r="C3" s="796"/>
      <c r="D3" s="796"/>
      <c r="E3" s="796"/>
      <c r="F3" s="977" t="str">
        <f>CONCATENATE("8. tájékoztató tábla ",Z_ALAPADATOK!A7," ",Z_ALAPADATOK!B7," ",Z_ALAPADATOK!C7," ",Z_ALAPADATOK!D7," ",Z_ALAPADATOK!E7," ",Z_ALAPADATOK!F7," ",Z_ALAPADATOK!G7," ",Z_ALAPADATOK!H7)</f>
        <v>8. tájékoztató tábla a … / 2021. ( … ) önkormányzati rendelethez</v>
      </c>
    </row>
    <row r="4" spans="1:6" ht="16.5" thickBot="1">
      <c r="A4" s="646"/>
      <c r="B4" s="645"/>
      <c r="C4" s="645"/>
      <c r="D4" s="645"/>
      <c r="E4" s="645"/>
      <c r="F4" s="977"/>
    </row>
    <row r="5" spans="1:6" ht="79.5" thickBot="1">
      <c r="A5" s="647" t="s">
        <v>609</v>
      </c>
      <c r="B5" s="648" t="s">
        <v>752</v>
      </c>
      <c r="C5" s="648" t="s">
        <v>753</v>
      </c>
      <c r="D5" s="648" t="s">
        <v>754</v>
      </c>
      <c r="E5" s="649" t="s">
        <v>755</v>
      </c>
      <c r="F5" s="977"/>
    </row>
    <row r="6" spans="1:6" ht="15.75">
      <c r="A6" s="642" t="s">
        <v>6</v>
      </c>
      <c r="B6" s="572"/>
      <c r="C6" s="573"/>
      <c r="D6" s="574"/>
      <c r="E6" s="575"/>
      <c r="F6" s="977"/>
    </row>
    <row r="7" spans="1:6" ht="15.75">
      <c r="A7" s="643" t="s">
        <v>7</v>
      </c>
      <c r="B7" s="576"/>
      <c r="C7" s="577"/>
      <c r="D7" s="578"/>
      <c r="E7" s="579"/>
      <c r="F7" s="977"/>
    </row>
    <row r="8" spans="1:6" ht="15.75">
      <c r="A8" s="643" t="s">
        <v>8</v>
      </c>
      <c r="B8" s="576"/>
      <c r="C8" s="577"/>
      <c r="D8" s="578"/>
      <c r="E8" s="579"/>
      <c r="F8" s="977"/>
    </row>
    <row r="9" spans="1:6" ht="15.75">
      <c r="A9" s="643" t="s">
        <v>9</v>
      </c>
      <c r="B9" s="576"/>
      <c r="C9" s="577"/>
      <c r="D9" s="578"/>
      <c r="E9" s="579"/>
      <c r="F9" s="977"/>
    </row>
    <row r="10" spans="1:6" ht="15.75">
      <c r="A10" s="643" t="s">
        <v>10</v>
      </c>
      <c r="B10" s="576"/>
      <c r="C10" s="577"/>
      <c r="D10" s="578"/>
      <c r="E10" s="579"/>
      <c r="F10" s="977"/>
    </row>
    <row r="11" spans="1:6" ht="15.75">
      <c r="A11" s="643" t="s">
        <v>11</v>
      </c>
      <c r="B11" s="576"/>
      <c r="C11" s="577"/>
      <c r="D11" s="578"/>
      <c r="E11" s="579"/>
      <c r="F11" s="977"/>
    </row>
    <row r="12" spans="1:6" ht="15.75">
      <c r="A12" s="643" t="s">
        <v>12</v>
      </c>
      <c r="B12" s="576"/>
      <c r="C12" s="577"/>
      <c r="D12" s="578"/>
      <c r="E12" s="579"/>
      <c r="F12" s="977"/>
    </row>
    <row r="13" spans="1:6" ht="15.75">
      <c r="A13" s="643" t="s">
        <v>13</v>
      </c>
      <c r="B13" s="576"/>
      <c r="C13" s="577"/>
      <c r="D13" s="578"/>
      <c r="E13" s="579"/>
      <c r="F13" s="977"/>
    </row>
    <row r="14" spans="1:6" ht="15.75">
      <c r="A14" s="643" t="s">
        <v>14</v>
      </c>
      <c r="B14" s="576"/>
      <c r="C14" s="577"/>
      <c r="D14" s="578"/>
      <c r="E14" s="579"/>
      <c r="F14" s="977"/>
    </row>
    <row r="15" spans="1:6" ht="15.75">
      <c r="A15" s="643" t="s">
        <v>15</v>
      </c>
      <c r="B15" s="576"/>
      <c r="C15" s="577"/>
      <c r="D15" s="578"/>
      <c r="E15" s="579"/>
      <c r="F15" s="977"/>
    </row>
    <row r="16" spans="1:6" ht="15.75">
      <c r="A16" s="643" t="s">
        <v>16</v>
      </c>
      <c r="B16" s="576"/>
      <c r="C16" s="577"/>
      <c r="D16" s="578"/>
      <c r="E16" s="579"/>
      <c r="F16" s="977"/>
    </row>
    <row r="17" spans="1:6" ht="15.75">
      <c r="A17" s="643" t="s">
        <v>17</v>
      </c>
      <c r="B17" s="576"/>
      <c r="C17" s="577"/>
      <c r="D17" s="578"/>
      <c r="E17" s="579"/>
      <c r="F17" s="977"/>
    </row>
    <row r="18" spans="1:6" ht="15.75">
      <c r="A18" s="643" t="s">
        <v>18</v>
      </c>
      <c r="B18" s="576"/>
      <c r="C18" s="577"/>
      <c r="D18" s="578"/>
      <c r="E18" s="579"/>
      <c r="F18" s="977"/>
    </row>
    <row r="19" spans="1:6" ht="15.75">
      <c r="A19" s="643" t="s">
        <v>19</v>
      </c>
      <c r="B19" s="576"/>
      <c r="C19" s="577"/>
      <c r="D19" s="578"/>
      <c r="E19" s="579"/>
      <c r="F19" s="977"/>
    </row>
    <row r="20" spans="1:6" ht="15.75">
      <c r="A20" s="643" t="s">
        <v>20</v>
      </c>
      <c r="B20" s="576"/>
      <c r="C20" s="577"/>
      <c r="D20" s="578"/>
      <c r="E20" s="579"/>
      <c r="F20" s="977"/>
    </row>
    <row r="21" spans="1:6" ht="15.75">
      <c r="A21" s="643" t="s">
        <v>21</v>
      </c>
      <c r="B21" s="576"/>
      <c r="C21" s="577"/>
      <c r="D21" s="578"/>
      <c r="E21" s="579"/>
      <c r="F21" s="977"/>
    </row>
    <row r="22" spans="1:6" ht="16.5" thickBot="1">
      <c r="A22" s="644" t="s">
        <v>22</v>
      </c>
      <c r="B22" s="580"/>
      <c r="C22" s="581"/>
      <c r="D22" s="582"/>
      <c r="E22" s="583"/>
      <c r="F22" s="977"/>
    </row>
    <row r="23" spans="1:6" ht="16.5" thickBot="1">
      <c r="A23" s="978" t="s">
        <v>756</v>
      </c>
      <c r="B23" s="979"/>
      <c r="C23" s="584"/>
      <c r="D23" s="585" t="str">
        <f>IF(SUM(D6:D22)=0,"",SUM(D6:D22))</f>
        <v/>
      </c>
      <c r="E23" s="586" t="str">
        <f>IF(SUM(E6:E22)=0,"",SUM(E6:E22))</f>
        <v/>
      </c>
      <c r="F23" s="977"/>
    </row>
    <row r="24" spans="1:6" ht="15.75">
      <c r="A24" s="571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>
  <sheetPr>
    <tabColor rgb="FF92D050"/>
  </sheetPr>
  <dimension ref="A2:C15"/>
  <sheetViews>
    <sheetView topLeftCell="A4" zoomScale="120" zoomScaleNormal="120" workbookViewId="0">
      <selection activeCell="C13" sqref="C13"/>
    </sheetView>
  </sheetViews>
  <sheetFormatPr defaultRowHeight="12.75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>
      <c r="A2" s="936" t="str">
        <f>CONCATENATE("9. tájékoztató tábla ",Z_ALAPADATOK!A7," ",Z_ALAPADATOK!B7," ",Z_ALAPADATOK!C7," ",Z_ALAPADATOK!D7," ",Z_ALAPADATOK!E7," ",Z_ALAPADATOK!F7," ",Z_ALAPADATOK!G7," ",Z_ALAPADATOK!H7)</f>
        <v>9. tájékoztató tábla a … / 2021. ( … ) önkormányzati rendelethez</v>
      </c>
      <c r="B2" s="982"/>
      <c r="C2" s="982"/>
    </row>
    <row r="3" spans="1:3" ht="14.25">
      <c r="A3" s="587"/>
      <c r="B3" s="587"/>
      <c r="C3" s="587"/>
    </row>
    <row r="4" spans="1:3" ht="33.75" customHeight="1">
      <c r="A4" s="981" t="s">
        <v>757</v>
      </c>
      <c r="B4" s="981"/>
      <c r="C4" s="981"/>
    </row>
    <row r="5" spans="1:3" ht="13.5" thickBot="1">
      <c r="C5" s="588"/>
    </row>
    <row r="6" spans="1:3" s="592" customFormat="1" ht="43.5" customHeight="1" thickBot="1">
      <c r="A6" s="589" t="s">
        <v>4</v>
      </c>
      <c r="B6" s="590" t="s">
        <v>44</v>
      </c>
      <c r="C6" s="591" t="s">
        <v>758</v>
      </c>
    </row>
    <row r="7" spans="1:3" ht="28.5" customHeight="1">
      <c r="A7" s="593" t="s">
        <v>6</v>
      </c>
      <c r="B7" s="594" t="str">
        <f>CONCATENATE("Pénzkészlet ",Z_ALAPADATOK!B1,". január 1-jén
Ebből:")</f>
        <v>Pénzkészlet 2020. január 1-jén
Ebből:</v>
      </c>
      <c r="C7" s="775">
        <v>113399611</v>
      </c>
    </row>
    <row r="8" spans="1:3" ht="18" customHeight="1">
      <c r="A8" s="595" t="s">
        <v>7</v>
      </c>
      <c r="B8" s="596" t="s">
        <v>759</v>
      </c>
      <c r="C8" s="650">
        <v>113399611</v>
      </c>
    </row>
    <row r="9" spans="1:3" ht="18" customHeight="1">
      <c r="A9" s="595" t="s">
        <v>8</v>
      </c>
      <c r="B9" s="596" t="s">
        <v>760</v>
      </c>
      <c r="C9" s="650">
        <v>0</v>
      </c>
    </row>
    <row r="10" spans="1:3" ht="18" customHeight="1">
      <c r="A10" s="595" t="s">
        <v>9</v>
      </c>
      <c r="B10" s="597" t="s">
        <v>761</v>
      </c>
      <c r="C10" s="650">
        <v>439318853</v>
      </c>
    </row>
    <row r="11" spans="1:3" ht="18" customHeight="1">
      <c r="A11" s="598" t="s">
        <v>10</v>
      </c>
      <c r="B11" s="599" t="s">
        <v>762</v>
      </c>
      <c r="C11" s="651">
        <v>351615830</v>
      </c>
    </row>
    <row r="12" spans="1:3" ht="18" customHeight="1" thickBot="1">
      <c r="A12" s="600" t="s">
        <v>11</v>
      </c>
      <c r="B12" s="601" t="s">
        <v>763</v>
      </c>
      <c r="C12" s="652">
        <v>25741519</v>
      </c>
    </row>
    <row r="13" spans="1:3" ht="25.5" customHeight="1">
      <c r="A13" s="602" t="s">
        <v>12</v>
      </c>
      <c r="B13" s="603" t="str">
        <f>CONCATENATE("Pénzkészlet ",Z_ALAPADATOK!B1,". december 31-én
Ebből:")</f>
        <v>Pénzkészlet 2020. december 31-én
Ebből:</v>
      </c>
      <c r="C13" s="653">
        <v>113444542</v>
      </c>
    </row>
    <row r="14" spans="1:3" ht="18" customHeight="1">
      <c r="A14" s="595" t="s">
        <v>13</v>
      </c>
      <c r="B14" s="596" t="s">
        <v>759</v>
      </c>
      <c r="C14" s="650"/>
    </row>
    <row r="15" spans="1:3" ht="18" customHeight="1" thickBot="1">
      <c r="A15" s="600" t="s">
        <v>14</v>
      </c>
      <c r="B15" s="604" t="s">
        <v>760</v>
      </c>
      <c r="C15" s="652"/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A6" zoomScaleSheetLayoutView="115" workbookViewId="0">
      <selection activeCell="B10" sqref="B10"/>
    </sheetView>
  </sheetViews>
  <sheetFormatPr defaultRowHeight="12.75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00" t="str">
        <f>CONCATENATE("2.2. melléklet ",Z_ALAPADATOK!A7," ",Z_ALAPADATOK!B7," ",Z_ALAPADATOK!C7," ",Z_ALAPADATOK!D7," ",Z_ALAPADATOK!E7," ",Z_ALAPADATOK!F7," ",Z_ALAPADATOK!G7," ",Z_ALAPADATOK!H7)</f>
        <v>2.2. melléklet a … / 2021. ( … ) önkormányzati rendelethez</v>
      </c>
    </row>
    <row r="2" spans="1:10" ht="14.25" thickBot="1">
      <c r="A2" s="345"/>
      <c r="B2" s="344"/>
      <c r="C2" s="345"/>
      <c r="D2" s="345"/>
      <c r="E2" s="345"/>
      <c r="F2" s="345"/>
      <c r="G2" s="353"/>
      <c r="H2" s="353"/>
      <c r="I2" s="353" t="str">
        <f>Z_2.1.sz.mell!I2</f>
        <v xml:space="preserve"> Forintban!</v>
      </c>
      <c r="J2" s="800"/>
    </row>
    <row r="3" spans="1:10" ht="13.5" customHeight="1" thickBot="1">
      <c r="A3" s="797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0"/>
    </row>
    <row r="4" spans="1:10" s="125" customFormat="1" ht="36.75" thickBot="1">
      <c r="A4" s="798"/>
      <c r="B4" s="347" t="s">
        <v>44</v>
      </c>
      <c r="C4" s="317" t="str">
        <f>+CONCATENATE(Z_1.1.sz.mell.!C8," eredeti előirányzat")</f>
        <v>2020. évi eredeti előirányzat</v>
      </c>
      <c r="D4" s="315" t="str">
        <f>+CONCATENATE(Z_1.1.sz.mell.!C8," módosított előirányzat")</f>
        <v>2020. évi módosított előirányzat</v>
      </c>
      <c r="E4" s="315" t="str">
        <f>CONCATENATE(Z_2.1.sz.mell!E4)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0"/>
    </row>
    <row r="5" spans="1:10" s="125" customFormat="1" ht="13.5" thickBot="1">
      <c r="A5" s="360" t="s">
        <v>382</v>
      </c>
      <c r="B5" s="361" t="s">
        <v>383</v>
      </c>
      <c r="C5" s="362" t="s">
        <v>384</v>
      </c>
      <c r="D5" s="362" t="s">
        <v>386</v>
      </c>
      <c r="E5" s="362" t="s">
        <v>385</v>
      </c>
      <c r="F5" s="361" t="s">
        <v>387</v>
      </c>
      <c r="G5" s="362" t="s">
        <v>388</v>
      </c>
      <c r="H5" s="363" t="s">
        <v>389</v>
      </c>
      <c r="I5" s="364" t="s">
        <v>420</v>
      </c>
      <c r="J5" s="800"/>
    </row>
    <row r="6" spans="1:10" ht="12.95" customHeight="1">
      <c r="A6" s="127" t="s">
        <v>6</v>
      </c>
      <c r="B6" s="128" t="s">
        <v>285</v>
      </c>
      <c r="C6" s="118"/>
      <c r="D6" s="118"/>
      <c r="E6" s="118"/>
      <c r="F6" s="128" t="s">
        <v>142</v>
      </c>
      <c r="G6" s="118">
        <v>92907250</v>
      </c>
      <c r="H6" s="279">
        <v>92915250</v>
      </c>
      <c r="I6" s="148">
        <v>16088288</v>
      </c>
      <c r="J6" s="800"/>
    </row>
    <row r="7" spans="1:10">
      <c r="A7" s="129" t="s">
        <v>7</v>
      </c>
      <c r="B7" s="130" t="s">
        <v>286</v>
      </c>
      <c r="C7" s="119"/>
      <c r="D7" s="119"/>
      <c r="E7" s="119"/>
      <c r="F7" s="130" t="s">
        <v>291</v>
      </c>
      <c r="G7" s="119"/>
      <c r="H7" s="119"/>
      <c r="I7" s="271"/>
      <c r="J7" s="800"/>
    </row>
    <row r="8" spans="1:10" ht="12.95" customHeight="1">
      <c r="A8" s="129" t="s">
        <v>8</v>
      </c>
      <c r="B8" s="130" t="s">
        <v>1</v>
      </c>
      <c r="C8" s="119"/>
      <c r="D8" s="119">
        <v>1602874</v>
      </c>
      <c r="E8" s="119">
        <v>7907940</v>
      </c>
      <c r="F8" s="130" t="s">
        <v>126</v>
      </c>
      <c r="G8" s="119"/>
      <c r="H8" s="119">
        <v>6250000</v>
      </c>
      <c r="I8" s="271">
        <v>6116261</v>
      </c>
      <c r="J8" s="800"/>
    </row>
    <row r="9" spans="1:10" ht="12.95" customHeight="1">
      <c r="A9" s="129" t="s">
        <v>9</v>
      </c>
      <c r="B9" s="130" t="s">
        <v>287</v>
      </c>
      <c r="C9" s="119"/>
      <c r="D9" s="119"/>
      <c r="E9" s="119"/>
      <c r="F9" s="130" t="s">
        <v>292</v>
      </c>
      <c r="G9" s="119"/>
      <c r="H9" s="119"/>
      <c r="I9" s="271"/>
      <c r="J9" s="800"/>
    </row>
    <row r="10" spans="1:10" ht="12.75" customHeight="1">
      <c r="A10" s="129" t="s">
        <v>10</v>
      </c>
      <c r="B10" s="130" t="s">
        <v>288</v>
      </c>
      <c r="C10" s="119"/>
      <c r="D10" s="119"/>
      <c r="E10" s="119"/>
      <c r="F10" s="130" t="s">
        <v>144</v>
      </c>
      <c r="G10" s="119"/>
      <c r="H10" s="119"/>
      <c r="I10" s="271"/>
      <c r="J10" s="800"/>
    </row>
    <row r="11" spans="1:10" ht="12.95" customHeight="1">
      <c r="A11" s="129" t="s">
        <v>11</v>
      </c>
      <c r="B11" s="130" t="s">
        <v>289</v>
      </c>
      <c r="C11" s="120"/>
      <c r="D11" s="120"/>
      <c r="E11" s="120"/>
      <c r="F11" s="197"/>
      <c r="G11" s="119"/>
      <c r="H11" s="119"/>
      <c r="I11" s="271"/>
      <c r="J11" s="800"/>
    </row>
    <row r="12" spans="1:10" ht="12.95" customHeight="1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0"/>
    </row>
    <row r="13" spans="1:10" ht="12.95" customHeight="1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0"/>
    </row>
    <row r="14" spans="1:10" ht="12.95" customHeight="1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0"/>
    </row>
    <row r="15" spans="1:10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0"/>
    </row>
    <row r="16" spans="1:10" ht="12.95" customHeight="1" thickBot="1">
      <c r="A16" s="165" t="s">
        <v>16</v>
      </c>
      <c r="B16" s="196"/>
      <c r="C16" s="167"/>
      <c r="D16" s="167"/>
      <c r="E16" s="167"/>
      <c r="F16" s="166" t="s">
        <v>36</v>
      </c>
      <c r="G16" s="277" t="s">
        <v>880</v>
      </c>
      <c r="H16" s="277"/>
      <c r="I16" s="275"/>
      <c r="J16" s="800"/>
    </row>
    <row r="17" spans="1:10" ht="15.95" customHeight="1" thickBot="1">
      <c r="A17" s="132" t="s">
        <v>17</v>
      </c>
      <c r="B17" s="60" t="s">
        <v>299</v>
      </c>
      <c r="C17" s="122">
        <f>+C6+C8+C9+C11+C12+C13+C14+C15+C16</f>
        <v>0</v>
      </c>
      <c r="D17" s="122">
        <f>+D6+D8+D9+D11+D12+D13+D14+D15+D16</f>
        <v>1602874</v>
      </c>
      <c r="E17" s="122">
        <f>+E6+E8+E9+E11+E12+E13+E14+E15+E16</f>
        <v>7907940</v>
      </c>
      <c r="F17" s="60" t="s">
        <v>300</v>
      </c>
      <c r="G17" s="122">
        <f>SUM(G6:G16)</f>
        <v>92907250</v>
      </c>
      <c r="H17" s="122">
        <f>+H6+H8+H10+H11+H12+H13+H14+H15+H16</f>
        <v>99165250</v>
      </c>
      <c r="I17" s="150">
        <f>+I6+I8+I10+I11+I12+I13+I14+I15+I16</f>
        <v>22204549</v>
      </c>
      <c r="J17" s="800"/>
    </row>
    <row r="18" spans="1:10" ht="12.95" customHeight="1">
      <c r="A18" s="127" t="s">
        <v>18</v>
      </c>
      <c r="B18" s="140" t="s">
        <v>160</v>
      </c>
      <c r="C18" s="147">
        <f>+C19+C20+C21+C22+C23</f>
        <v>113599319</v>
      </c>
      <c r="D18" s="147">
        <f>+D19+D20+D21+D22+D23</f>
        <v>113599319</v>
      </c>
      <c r="E18" s="147">
        <f>+E19+E20+E21+E22+E23</f>
        <v>109303836</v>
      </c>
      <c r="F18" s="135" t="s">
        <v>130</v>
      </c>
      <c r="G18" s="278"/>
      <c r="H18" s="278"/>
      <c r="I18" s="276"/>
      <c r="J18" s="800"/>
    </row>
    <row r="19" spans="1:10" ht="12.95" customHeight="1">
      <c r="A19" s="129" t="s">
        <v>19</v>
      </c>
      <c r="B19" s="141" t="s">
        <v>149</v>
      </c>
      <c r="C19" s="49">
        <v>113599319</v>
      </c>
      <c r="D19" s="49">
        <v>113599319</v>
      </c>
      <c r="E19" s="49">
        <v>109303836</v>
      </c>
      <c r="F19" s="135" t="s">
        <v>132</v>
      </c>
      <c r="G19" s="49"/>
      <c r="H19" s="49"/>
      <c r="I19" s="274"/>
      <c r="J19" s="800"/>
    </row>
    <row r="20" spans="1:10" ht="12.95" customHeight="1">
      <c r="A20" s="127" t="s">
        <v>20</v>
      </c>
      <c r="B20" s="141" t="s">
        <v>150</v>
      </c>
      <c r="C20" s="49"/>
      <c r="D20" s="49"/>
      <c r="E20" s="49"/>
      <c r="F20" s="135" t="s">
        <v>104</v>
      </c>
      <c r="G20" s="49"/>
      <c r="H20" s="49"/>
      <c r="I20" s="274"/>
      <c r="J20" s="800"/>
    </row>
    <row r="21" spans="1:10" ht="12.95" customHeight="1">
      <c r="A21" s="129" t="s">
        <v>21</v>
      </c>
      <c r="B21" s="141" t="s">
        <v>151</v>
      </c>
      <c r="C21" s="49"/>
      <c r="D21" s="49"/>
      <c r="E21" s="49"/>
      <c r="F21" s="135" t="s">
        <v>105</v>
      </c>
      <c r="G21" s="49"/>
      <c r="H21" s="49"/>
      <c r="I21" s="274"/>
      <c r="J21" s="800"/>
    </row>
    <row r="22" spans="1:10" ht="12.95" customHeight="1">
      <c r="A22" s="127" t="s">
        <v>22</v>
      </c>
      <c r="B22" s="141" t="s">
        <v>152</v>
      </c>
      <c r="C22" s="49"/>
      <c r="D22" s="49"/>
      <c r="E22" s="49"/>
      <c r="F22" s="134" t="s">
        <v>148</v>
      </c>
      <c r="G22" s="49"/>
      <c r="H22" s="49"/>
      <c r="I22" s="274"/>
      <c r="J22" s="800"/>
    </row>
    <row r="23" spans="1:10" ht="12.95" customHeight="1">
      <c r="A23" s="129" t="s">
        <v>23</v>
      </c>
      <c r="B23" s="142" t="s">
        <v>153</v>
      </c>
      <c r="C23" s="49"/>
      <c r="D23" s="49"/>
      <c r="E23" s="49"/>
      <c r="F23" s="135" t="s">
        <v>133</v>
      </c>
      <c r="G23" s="49"/>
      <c r="H23" s="49"/>
      <c r="I23" s="274"/>
      <c r="J23" s="800"/>
    </row>
    <row r="24" spans="1:10" ht="12.95" customHeight="1">
      <c r="A24" s="127" t="s">
        <v>24</v>
      </c>
      <c r="B24" s="143" t="s">
        <v>154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881</v>
      </c>
      <c r="G24" s="49">
        <v>463577</v>
      </c>
      <c r="H24" s="49">
        <v>1758835</v>
      </c>
      <c r="I24" s="274">
        <v>1758835</v>
      </c>
      <c r="J24" s="800"/>
    </row>
    <row r="25" spans="1:10" ht="12.95" customHeight="1">
      <c r="A25" s="129" t="s">
        <v>25</v>
      </c>
      <c r="B25" s="142" t="s">
        <v>155</v>
      </c>
      <c r="C25" s="49"/>
      <c r="D25" s="49"/>
      <c r="E25" s="49"/>
      <c r="F25" s="144" t="s">
        <v>293</v>
      </c>
      <c r="G25" s="49"/>
      <c r="H25" s="49"/>
      <c r="I25" s="274"/>
      <c r="J25" s="800"/>
    </row>
    <row r="26" spans="1:10" ht="12.95" customHeight="1">
      <c r="A26" s="127" t="s">
        <v>26</v>
      </c>
      <c r="B26" s="142" t="s">
        <v>156</v>
      </c>
      <c r="C26" s="49"/>
      <c r="D26" s="49"/>
      <c r="E26" s="49"/>
      <c r="F26" s="139"/>
      <c r="G26" s="49"/>
      <c r="H26" s="49"/>
      <c r="I26" s="274"/>
      <c r="J26" s="800"/>
    </row>
    <row r="27" spans="1:10" ht="12.95" customHeight="1">
      <c r="A27" s="129" t="s">
        <v>27</v>
      </c>
      <c r="B27" s="141" t="s">
        <v>157</v>
      </c>
      <c r="C27" s="49"/>
      <c r="D27" s="49"/>
      <c r="E27" s="49"/>
      <c r="F27" s="58"/>
      <c r="G27" s="49"/>
      <c r="H27" s="49"/>
      <c r="I27" s="274"/>
      <c r="J27" s="800"/>
    </row>
    <row r="28" spans="1:10" ht="12.95" customHeight="1">
      <c r="A28" s="127" t="s">
        <v>28</v>
      </c>
      <c r="B28" s="145" t="s">
        <v>158</v>
      </c>
      <c r="C28" s="49"/>
      <c r="D28" s="49"/>
      <c r="E28" s="49"/>
      <c r="F28" s="30"/>
      <c r="G28" s="49"/>
      <c r="H28" s="49"/>
      <c r="I28" s="274"/>
      <c r="J28" s="800"/>
    </row>
    <row r="29" spans="1:10" ht="12.95" customHeight="1" thickBot="1">
      <c r="A29" s="129" t="s">
        <v>29</v>
      </c>
      <c r="B29" s="146" t="s">
        <v>159</v>
      </c>
      <c r="C29" s="49"/>
      <c r="D29" s="49"/>
      <c r="E29" s="49"/>
      <c r="F29" s="58"/>
      <c r="G29" s="49"/>
      <c r="H29" s="49"/>
      <c r="I29" s="274"/>
      <c r="J29" s="800"/>
    </row>
    <row r="30" spans="1:10" ht="21.75" customHeight="1" thickBot="1">
      <c r="A30" s="132" t="s">
        <v>30</v>
      </c>
      <c r="B30" s="60" t="s">
        <v>290</v>
      </c>
      <c r="C30" s="122">
        <f>+C18+C24</f>
        <v>113599319</v>
      </c>
      <c r="D30" s="122">
        <f>+D18+D24</f>
        <v>113599319</v>
      </c>
      <c r="E30" s="122">
        <f>+E18+E24</f>
        <v>109303836</v>
      </c>
      <c r="F30" s="60" t="s">
        <v>294</v>
      </c>
      <c r="G30" s="122">
        <f>SUM(G18:G29)</f>
        <v>463577</v>
      </c>
      <c r="H30" s="122">
        <f>SUM(H18:H29)</f>
        <v>1758835</v>
      </c>
      <c r="I30" s="122">
        <f>SUM(I18:I29)</f>
        <v>1758835</v>
      </c>
      <c r="J30" s="800"/>
    </row>
    <row r="31" spans="1:10" ht="13.5" thickBot="1">
      <c r="A31" s="132" t="s">
        <v>31</v>
      </c>
      <c r="B31" s="138" t="s">
        <v>295</v>
      </c>
      <c r="C31" s="310">
        <f>+C17+C30</f>
        <v>113599319</v>
      </c>
      <c r="D31" s="310">
        <f>+D17+D30</f>
        <v>115202193</v>
      </c>
      <c r="E31" s="311">
        <f>+E17+E30</f>
        <v>117211776</v>
      </c>
      <c r="F31" s="138" t="s">
        <v>296</v>
      </c>
      <c r="G31" s="310">
        <f>+G17+G30</f>
        <v>93370827</v>
      </c>
      <c r="H31" s="310">
        <f>+H17+H30</f>
        <v>100924085</v>
      </c>
      <c r="I31" s="311">
        <f>+I17+I30</f>
        <v>23963384</v>
      </c>
      <c r="J31" s="800"/>
    </row>
    <row r="32" spans="1:10" ht="13.5" thickBot="1">
      <c r="A32" s="132" t="s">
        <v>32</v>
      </c>
      <c r="B32" s="138" t="s">
        <v>108</v>
      </c>
      <c r="C32" s="310">
        <f>IF(C17-G17&lt;0,G17-C17,"-")</f>
        <v>92907250</v>
      </c>
      <c r="D32" s="310">
        <f>IF(D17-H17&lt;0,H17-D17,"-")</f>
        <v>97562376</v>
      </c>
      <c r="E32" s="311">
        <f>IF(E17-I17&lt;0,I17-E17,"-")</f>
        <v>14296609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 t="str">
        <f>IF(E17-I17&gt;0,E17-I17,"-")</f>
        <v>-</v>
      </c>
      <c r="J32" s="800"/>
    </row>
    <row r="33" spans="1:10" ht="13.5" thickBot="1">
      <c r="A33" s="132" t="s">
        <v>33</v>
      </c>
      <c r="B33" s="138" t="s">
        <v>485</v>
      </c>
      <c r="C33" s="310" t="str">
        <f>IF(C31-G31&lt;0,G31-C31,"-")</f>
        <v>-</v>
      </c>
      <c r="D33" s="310" t="str">
        <f>IF(D31-H31&lt;0,H31-D31,"-")</f>
        <v>-</v>
      </c>
      <c r="E33" s="310" t="str">
        <f>IF(E31-I31&lt;0,I31-E31,"-")</f>
        <v>-</v>
      </c>
      <c r="F33" s="138" t="s">
        <v>486</v>
      </c>
      <c r="G33" s="310">
        <f>IF(C31-G31&gt;0,C31-G31,"-")</f>
        <v>20228492</v>
      </c>
      <c r="H33" s="310">
        <f>IF(D31-H31&gt;0,D31-H31,"-")</f>
        <v>14278108</v>
      </c>
      <c r="I33" s="310">
        <f>IF(E31-I31&gt;0,E31-I31,"-")</f>
        <v>93248392</v>
      </c>
      <c r="J33" s="800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A7" zoomScale="120" zoomScaleNormal="120" workbookViewId="0">
      <selection activeCell="D21" sqref="D21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80" t="s">
        <v>521</v>
      </c>
      <c r="B1" s="82"/>
      <c r="C1" s="82"/>
      <c r="D1" s="82"/>
      <c r="E1" s="281" t="s">
        <v>103</v>
      </c>
    </row>
    <row r="2" spans="1:5">
      <c r="A2" s="82"/>
      <c r="B2" s="82"/>
      <c r="C2" s="82"/>
      <c r="D2" s="82"/>
      <c r="E2" s="82"/>
    </row>
    <row r="3" spans="1:5">
      <c r="A3" s="282"/>
      <c r="B3" s="283"/>
      <c r="C3" s="282"/>
      <c r="D3" s="284"/>
      <c r="E3" s="283"/>
    </row>
    <row r="4" spans="1:5" ht="15.7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>
      <c r="A5" s="282"/>
      <c r="B5" s="283"/>
      <c r="C5" s="282"/>
      <c r="D5" s="284"/>
      <c r="E5" s="283"/>
    </row>
    <row r="6" spans="1:5">
      <c r="A6" s="282" t="s">
        <v>453</v>
      </c>
      <c r="B6" s="283">
        <f>+Z_1.1.sz.mell.!C68</f>
        <v>82518989</v>
      </c>
      <c r="C6" s="282" t="s">
        <v>422</v>
      </c>
      <c r="D6" s="284">
        <f>+Z_2.1.sz.mell!C18+Z_2.2.sz.mell!C17</f>
        <v>82518989</v>
      </c>
      <c r="E6" s="283">
        <f>+B6-D6</f>
        <v>0</v>
      </c>
    </row>
    <row r="7" spans="1:5">
      <c r="A7" s="282" t="s">
        <v>469</v>
      </c>
      <c r="B7" s="283">
        <f>+Z_1.1.sz.mell.!C92</f>
        <v>113599319</v>
      </c>
      <c r="C7" s="282" t="s">
        <v>428</v>
      </c>
      <c r="D7" s="284">
        <f>+Z_2.1.sz.mell!C29+Z_2.2.sz.mell!C30</f>
        <v>113599319</v>
      </c>
      <c r="E7" s="283">
        <f>+B7-D7</f>
        <v>0</v>
      </c>
    </row>
    <row r="8" spans="1:5">
      <c r="A8" s="282" t="s">
        <v>470</v>
      </c>
      <c r="B8" s="283">
        <f>+Z_1.1.sz.mell.!C93</f>
        <v>196118308</v>
      </c>
      <c r="C8" s="282" t="s">
        <v>429</v>
      </c>
      <c r="D8" s="284">
        <f>+Z_2.1.sz.mell!C30+Z_2.2.sz.mell!C31</f>
        <v>196118308</v>
      </c>
      <c r="E8" s="283">
        <f>+B8-D8</f>
        <v>0</v>
      </c>
    </row>
    <row r="9" spans="1:5">
      <c r="A9" s="282"/>
      <c r="B9" s="283"/>
      <c r="C9" s="282"/>
      <c r="D9" s="284"/>
      <c r="E9" s="283"/>
    </row>
    <row r="10" spans="1:5" ht="15.7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>
      <c r="A11" s="282"/>
      <c r="B11" s="283"/>
      <c r="C11" s="282"/>
      <c r="D11" s="284"/>
      <c r="E11" s="283"/>
    </row>
    <row r="12" spans="1:5">
      <c r="A12" s="282" t="s">
        <v>454</v>
      </c>
      <c r="B12" s="283">
        <f>+Z_1.1.sz.mell.!D68</f>
        <v>101498368</v>
      </c>
      <c r="C12" s="282" t="s">
        <v>423</v>
      </c>
      <c r="D12" s="284">
        <f>+Z_2.1.sz.mell!D18+Z_2.2.sz.mell!D17</f>
        <v>101498368</v>
      </c>
      <c r="E12" s="283">
        <f>+B12-D12</f>
        <v>0</v>
      </c>
    </row>
    <row r="13" spans="1:5">
      <c r="A13" s="282" t="s">
        <v>455</v>
      </c>
      <c r="B13" s="283">
        <f>+Z_1.1.sz.mell.!D92</f>
        <v>114908620</v>
      </c>
      <c r="C13" s="282" t="s">
        <v>430</v>
      </c>
      <c r="D13" s="284">
        <f>+Z_2.1.sz.mell!D29+Z_2.2.sz.mell!D30</f>
        <v>114908620</v>
      </c>
      <c r="E13" s="283">
        <f>+B13-D13</f>
        <v>0</v>
      </c>
    </row>
    <row r="14" spans="1:5">
      <c r="A14" s="282" t="s">
        <v>456</v>
      </c>
      <c r="B14" s="283">
        <f>+Z_1.1.sz.mell.!D93</f>
        <v>216406988</v>
      </c>
      <c r="C14" s="282" t="s">
        <v>431</v>
      </c>
      <c r="D14" s="284">
        <f>+Z_2.1.sz.mell!D30+Z_2.2.sz.mell!D31</f>
        <v>216406988</v>
      </c>
      <c r="E14" s="283">
        <f>+B14-D14</f>
        <v>0</v>
      </c>
    </row>
    <row r="15" spans="1:5">
      <c r="A15" s="282"/>
      <c r="B15" s="283"/>
      <c r="C15" s="282"/>
      <c r="D15" s="284"/>
      <c r="E15" s="283"/>
    </row>
    <row r="16" spans="1:5" ht="14.25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>
      <c r="A17" s="282"/>
      <c r="B17" s="283"/>
      <c r="C17" s="282"/>
      <c r="D17" s="284"/>
      <c r="E17" s="283"/>
    </row>
    <row r="18" spans="1:5">
      <c r="A18" s="282" t="s">
        <v>457</v>
      </c>
      <c r="B18" s="283">
        <f>+Z_1.1.sz.mell.!E68</f>
        <v>120728238</v>
      </c>
      <c r="C18" s="282" t="s">
        <v>424</v>
      </c>
      <c r="D18" s="284">
        <f>+Z_2.1.sz.mell!E18+Z_2.2.sz.mell!E17</f>
        <v>120728238</v>
      </c>
      <c r="E18" s="283">
        <f>+B18-D18</f>
        <v>0</v>
      </c>
    </row>
    <row r="19" spans="1:5">
      <c r="A19" s="282" t="s">
        <v>458</v>
      </c>
      <c r="B19" s="283">
        <f>+Z_1.1.sz.mell.!E92</f>
        <v>111704386</v>
      </c>
      <c r="C19" s="282" t="s">
        <v>432</v>
      </c>
      <c r="D19" s="284">
        <f>+Z_2.1.sz.mell!E29+Z_2.2.sz.mell!E30</f>
        <v>111704386</v>
      </c>
      <c r="E19" s="283">
        <f>+B19-D19</f>
        <v>0</v>
      </c>
    </row>
    <row r="20" spans="1:5">
      <c r="A20" s="282" t="s">
        <v>459</v>
      </c>
      <c r="B20" s="283">
        <f>+Z_1.1.sz.mell.!E93</f>
        <v>232432624</v>
      </c>
      <c r="C20" s="282" t="s">
        <v>433</v>
      </c>
      <c r="D20" s="284">
        <f>+Z_2.1.sz.mell!E30+Z_2.2.sz.mell!E31</f>
        <v>232432624</v>
      </c>
      <c r="E20" s="283">
        <f>+B20-D20</f>
        <v>0</v>
      </c>
    </row>
    <row r="21" spans="1:5">
      <c r="A21" s="282"/>
      <c r="B21" s="283"/>
      <c r="C21" s="282"/>
      <c r="D21" s="284"/>
      <c r="E21" s="283"/>
    </row>
    <row r="22" spans="1:5" ht="15.7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>
      <c r="A23" s="282"/>
      <c r="B23" s="283"/>
      <c r="C23" s="282"/>
      <c r="D23" s="284"/>
      <c r="E23" s="283"/>
    </row>
    <row r="24" spans="1:5">
      <c r="A24" s="282" t="s">
        <v>471</v>
      </c>
      <c r="B24" s="283">
        <f>+Z_1.1.sz.mell.!C135</f>
        <v>195654731</v>
      </c>
      <c r="C24" s="282" t="s">
        <v>425</v>
      </c>
      <c r="D24" s="284">
        <f>+Z_2.1.sz.mell!G18+Z_2.2.sz.mell!G17</f>
        <v>195654731</v>
      </c>
      <c r="E24" s="283">
        <f>+B24-D24</f>
        <v>0</v>
      </c>
    </row>
    <row r="25" spans="1:5">
      <c r="A25" s="282" t="s">
        <v>461</v>
      </c>
      <c r="B25" s="283">
        <f>+Z_1.1.sz.mell.!C160</f>
        <v>463577</v>
      </c>
      <c r="C25" s="282" t="s">
        <v>434</v>
      </c>
      <c r="D25" s="284">
        <f>+Z_2.1.sz.mell!G29+Z_2.2.sz.mell!G30</f>
        <v>463577</v>
      </c>
      <c r="E25" s="283">
        <f>+B25-D25</f>
        <v>0</v>
      </c>
    </row>
    <row r="26" spans="1:5">
      <c r="A26" s="282" t="s">
        <v>462</v>
      </c>
      <c r="B26" s="283">
        <f>+Z_1.1.sz.mell.!C161</f>
        <v>196118308</v>
      </c>
      <c r="C26" s="282" t="s">
        <v>435</v>
      </c>
      <c r="D26" s="284">
        <f>+Z_2.1.sz.mell!G30+Z_2.2.sz.mell!G31</f>
        <v>196118308</v>
      </c>
      <c r="E26" s="283">
        <f>+B26-D26</f>
        <v>0</v>
      </c>
    </row>
    <row r="27" spans="1:5">
      <c r="A27" s="282"/>
      <c r="B27" s="283"/>
      <c r="C27" s="282"/>
      <c r="D27" s="284"/>
      <c r="E27" s="283"/>
    </row>
    <row r="28" spans="1:5" ht="15.7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>
      <c r="A29" s="282"/>
      <c r="B29" s="283"/>
      <c r="C29" s="282"/>
      <c r="D29" s="284"/>
      <c r="E29" s="283"/>
    </row>
    <row r="30" spans="1:5">
      <c r="A30" s="282" t="s">
        <v>463</v>
      </c>
      <c r="B30" s="283">
        <f>+Z_1.1.sz.mell.!D135</f>
        <v>214648153</v>
      </c>
      <c r="C30" s="282" t="s">
        <v>426</v>
      </c>
      <c r="D30" s="284">
        <f>+Z_2.1.sz.mell!H18+Z_2.2.sz.mell!H17</f>
        <v>214648153</v>
      </c>
      <c r="E30" s="283">
        <f>+B30-D30</f>
        <v>0</v>
      </c>
    </row>
    <row r="31" spans="1:5">
      <c r="A31" s="282" t="s">
        <v>464</v>
      </c>
      <c r="B31" s="283">
        <f>+Z_1.1.sz.mell.!D160</f>
        <v>1758835</v>
      </c>
      <c r="C31" s="282" t="s">
        <v>436</v>
      </c>
      <c r="D31" s="284">
        <f>+Z_2.1.sz.mell!H29+Z_2.2.sz.mell!H30</f>
        <v>1758835</v>
      </c>
      <c r="E31" s="283">
        <f>+B31-D31</f>
        <v>0</v>
      </c>
    </row>
    <row r="32" spans="1:5">
      <c r="A32" s="282" t="s">
        <v>465</v>
      </c>
      <c r="B32" s="283">
        <f>+Z_1.1.sz.mell.!D161</f>
        <v>216406988</v>
      </c>
      <c r="C32" s="282" t="s">
        <v>437</v>
      </c>
      <c r="D32" s="284">
        <f>+Z_2.1.sz.mell!H30+Z_2.2.sz.mell!H31</f>
        <v>216406988</v>
      </c>
      <c r="E32" s="283">
        <f>+B32-D32</f>
        <v>0</v>
      </c>
    </row>
    <row r="33" spans="1:5">
      <c r="A33" s="282"/>
      <c r="B33" s="283"/>
      <c r="C33" s="282"/>
      <c r="D33" s="284"/>
      <c r="E33" s="283"/>
    </row>
    <row r="34" spans="1:5" ht="15.7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>
      <c r="A35" s="282"/>
      <c r="B35" s="283"/>
      <c r="C35" s="282"/>
      <c r="D35" s="284"/>
      <c r="E35" s="283"/>
    </row>
    <row r="36" spans="1:5">
      <c r="A36" s="282" t="s">
        <v>466</v>
      </c>
      <c r="B36" s="283">
        <f>+Z_1.1.sz.mell.!E135</f>
        <v>117195141</v>
      </c>
      <c r="C36" s="282" t="s">
        <v>427</v>
      </c>
      <c r="D36" s="284">
        <f>+Z_2.1.sz.mell!I18+Z_2.2.sz.mell!I17</f>
        <v>117195141</v>
      </c>
      <c r="E36" s="283">
        <f>+B36-D36</f>
        <v>0</v>
      </c>
    </row>
    <row r="37" spans="1:5">
      <c r="A37" s="282" t="s">
        <v>467</v>
      </c>
      <c r="B37" s="283">
        <f>+Z_1.1.sz.mell.!E160</f>
        <v>1758835</v>
      </c>
      <c r="C37" s="282" t="s">
        <v>438</v>
      </c>
      <c r="D37" s="284">
        <f>+Z_2.1.sz.mell!I29+Z_2.2.sz.mell!I30</f>
        <v>1758835</v>
      </c>
      <c r="E37" s="283">
        <f>+B37-D37</f>
        <v>0</v>
      </c>
    </row>
    <row r="38" spans="1:5">
      <c r="A38" s="282" t="s">
        <v>472</v>
      </c>
      <c r="B38" s="283">
        <f>+Z_1.1.sz.mell.!E161</f>
        <v>118953976</v>
      </c>
      <c r="C38" s="282" t="s">
        <v>439</v>
      </c>
      <c r="D38" s="284">
        <f>+Z_2.1.sz.mell!I30+Z_2.2.sz.mell!I31</f>
        <v>118953976</v>
      </c>
      <c r="E38" s="283">
        <f>+B38-D38</f>
        <v>0</v>
      </c>
    </row>
  </sheetData>
  <sheetProtection sheet="1"/>
  <phoneticPr fontId="24" type="noConversion"/>
  <conditionalFormatting sqref="E3:E15">
    <cfRule type="cellIs" dxfId="2" priority="2" stopIfTrue="1" operator="notEqual">
      <formula>0</formula>
    </cfRule>
  </conditionalFormatting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Z_ALAPADATOK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Mirczik Ádám</cp:lastModifiedBy>
  <cp:lastPrinted>2021-05-27T13:43:22Z</cp:lastPrinted>
  <dcterms:created xsi:type="dcterms:W3CDTF">1999-10-30T10:30:45Z</dcterms:created>
  <dcterms:modified xsi:type="dcterms:W3CDTF">2021-05-28T14:09:57Z</dcterms:modified>
</cp:coreProperties>
</file>