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csisne.betti\Desktop\RENDELETEKBEa\Rendeletek 2021\"/>
    </mc:Choice>
  </mc:AlternateContent>
  <xr:revisionPtr revIDLastSave="0" documentId="13_ncr:1_{E41DC3C3-9A22-4DF4-9A56-50F5AA71046A}" xr6:coauthVersionLast="47" xr6:coauthVersionMax="47" xr10:uidLastSave="{00000000-0000-0000-0000-000000000000}"/>
  <bookViews>
    <workbookView xWindow="-120" yWindow="-120" windowWidth="20730" windowHeight="11160" tabRatio="968" activeTab="3" xr2:uid="{00000000-000D-0000-FFFF-FFFF00000000}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state="hidden" r:id="rId30"/>
    <sheet name="Z_6.5.1.sz.mell" sheetId="150" state="hidden" r:id="rId31"/>
    <sheet name="Z_6.5.2.sz.mell" sheetId="151" state="hidden" r:id="rId32"/>
    <sheet name="Z_6.5.3.sz.mell" sheetId="152" state="hidden" r:id="rId33"/>
    <sheet name="Z_6.6.sz.mell" sheetId="153" state="hidden" r:id="rId34"/>
    <sheet name="Z_6.6.1.sz.mell" sheetId="154" state="hidden" r:id="rId35"/>
    <sheet name="Z_6.6.2.sz.mell" sheetId="155" state="hidden" r:id="rId36"/>
    <sheet name="Z_6.6.3.sz.mell" sheetId="156" state="hidden" r:id="rId37"/>
    <sheet name="Z_6.7.sz.mell" sheetId="157" state="hidden" r:id="rId38"/>
    <sheet name="Z_6.7.1.sz.mell" sheetId="158" state="hidden" r:id="rId39"/>
    <sheet name="Z_6.7.2.sz.mell" sheetId="159" state="hidden" r:id="rId40"/>
    <sheet name="Z_6.7.3.sz.mell" sheetId="160" state="hidden" r:id="rId41"/>
    <sheet name="Z_6.8.sz.mell" sheetId="161" state="hidden" r:id="rId42"/>
    <sheet name="Z_6.8.1.sz.mell" sheetId="162" state="hidden" r:id="rId43"/>
    <sheet name="Z_6.8.2.sz.mell" sheetId="163" state="hidden" r:id="rId44"/>
    <sheet name="Z_6.8.3.sz.mell" sheetId="164" state="hidden" r:id="rId45"/>
    <sheet name="Z_6.9.sz.mell" sheetId="169" state="hidden" r:id="rId46"/>
    <sheet name="Z_6.9.1.sz.mell" sheetId="170" state="hidden" r:id="rId47"/>
    <sheet name="Z_6.9.2.sz.mell" sheetId="171" state="hidden" r:id="rId48"/>
    <sheet name="Z_6.9.3.sz.mell" sheetId="172" state="hidden" r:id="rId49"/>
    <sheet name="Z_6.10.sz.mell" sheetId="173" state="hidden" r:id="rId50"/>
    <sheet name="Z_6.10.1.sz.mell" sheetId="174" state="hidden" r:id="rId51"/>
    <sheet name="Z_6.10.2.sz.mell" sheetId="175" state="hidden" r:id="rId52"/>
    <sheet name="Z_6.10.3.sz.mell" sheetId="176" state="hidden" r:id="rId53"/>
    <sheet name="Z_6.11.sz.mell" sheetId="177" state="hidden" r:id="rId54"/>
    <sheet name="Z_6.11.1.sz.mell" sheetId="178" state="hidden" r:id="rId55"/>
    <sheet name="Z_6.11.2.sz.mell" sheetId="179" state="hidden" r:id="rId56"/>
    <sheet name="Z_6.11.3.sz.mell" sheetId="180" state="hidden" r:id="rId57"/>
    <sheet name="Z_6.12.sz.mell" sheetId="181" state="hidden" r:id="rId58"/>
    <sheet name="Z_6.12.1.sz.mell" sheetId="182" state="hidden" r:id="rId59"/>
    <sheet name="Z_6.12.2.sz.mell" sheetId="183" state="hidden" r:id="rId60"/>
    <sheet name="Z_6.12.3.sz.mell" sheetId="184" state="hidden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/>
</workbook>
</file>

<file path=xl/calcChain.xml><?xml version="1.0" encoding="utf-8"?>
<calcChain xmlns="http://schemas.openxmlformats.org/spreadsheetml/2006/main">
  <c r="D38" i="197" l="1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 s="1"/>
  <c r="B81" i="213" s="1"/>
  <c r="B103" i="213" s="1"/>
  <c r="B125" i="213" s="1"/>
  <c r="B147" i="213" s="1"/>
  <c r="B169" i="213" s="1"/>
  <c r="B191" i="213" s="1"/>
  <c r="B213" i="213" s="1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B224" i="213"/>
  <c r="B229" i="213" s="1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B217" i="213"/>
  <c r="B223" i="213" s="1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I207" i="213" s="1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I163" i="213"/>
  <c r="B158" i="213"/>
  <c r="B163" i="213" s="1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 s="1"/>
  <c r="B154" i="213"/>
  <c r="I153" i="213"/>
  <c r="B153" i="213"/>
  <c r="I152" i="213"/>
  <c r="B152" i="213"/>
  <c r="I151" i="213"/>
  <c r="B151" i="213"/>
  <c r="B157" i="213" s="1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 s="1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B129" i="213"/>
  <c r="B135" i="213" s="1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 s="1"/>
  <c r="B110" i="213"/>
  <c r="I109" i="213"/>
  <c r="B109" i="213"/>
  <c r="I108" i="213"/>
  <c r="B108" i="213"/>
  <c r="I107" i="213"/>
  <c r="B107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B92" i="213"/>
  <c r="B97" i="213" s="1"/>
  <c r="H91" i="213"/>
  <c r="G91" i="213"/>
  <c r="F91" i="213"/>
  <c r="E91" i="213"/>
  <c r="D91" i="213"/>
  <c r="C91" i="213"/>
  <c r="I90" i="213"/>
  <c r="B90" i="213"/>
  <c r="I89" i="213"/>
  <c r="B89" i="213"/>
  <c r="I88" i="213"/>
  <c r="I91" i="213" s="1"/>
  <c r="B88" i="213"/>
  <c r="I87" i="213"/>
  <c r="B87" i="213"/>
  <c r="I86" i="213"/>
  <c r="B86" i="213"/>
  <c r="I85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 s="1"/>
  <c r="B48" i="213"/>
  <c r="B53" i="213" s="1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B41" i="213"/>
  <c r="B47" i="213"/>
  <c r="B30" i="213"/>
  <c r="B29" i="213"/>
  <c r="B28" i="213"/>
  <c r="B27" i="213"/>
  <c r="B26" i="213"/>
  <c r="B24" i="213"/>
  <c r="B23" i="213"/>
  <c r="B22" i="213"/>
  <c r="B21" i="213"/>
  <c r="B20" i="213"/>
  <c r="B19" i="213"/>
  <c r="B25" i="213" s="1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4" i="213"/>
  <c r="D7" i="94"/>
  <c r="B1" i="94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 s="1"/>
  <c r="K11" i="94"/>
  <c r="M11" i="94" s="1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D37" i="203" s="1"/>
  <c r="C48" i="203"/>
  <c r="E43" i="203"/>
  <c r="D43" i="203"/>
  <c r="C43" i="203"/>
  <c r="E38" i="203"/>
  <c r="D38" i="203"/>
  <c r="C38" i="203"/>
  <c r="C37" i="203" s="1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E11" i="203" s="1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 s="1"/>
  <c r="E14" i="200"/>
  <c r="E19" i="200"/>
  <c r="D14" i="200"/>
  <c r="D19" i="200" s="1"/>
  <c r="C14" i="200"/>
  <c r="H13" i="200"/>
  <c r="I13" i="200"/>
  <c r="H12" i="200"/>
  <c r="I12" i="200" s="1"/>
  <c r="H11" i="200"/>
  <c r="I11" i="200"/>
  <c r="H10" i="200"/>
  <c r="H9" i="200"/>
  <c r="H8" i="200"/>
  <c r="I8" i="200"/>
  <c r="H7" i="200"/>
  <c r="I7" i="200" s="1"/>
  <c r="H14" i="199"/>
  <c r="H21" i="199"/>
  <c r="G14" i="199"/>
  <c r="F14" i="199"/>
  <c r="E14" i="199"/>
  <c r="H7" i="199"/>
  <c r="G7" i="199"/>
  <c r="G21" i="199" s="1"/>
  <c r="F7" i="199"/>
  <c r="F21" i="199"/>
  <c r="E7" i="199"/>
  <c r="J18" i="198"/>
  <c r="J17" i="198"/>
  <c r="I16" i="198"/>
  <c r="H16" i="198"/>
  <c r="G16" i="198"/>
  <c r="F16" i="198"/>
  <c r="J16" i="198" s="1"/>
  <c r="E16" i="198"/>
  <c r="D16" i="198"/>
  <c r="J15" i="198"/>
  <c r="I14" i="198"/>
  <c r="I19" i="198" s="1"/>
  <c r="H14" i="198"/>
  <c r="G14" i="198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J9" i="198" s="1"/>
  <c r="G9" i="198"/>
  <c r="F9" i="198"/>
  <c r="E9" i="198"/>
  <c r="D9" i="198"/>
  <c r="D19" i="198" s="1"/>
  <c r="J8" i="198"/>
  <c r="J7" i="198"/>
  <c r="I6" i="198"/>
  <c r="H6" i="198"/>
  <c r="G6" i="198"/>
  <c r="J6" i="198" s="1"/>
  <c r="F6" i="198"/>
  <c r="E6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E131" i="197" s="1"/>
  <c r="D96" i="197"/>
  <c r="D131" i="197"/>
  <c r="C96" i="197"/>
  <c r="C131" i="197" s="1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D66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 s="1"/>
  <c r="B2" i="183" s="1"/>
  <c r="B2" i="184" s="1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 s="1"/>
  <c r="C45" i="183"/>
  <c r="E37" i="183"/>
  <c r="D37" i="183"/>
  <c r="C37" i="183"/>
  <c r="E30" i="183"/>
  <c r="D30" i="183"/>
  <c r="C30" i="183"/>
  <c r="C36" i="183" s="1"/>
  <c r="C41" i="183" s="1"/>
  <c r="E26" i="183"/>
  <c r="D26" i="183"/>
  <c r="C26" i="183"/>
  <c r="E20" i="183"/>
  <c r="D20" i="183"/>
  <c r="C20" i="183"/>
  <c r="E8" i="183"/>
  <c r="E36" i="183"/>
  <c r="E41" i="183" s="1"/>
  <c r="D8" i="183"/>
  <c r="C8" i="183"/>
  <c r="E51" i="182"/>
  <c r="D51" i="182"/>
  <c r="C51" i="182"/>
  <c r="E45" i="182"/>
  <c r="E57" i="182" s="1"/>
  <c r="D45" i="182"/>
  <c r="D57" i="182" s="1"/>
  <c r="C45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C8" i="182"/>
  <c r="E51" i="181"/>
  <c r="D51" i="181"/>
  <c r="C51" i="181"/>
  <c r="E45" i="181"/>
  <c r="E57" i="181"/>
  <c r="D45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C8" i="181"/>
  <c r="B2" i="177"/>
  <c r="B2" i="178"/>
  <c r="B2" i="179" s="1"/>
  <c r="B2" i="180" s="1"/>
  <c r="E51" i="180"/>
  <c r="D51" i="180"/>
  <c r="C51" i="180"/>
  <c r="C57" i="180" s="1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D8" i="180"/>
  <c r="C8" i="180"/>
  <c r="E51" i="179"/>
  <c r="E57" i="179"/>
  <c r="D51" i="179"/>
  <c r="C51" i="179"/>
  <c r="E45" i="179"/>
  <c r="D45" i="179"/>
  <c r="D57" i="179" s="1"/>
  <c r="C45" i="179"/>
  <c r="C57" i="179" s="1"/>
  <c r="E37" i="179"/>
  <c r="D37" i="179"/>
  <c r="C37" i="179"/>
  <c r="E30" i="179"/>
  <c r="D30" i="179"/>
  <c r="C30" i="179"/>
  <c r="E26" i="179"/>
  <c r="D26" i="179"/>
  <c r="C26" i="179"/>
  <c r="E20" i="179"/>
  <c r="D20" i="179"/>
  <c r="D36" i="179" s="1"/>
  <c r="D41" i="179" s="1"/>
  <c r="C20" i="179"/>
  <c r="E8" i="179"/>
  <c r="D8" i="179"/>
  <c r="C8" i="179"/>
  <c r="E51" i="178"/>
  <c r="D51" i="178"/>
  <c r="C51" i="178"/>
  <c r="E45" i="178"/>
  <c r="E57" i="178" s="1"/>
  <c r="D45" i="178"/>
  <c r="D57" i="178" s="1"/>
  <c r="C45" i="178"/>
  <c r="C57" i="178" s="1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C8" i="178"/>
  <c r="C36" i="178" s="1"/>
  <c r="E51" i="177"/>
  <c r="D51" i="177"/>
  <c r="C51" i="177"/>
  <c r="E45" i="177"/>
  <c r="D45" i="177"/>
  <c r="D57" i="177" s="1"/>
  <c r="C45" i="177"/>
  <c r="C57" i="177" s="1"/>
  <c r="E37" i="177"/>
  <c r="D37" i="177"/>
  <c r="C37" i="177"/>
  <c r="E30" i="177"/>
  <c r="D30" i="177"/>
  <c r="C30" i="177"/>
  <c r="E26" i="177"/>
  <c r="E36" i="177"/>
  <c r="E41" i="177" s="1"/>
  <c r="D26" i="177"/>
  <c r="C26" i="177"/>
  <c r="E20" i="177"/>
  <c r="D20" i="177"/>
  <c r="C20" i="177"/>
  <c r="E8" i="177"/>
  <c r="D8" i="177"/>
  <c r="D36" i="177" s="1"/>
  <c r="D41" i="177" s="1"/>
  <c r="D58" i="177" s="1"/>
  <c r="C8" i="177"/>
  <c r="C36" i="177" s="1"/>
  <c r="C41" i="177" s="1"/>
  <c r="C58" i="177" s="1"/>
  <c r="B2" i="173"/>
  <c r="B2" i="174" s="1"/>
  <c r="B2" i="175" s="1"/>
  <c r="B2" i="176" s="1"/>
  <c r="E51" i="176"/>
  <c r="D51" i="176"/>
  <c r="C51" i="176"/>
  <c r="E45" i="176"/>
  <c r="D45" i="176"/>
  <c r="D57" i="176" s="1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C8" i="176"/>
  <c r="E51" i="175"/>
  <c r="D51" i="175"/>
  <c r="C51" i="175"/>
  <c r="E45" i="175"/>
  <c r="E57" i="175"/>
  <c r="D45" i="175"/>
  <c r="D57" i="175" s="1"/>
  <c r="C45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D57" i="174" s="1"/>
  <c r="C51" i="174"/>
  <c r="E45" i="174"/>
  <c r="E57" i="174"/>
  <c r="D45" i="174"/>
  <c r="C45" i="174"/>
  <c r="C57" i="174" s="1"/>
  <c r="E37" i="174"/>
  <c r="D37" i="174"/>
  <c r="C37" i="174"/>
  <c r="E30" i="174"/>
  <c r="D30" i="174"/>
  <c r="C30" i="174"/>
  <c r="E26" i="174"/>
  <c r="D26" i="174"/>
  <c r="D36" i="174" s="1"/>
  <c r="D41" i="174" s="1"/>
  <c r="C26" i="174"/>
  <c r="E20" i="174"/>
  <c r="D20" i="174"/>
  <c r="C20" i="174"/>
  <c r="E8" i="174"/>
  <c r="D8" i="174"/>
  <c r="C8" i="174"/>
  <c r="E51" i="173"/>
  <c r="D51" i="173"/>
  <c r="C51" i="173"/>
  <c r="E45" i="173"/>
  <c r="E57" i="173" s="1"/>
  <c r="D45" i="173"/>
  <c r="D57" i="173" s="1"/>
  <c r="C45" i="173"/>
  <c r="C57" i="173" s="1"/>
  <c r="E37" i="173"/>
  <c r="D37" i="173"/>
  <c r="C37" i="173"/>
  <c r="E30" i="173"/>
  <c r="D30" i="173"/>
  <c r="D36" i="173" s="1"/>
  <c r="C30" i="173"/>
  <c r="E26" i="173"/>
  <c r="D26" i="173"/>
  <c r="C26" i="173"/>
  <c r="E20" i="173"/>
  <c r="D20" i="173"/>
  <c r="C20" i="173"/>
  <c r="E8" i="173"/>
  <c r="D8" i="173"/>
  <c r="C8" i="173"/>
  <c r="B2" i="169"/>
  <c r="B2" i="170"/>
  <c r="B2" i="171" s="1"/>
  <c r="B2" i="172" s="1"/>
  <c r="E51" i="172"/>
  <c r="D51" i="172"/>
  <c r="C51" i="172"/>
  <c r="E45" i="172"/>
  <c r="E57" i="172" s="1"/>
  <c r="D45" i="172"/>
  <c r="C45" i="172"/>
  <c r="C57" i="172" s="1"/>
  <c r="E37" i="172"/>
  <c r="D37" i="172"/>
  <c r="C37" i="172"/>
  <c r="E30" i="172"/>
  <c r="D30" i="172"/>
  <c r="C30" i="172"/>
  <c r="E26" i="172"/>
  <c r="D26" i="172"/>
  <c r="C26" i="172"/>
  <c r="C36" i="172" s="1"/>
  <c r="C41" i="172" s="1"/>
  <c r="C58" i="172" s="1"/>
  <c r="E20" i="172"/>
  <c r="D20" i="172"/>
  <c r="C20" i="172"/>
  <c r="E8" i="172"/>
  <c r="E36" i="172" s="1"/>
  <c r="E41" i="172" s="1"/>
  <c r="D8" i="172"/>
  <c r="C8" i="172"/>
  <c r="E51" i="171"/>
  <c r="D51" i="171"/>
  <c r="C51" i="171"/>
  <c r="E45" i="171"/>
  <c r="E57" i="171" s="1"/>
  <c r="D45" i="171"/>
  <c r="C45" i="171"/>
  <c r="C57" i="171" s="1"/>
  <c r="E37" i="171"/>
  <c r="D37" i="171"/>
  <c r="C37" i="171"/>
  <c r="E30" i="171"/>
  <c r="D30" i="171"/>
  <c r="C30" i="171"/>
  <c r="C36" i="171" s="1"/>
  <c r="E26" i="171"/>
  <c r="D26" i="171"/>
  <c r="C26" i="171"/>
  <c r="E20" i="171"/>
  <c r="D20" i="171"/>
  <c r="C20" i="171"/>
  <c r="E8" i="171"/>
  <c r="E36" i="171"/>
  <c r="E41" i="171" s="1"/>
  <c r="D8" i="171"/>
  <c r="C8" i="171"/>
  <c r="E51" i="170"/>
  <c r="D51" i="170"/>
  <c r="C51" i="170"/>
  <c r="E45" i="170"/>
  <c r="E57" i="170"/>
  <c r="D45" i="170"/>
  <c r="D57" i="170" s="1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C8" i="170"/>
  <c r="E51" i="169"/>
  <c r="D51" i="169"/>
  <c r="C51" i="169"/>
  <c r="E45" i="169"/>
  <c r="D45" i="169"/>
  <c r="D57" i="169" s="1"/>
  <c r="C45" i="169"/>
  <c r="C57" i="169" s="1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 s="1"/>
  <c r="B2" i="164" s="1"/>
  <c r="E51" i="164"/>
  <c r="D51" i="164"/>
  <c r="C51" i="164"/>
  <c r="E45" i="164"/>
  <c r="E57" i="164" s="1"/>
  <c r="D45" i="164"/>
  <c r="D57" i="164" s="1"/>
  <c r="C45" i="164"/>
  <c r="C57" i="164" s="1"/>
  <c r="E37" i="164"/>
  <c r="D37" i="164"/>
  <c r="C37" i="164"/>
  <c r="E30" i="164"/>
  <c r="D30" i="164"/>
  <c r="C30" i="164"/>
  <c r="E26" i="164"/>
  <c r="E36" i="164" s="1"/>
  <c r="E41" i="164" s="1"/>
  <c r="D26" i="164"/>
  <c r="C26" i="164"/>
  <c r="E20" i="164"/>
  <c r="D20" i="164"/>
  <c r="C20" i="164"/>
  <c r="C36" i="164" s="1"/>
  <c r="C41" i="164" s="1"/>
  <c r="E8" i="164"/>
  <c r="D8" i="164"/>
  <c r="D36" i="164" s="1"/>
  <c r="D41" i="164" s="1"/>
  <c r="D58" i="164" s="1"/>
  <c r="C8" i="164"/>
  <c r="E51" i="163"/>
  <c r="E57" i="163" s="1"/>
  <c r="D51" i="163"/>
  <c r="C51" i="163"/>
  <c r="E45" i="163"/>
  <c r="D45" i="163"/>
  <c r="D57" i="163" s="1"/>
  <c r="C45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 s="1"/>
  <c r="C41" i="163" s="1"/>
  <c r="E51" i="162"/>
  <c r="D51" i="162"/>
  <c r="C51" i="162"/>
  <c r="C57" i="162" s="1"/>
  <c r="E45" i="162"/>
  <c r="E57" i="162"/>
  <c r="D45" i="162"/>
  <c r="D57" i="162" s="1"/>
  <c r="C45" i="162"/>
  <c r="E37" i="162"/>
  <c r="D37" i="162"/>
  <c r="C37" i="162"/>
  <c r="E30" i="162"/>
  <c r="D30" i="162"/>
  <c r="D36" i="162" s="1"/>
  <c r="D41" i="162" s="1"/>
  <c r="C30" i="162"/>
  <c r="E26" i="162"/>
  <c r="D26" i="162"/>
  <c r="C26" i="162"/>
  <c r="E20" i="162"/>
  <c r="D20" i="162"/>
  <c r="C20" i="162"/>
  <c r="E8" i="162"/>
  <c r="D8" i="162"/>
  <c r="C8" i="162"/>
  <c r="E51" i="161"/>
  <c r="D51" i="161"/>
  <c r="C51" i="161"/>
  <c r="E45" i="161"/>
  <c r="E57" i="161"/>
  <c r="D45" i="161"/>
  <c r="C45" i="161"/>
  <c r="C57" i="161"/>
  <c r="E37" i="161"/>
  <c r="D37" i="161"/>
  <c r="C37" i="161"/>
  <c r="E30" i="161"/>
  <c r="D30" i="161"/>
  <c r="D36" i="161" s="1"/>
  <c r="D41" i="161" s="1"/>
  <c r="D58" i="161" s="1"/>
  <c r="C30" i="161"/>
  <c r="E26" i="161"/>
  <c r="D26" i="161"/>
  <c r="C26" i="161"/>
  <c r="E20" i="161"/>
  <c r="D20" i="161"/>
  <c r="C20" i="161"/>
  <c r="E8" i="161"/>
  <c r="E36" i="161" s="1"/>
  <c r="E41" i="161" s="1"/>
  <c r="D8" i="161"/>
  <c r="C8" i="161"/>
  <c r="B2" i="157"/>
  <c r="B2" i="158"/>
  <c r="B2" i="159"/>
  <c r="B2" i="160" s="1"/>
  <c r="E51" i="160"/>
  <c r="D51" i="160"/>
  <c r="C51" i="160"/>
  <c r="E45" i="160"/>
  <c r="E57" i="160" s="1"/>
  <c r="D45" i="160"/>
  <c r="D57" i="160" s="1"/>
  <c r="C45" i="160"/>
  <c r="C57" i="160" s="1"/>
  <c r="E37" i="160"/>
  <c r="D37" i="160"/>
  <c r="C37" i="160"/>
  <c r="E30" i="160"/>
  <c r="D30" i="160"/>
  <c r="C30" i="160"/>
  <c r="E26" i="160"/>
  <c r="D26" i="160"/>
  <c r="C26" i="160"/>
  <c r="C36" i="160" s="1"/>
  <c r="E20" i="160"/>
  <c r="D20" i="160"/>
  <c r="C20" i="160"/>
  <c r="E8" i="160"/>
  <c r="D8" i="160"/>
  <c r="C8" i="160"/>
  <c r="E51" i="159"/>
  <c r="D51" i="159"/>
  <c r="C51" i="159"/>
  <c r="E45" i="159"/>
  <c r="E57" i="159"/>
  <c r="D45" i="159"/>
  <c r="D57" i="159" s="1"/>
  <c r="C45" i="159"/>
  <c r="C57" i="159" s="1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 s="1"/>
  <c r="D45" i="158"/>
  <c r="D57" i="158" s="1"/>
  <c r="C45" i="158"/>
  <c r="C57" i="158" s="1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D36" i="157" s="1"/>
  <c r="D41" i="157" s="1"/>
  <c r="C26" i="157"/>
  <c r="E20" i="157"/>
  <c r="D20" i="157"/>
  <c r="C20" i="157"/>
  <c r="E8" i="157"/>
  <c r="D8" i="157"/>
  <c r="C8" i="157"/>
  <c r="B2" i="153"/>
  <c r="B2" i="154" s="1"/>
  <c r="B2" i="155" s="1"/>
  <c r="B2" i="156" s="1"/>
  <c r="E51" i="156"/>
  <c r="D51" i="156"/>
  <c r="C51" i="156"/>
  <c r="E45" i="156"/>
  <c r="E57" i="156" s="1"/>
  <c r="D45" i="156"/>
  <c r="D57" i="156" s="1"/>
  <c r="C45" i="156"/>
  <c r="C57" i="156" s="1"/>
  <c r="E37" i="156"/>
  <c r="D37" i="156"/>
  <c r="C37" i="156"/>
  <c r="E30" i="156"/>
  <c r="D30" i="156"/>
  <c r="C30" i="156"/>
  <c r="C36" i="156" s="1"/>
  <c r="E26" i="156"/>
  <c r="D26" i="156"/>
  <c r="C26" i="156"/>
  <c r="E20" i="156"/>
  <c r="D20" i="156"/>
  <c r="C20" i="156"/>
  <c r="E8" i="156"/>
  <c r="D8" i="156"/>
  <c r="D36" i="156" s="1"/>
  <c r="D41" i="156" s="1"/>
  <c r="D58" i="156" s="1"/>
  <c r="C8" i="156"/>
  <c r="E51" i="155"/>
  <c r="D51" i="155"/>
  <c r="D57" i="155" s="1"/>
  <c r="C51" i="155"/>
  <c r="E45" i="155"/>
  <c r="E57" i="155"/>
  <c r="D45" i="155"/>
  <c r="C45" i="155"/>
  <c r="C57" i="155" s="1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 s="1"/>
  <c r="D45" i="154"/>
  <c r="D57" i="154" s="1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 s="1"/>
  <c r="E41" i="154" s="1"/>
  <c r="D8" i="154"/>
  <c r="C8" i="154"/>
  <c r="E51" i="153"/>
  <c r="D51" i="153"/>
  <c r="C51" i="153"/>
  <c r="E45" i="153"/>
  <c r="E57" i="153"/>
  <c r="D45" i="153"/>
  <c r="D57" i="153" s="1"/>
  <c r="C45" i="153"/>
  <c r="C57" i="153" s="1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D8" i="153"/>
  <c r="D36" i="153" s="1"/>
  <c r="D41" i="153" s="1"/>
  <c r="C8" i="153"/>
  <c r="B2" i="149"/>
  <c r="B2" i="150" s="1"/>
  <c r="B2" i="151"/>
  <c r="B2" i="152" s="1"/>
  <c r="E51" i="152"/>
  <c r="D51" i="152"/>
  <c r="C51" i="152"/>
  <c r="E45" i="152"/>
  <c r="E57" i="152" s="1"/>
  <c r="D45" i="152"/>
  <c r="C45" i="152"/>
  <c r="C57" i="152" s="1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E57" i="151" s="1"/>
  <c r="D45" i="151"/>
  <c r="D57" i="151"/>
  <c r="C45" i="151"/>
  <c r="C57" i="151" s="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C36" i="151"/>
  <c r="C41" i="151" s="1"/>
  <c r="C58" i="151" s="1"/>
  <c r="E8" i="151"/>
  <c r="D8" i="151"/>
  <c r="C8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 s="1"/>
  <c r="E41" i="150" s="1"/>
  <c r="D8" i="150"/>
  <c r="C8" i="150"/>
  <c r="C36" i="150" s="1"/>
  <c r="C41" i="150" s="1"/>
  <c r="C58" i="150" s="1"/>
  <c r="E51" i="149"/>
  <c r="D51" i="149"/>
  <c r="C51" i="149"/>
  <c r="E45" i="149"/>
  <c r="E57" i="149" s="1"/>
  <c r="D45" i="149"/>
  <c r="D57" i="149" s="1"/>
  <c r="C45" i="149"/>
  <c r="E37" i="149"/>
  <c r="D37" i="149"/>
  <c r="C37" i="149"/>
  <c r="E30" i="149"/>
  <c r="D30" i="149"/>
  <c r="D36" i="149" s="1"/>
  <c r="D41" i="149" s="1"/>
  <c r="D58" i="149" s="1"/>
  <c r="C30" i="149"/>
  <c r="E26" i="149"/>
  <c r="D26" i="149"/>
  <c r="C26" i="149"/>
  <c r="E20" i="149"/>
  <c r="D20" i="149"/>
  <c r="C20" i="149"/>
  <c r="E8" i="149"/>
  <c r="E36" i="149" s="1"/>
  <c r="E41" i="149" s="1"/>
  <c r="D8" i="149"/>
  <c r="C8" i="149"/>
  <c r="B2" i="145"/>
  <c r="B2" i="146"/>
  <c r="B2" i="148"/>
  <c r="E51" i="148"/>
  <c r="D51" i="148"/>
  <c r="C51" i="148"/>
  <c r="E45" i="148"/>
  <c r="E57" i="148"/>
  <c r="D45" i="148"/>
  <c r="D57" i="148" s="1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C36" i="148" s="1"/>
  <c r="E8" i="148"/>
  <c r="D8" i="148"/>
  <c r="C8" i="148"/>
  <c r="E51" i="147"/>
  <c r="D51" i="147"/>
  <c r="C51" i="147"/>
  <c r="E45" i="147"/>
  <c r="E57" i="147"/>
  <c r="D45" i="147"/>
  <c r="D57" i="147" s="1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C8" i="147"/>
  <c r="E51" i="146"/>
  <c r="D51" i="146"/>
  <c r="C51" i="146"/>
  <c r="E45" i="146"/>
  <c r="D45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D8" i="146"/>
  <c r="D36" i="146" s="1"/>
  <c r="D41" i="146" s="1"/>
  <c r="D58" i="146" s="1"/>
  <c r="C8" i="146"/>
  <c r="E51" i="145"/>
  <c r="D51" i="145"/>
  <c r="C51" i="145"/>
  <c r="E45" i="145"/>
  <c r="D45" i="145"/>
  <c r="D57" i="145"/>
  <c r="C45" i="145"/>
  <c r="C57" i="145" s="1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 s="1"/>
  <c r="C41" i="145" s="1"/>
  <c r="B2" i="105"/>
  <c r="B2" i="139"/>
  <c r="B2" i="140" s="1"/>
  <c r="B2" i="141" s="1"/>
  <c r="B2" i="138"/>
  <c r="B2" i="137" s="1"/>
  <c r="B2" i="136" s="1"/>
  <c r="B2" i="135"/>
  <c r="B2" i="133"/>
  <c r="B2" i="3"/>
  <c r="B2" i="134"/>
  <c r="E7" i="142"/>
  <c r="E7" i="143"/>
  <c r="E7" i="144" s="1"/>
  <c r="E96" i="144" s="1"/>
  <c r="I2" i="73"/>
  <c r="E152" i="144"/>
  <c r="D152" i="144"/>
  <c r="C152" i="144"/>
  <c r="E147" i="144"/>
  <c r="D147" i="144"/>
  <c r="D160" i="144"/>
  <c r="C147" i="144"/>
  <c r="E140" i="144"/>
  <c r="D140" i="144"/>
  <c r="C140" i="144"/>
  <c r="E136" i="144"/>
  <c r="E160" i="144"/>
  <c r="D136" i="144"/>
  <c r="C136" i="144"/>
  <c r="C160" i="144" s="1"/>
  <c r="E121" i="144"/>
  <c r="D121" i="144"/>
  <c r="C121" i="144"/>
  <c r="E100" i="144"/>
  <c r="D100" i="144"/>
  <c r="D135" i="144" s="1"/>
  <c r="D161" i="144"/>
  <c r="C100" i="144"/>
  <c r="C135" i="144" s="1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D147" i="143"/>
  <c r="D160" i="143" s="1"/>
  <c r="D166" i="143" s="1"/>
  <c r="C147" i="143"/>
  <c r="E140" i="143"/>
  <c r="D140" i="143"/>
  <c r="C140" i="143"/>
  <c r="E136" i="143"/>
  <c r="D136" i="143"/>
  <c r="C136" i="143"/>
  <c r="E121" i="143"/>
  <c r="D121" i="143"/>
  <c r="C121" i="143"/>
  <c r="E100" i="143"/>
  <c r="E135" i="143" s="1"/>
  <c r="D100" i="143"/>
  <c r="D135" i="143"/>
  <c r="C100" i="143"/>
  <c r="C135" i="143" s="1"/>
  <c r="E85" i="143"/>
  <c r="D85" i="143"/>
  <c r="D92" i="143"/>
  <c r="C85" i="143"/>
  <c r="E81" i="143"/>
  <c r="D81" i="143"/>
  <c r="C81" i="143"/>
  <c r="E78" i="143"/>
  <c r="D78" i="143"/>
  <c r="C78" i="143"/>
  <c r="E73" i="143"/>
  <c r="D73" i="143"/>
  <c r="C73" i="143"/>
  <c r="E69" i="143"/>
  <c r="E92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C160" i="142"/>
  <c r="E121" i="142"/>
  <c r="D121" i="142"/>
  <c r="C121" i="142"/>
  <c r="E100" i="142"/>
  <c r="E135" i="142" s="1"/>
  <c r="D100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 s="1"/>
  <c r="D45" i="141"/>
  <c r="D57" i="141" s="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D8" i="141"/>
  <c r="C8" i="141"/>
  <c r="C36" i="141"/>
  <c r="C41" i="141" s="1"/>
  <c r="C58" i="141" s="1"/>
  <c r="E51" i="140"/>
  <c r="D51" i="140"/>
  <c r="C51" i="140"/>
  <c r="E45" i="140"/>
  <c r="E57" i="140" s="1"/>
  <c r="D45" i="140"/>
  <c r="D57" i="140" s="1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C36" i="140"/>
  <c r="C41" i="140" s="1"/>
  <c r="E8" i="140"/>
  <c r="E36" i="140"/>
  <c r="E41" i="140" s="1"/>
  <c r="D8" i="140"/>
  <c r="C8" i="140"/>
  <c r="E51" i="139"/>
  <c r="D51" i="139"/>
  <c r="C51" i="139"/>
  <c r="E45" i="139"/>
  <c r="D45" i="139"/>
  <c r="D57" i="139" s="1"/>
  <c r="C45" i="139"/>
  <c r="C57" i="139" s="1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D36" i="139" s="1"/>
  <c r="D41" i="139" s="1"/>
  <c r="C8" i="139"/>
  <c r="D45" i="105"/>
  <c r="E45" i="105"/>
  <c r="E57" i="105" s="1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 s="1"/>
  <c r="D46" i="138"/>
  <c r="D58" i="138" s="1"/>
  <c r="C46" i="138"/>
  <c r="C58" i="138" s="1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D8" i="138"/>
  <c r="D37" i="138" s="1"/>
  <c r="D42" i="138" s="1"/>
  <c r="C8" i="138"/>
  <c r="E52" i="137"/>
  <c r="D52" i="137"/>
  <c r="C52" i="137"/>
  <c r="E46" i="137"/>
  <c r="E58" i="137" s="1"/>
  <c r="D46" i="137"/>
  <c r="D58" i="137"/>
  <c r="C46" i="137"/>
  <c r="C58" i="137" s="1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 s="1"/>
  <c r="E42" i="137" s="1"/>
  <c r="D8" i="137"/>
  <c r="C8" i="137"/>
  <c r="C37" i="137" s="1"/>
  <c r="E52" i="136"/>
  <c r="D52" i="136"/>
  <c r="C52" i="136"/>
  <c r="E46" i="136"/>
  <c r="E58" i="136"/>
  <c r="D46" i="136"/>
  <c r="D58" i="136" s="1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 s="1"/>
  <c r="D42" i="136" s="1"/>
  <c r="C8" i="136"/>
  <c r="C37" i="136" s="1"/>
  <c r="C42" i="136" s="1"/>
  <c r="C59" i="136" s="1"/>
  <c r="D46" i="79"/>
  <c r="E46" i="79"/>
  <c r="D52" i="79"/>
  <c r="E52" i="79"/>
  <c r="D8" i="79"/>
  <c r="E8" i="79"/>
  <c r="D20" i="79"/>
  <c r="E20" i="79"/>
  <c r="D26" i="79"/>
  <c r="E26" i="79"/>
  <c r="D31" i="79"/>
  <c r="E31" i="79"/>
  <c r="D38" i="79"/>
  <c r="E38" i="79"/>
  <c r="E146" i="135"/>
  <c r="D146" i="135"/>
  <c r="D154" i="135"/>
  <c r="C146" i="135"/>
  <c r="E140" i="135"/>
  <c r="D140" i="135"/>
  <c r="C140" i="135"/>
  <c r="E133" i="135"/>
  <c r="D133" i="135"/>
  <c r="C133" i="135"/>
  <c r="E129" i="135"/>
  <c r="E154" i="135" s="1"/>
  <c r="D129" i="135"/>
  <c r="C129" i="135"/>
  <c r="E114" i="135"/>
  <c r="D114" i="135"/>
  <c r="C114" i="135"/>
  <c r="E93" i="135"/>
  <c r="E128" i="135" s="1"/>
  <c r="D93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E65" i="135" s="1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D154" i="134"/>
  <c r="C129" i="134"/>
  <c r="E114" i="134"/>
  <c r="D114" i="134"/>
  <c r="C114" i="134"/>
  <c r="E93" i="134"/>
  <c r="E128" i="134"/>
  <c r="D93" i="134"/>
  <c r="D128" i="134" s="1"/>
  <c r="C93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E89" i="134" s="1"/>
  <c r="D66" i="134"/>
  <c r="D89" i="134" s="1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E65" i="134" s="1"/>
  <c r="E90" i="134" s="1"/>
  <c r="D22" i="134"/>
  <c r="C22" i="134"/>
  <c r="E15" i="134"/>
  <c r="D15" i="134"/>
  <c r="D65" i="134" s="1"/>
  <c r="C15" i="134"/>
  <c r="E8" i="134"/>
  <c r="D8" i="134"/>
  <c r="C8" i="134"/>
  <c r="E146" i="133"/>
  <c r="D146" i="133"/>
  <c r="C146" i="133"/>
  <c r="E140" i="133"/>
  <c r="E154" i="133"/>
  <c r="D140" i="133"/>
  <c r="C140" i="133"/>
  <c r="E133" i="133"/>
  <c r="D133" i="133"/>
  <c r="C133" i="133"/>
  <c r="E129" i="133"/>
  <c r="D129" i="133"/>
  <c r="C129" i="133"/>
  <c r="C154" i="133"/>
  <c r="E114" i="133"/>
  <c r="D114" i="133"/>
  <c r="C114" i="133"/>
  <c r="E93" i="133"/>
  <c r="D93" i="133"/>
  <c r="D128" i="133" s="1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D65" i="133" s="1"/>
  <c r="C49" i="133"/>
  <c r="E37" i="133"/>
  <c r="D37" i="133"/>
  <c r="C37" i="133"/>
  <c r="E22" i="133"/>
  <c r="D22" i="133"/>
  <c r="C22" i="133"/>
  <c r="E15" i="133"/>
  <c r="D15" i="133"/>
  <c r="C15" i="133"/>
  <c r="E8" i="133"/>
  <c r="E65" i="133" s="1"/>
  <c r="D8" i="133"/>
  <c r="C8" i="133"/>
  <c r="D93" i="3"/>
  <c r="D128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I17" i="61"/>
  <c r="H30" i="61"/>
  <c r="H31" i="61" s="1"/>
  <c r="I30" i="61"/>
  <c r="I31" i="61" s="1"/>
  <c r="D17" i="61"/>
  <c r="E17" i="61"/>
  <c r="I32" i="61"/>
  <c r="D18" i="61"/>
  <c r="E18" i="61"/>
  <c r="D24" i="61"/>
  <c r="E24" i="61"/>
  <c r="H18" i="73"/>
  <c r="H30" i="73" s="1"/>
  <c r="I18" i="73"/>
  <c r="I31" i="73" s="1"/>
  <c r="H29" i="73"/>
  <c r="I29" i="73"/>
  <c r="D19" i="73"/>
  <c r="D29" i="73" s="1"/>
  <c r="E29" i="73"/>
  <c r="E30" i="73"/>
  <c r="D100" i="1"/>
  <c r="E100" i="1"/>
  <c r="D121" i="1"/>
  <c r="E121" i="1"/>
  <c r="D136" i="1"/>
  <c r="E136" i="1"/>
  <c r="D140" i="1"/>
  <c r="E140" i="1"/>
  <c r="D147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51" i="105"/>
  <c r="C45" i="105"/>
  <c r="C57" i="105" s="1"/>
  <c r="C26" i="79"/>
  <c r="C146" i="3"/>
  <c r="C133" i="3"/>
  <c r="C93" i="3"/>
  <c r="C128" i="3" s="1"/>
  <c r="G29" i="73"/>
  <c r="C152" i="1"/>
  <c r="C160" i="1"/>
  <c r="C140" i="1"/>
  <c r="C100" i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89" i="3"/>
  <c r="C60" i="3"/>
  <c r="C55" i="3"/>
  <c r="C49" i="3"/>
  <c r="C37" i="3"/>
  <c r="C22" i="3"/>
  <c r="C15" i="3"/>
  <c r="C8" i="3"/>
  <c r="G17" i="6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 s="1"/>
  <c r="C31" i="61" s="1"/>
  <c r="G18" i="73"/>
  <c r="C31" i="73"/>
  <c r="C19" i="73"/>
  <c r="C46" i="79"/>
  <c r="C8" i="79"/>
  <c r="B26" i="64"/>
  <c r="D26" i="64"/>
  <c r="F26" i="64"/>
  <c r="B25" i="63"/>
  <c r="D25" i="63"/>
  <c r="F25" i="63"/>
  <c r="I16" i="200"/>
  <c r="E96" i="142"/>
  <c r="E164" i="142"/>
  <c r="D57" i="184"/>
  <c r="C57" i="184"/>
  <c r="C58" i="164"/>
  <c r="D36" i="163"/>
  <c r="D41" i="163" s="1"/>
  <c r="D58" i="163" s="1"/>
  <c r="C36" i="184"/>
  <c r="C41" i="184" s="1"/>
  <c r="D58" i="79"/>
  <c r="C41" i="156"/>
  <c r="C58" i="156" s="1"/>
  <c r="I9" i="200"/>
  <c r="D36" i="180"/>
  <c r="D41" i="180" s="1"/>
  <c r="D58" i="180" s="1"/>
  <c r="E31" i="73"/>
  <c r="F19" i="198"/>
  <c r="C41" i="178"/>
  <c r="C58" i="178" s="1"/>
  <c r="K15" i="94"/>
  <c r="M15" i="94"/>
  <c r="F25" i="213"/>
  <c r="H19" i="198"/>
  <c r="E36" i="105"/>
  <c r="D135" i="142"/>
  <c r="D135" i="1"/>
  <c r="B30" i="76" s="1"/>
  <c r="E30" i="76" s="1"/>
  <c r="C36" i="159"/>
  <c r="C41" i="159"/>
  <c r="C58" i="159"/>
  <c r="E36" i="163"/>
  <c r="E41" i="163" s="1"/>
  <c r="I7" i="213"/>
  <c r="I10" i="200"/>
  <c r="D18" i="76"/>
  <c r="D36" i="183"/>
  <c r="D41" i="183"/>
  <c r="D58" i="183" s="1"/>
  <c r="D32" i="61"/>
  <c r="D36" i="172"/>
  <c r="D41" i="172" s="1"/>
  <c r="D58" i="172" s="1"/>
  <c r="A4" i="202"/>
  <c r="B41" i="209"/>
  <c r="C3" i="210"/>
  <c r="H4" i="198"/>
  <c r="B7" i="208"/>
  <c r="D6" i="197"/>
  <c r="D93" i="197" s="1"/>
  <c r="B1" i="210"/>
  <c r="B35" i="209" s="1"/>
  <c r="E3" i="198"/>
  <c r="A3" i="207"/>
  <c r="G4" i="198"/>
  <c r="G5" i="199" s="1"/>
  <c r="H4" i="199" s="1"/>
  <c r="C6" i="197"/>
  <c r="C93" i="197" s="1"/>
  <c r="C41" i="148"/>
  <c r="C58" i="148" s="1"/>
  <c r="C36" i="153"/>
  <c r="C41" i="153" s="1"/>
  <c r="C58" i="153" s="1"/>
  <c r="C41" i="171"/>
  <c r="C58" i="171"/>
  <c r="C58" i="184"/>
  <c r="C58" i="79"/>
  <c r="D36" i="154"/>
  <c r="D41" i="154"/>
  <c r="D58" i="154" s="1"/>
  <c r="E36" i="184"/>
  <c r="E41" i="184"/>
  <c r="C19" i="200"/>
  <c r="C36" i="179"/>
  <c r="C41" i="179" s="1"/>
  <c r="C58" i="179" s="1"/>
  <c r="E164" i="144"/>
  <c r="I2" i="61"/>
  <c r="G4" i="63" s="1"/>
  <c r="G4" i="64" s="1"/>
  <c r="E4" i="3" s="1"/>
  <c r="E4" i="133" s="1"/>
  <c r="E4" i="134" s="1"/>
  <c r="E4" i="135" s="1"/>
  <c r="E4" i="79" s="1"/>
  <c r="E4" i="138" s="1"/>
  <c r="E4" i="137" s="1"/>
  <c r="E4" i="136" s="1"/>
  <c r="B31" i="213"/>
  <c r="A3" i="144"/>
  <c r="B12" i="209" s="1"/>
  <c r="E68" i="1"/>
  <c r="B18" i="76" s="1"/>
  <c r="E18" i="76" s="1"/>
  <c r="E36" i="148"/>
  <c r="E41" i="148" s="1"/>
  <c r="E89" i="3"/>
  <c r="D154" i="133"/>
  <c r="C65" i="135"/>
  <c r="D36" i="105"/>
  <c r="D41" i="105" s="1"/>
  <c r="E36" i="139"/>
  <c r="E41" i="139" s="1"/>
  <c r="D58" i="157"/>
  <c r="E36" i="157"/>
  <c r="E41" i="157" s="1"/>
  <c r="C41" i="160"/>
  <c r="C58" i="160" s="1"/>
  <c r="D32" i="76"/>
  <c r="D89" i="3"/>
  <c r="E68" i="143"/>
  <c r="E165" i="143" s="1"/>
  <c r="D36" i="155"/>
  <c r="D41" i="155"/>
  <c r="D58" i="155" s="1"/>
  <c r="I17" i="200"/>
  <c r="I18" i="200"/>
  <c r="H18" i="200"/>
  <c r="E30" i="61"/>
  <c r="D36" i="140"/>
  <c r="D41" i="140"/>
  <c r="D58" i="140"/>
  <c r="C57" i="154"/>
  <c r="D36" i="159"/>
  <c r="D41" i="159"/>
  <c r="D58" i="159" s="1"/>
  <c r="E57" i="176"/>
  <c r="C36" i="182"/>
  <c r="C41" i="182" s="1"/>
  <c r="C57" i="183"/>
  <c r="E36" i="179"/>
  <c r="E41" i="179" s="1"/>
  <c r="E36" i="159"/>
  <c r="E41" i="159"/>
  <c r="E36" i="160"/>
  <c r="E41" i="160" s="1"/>
  <c r="C89" i="197"/>
  <c r="D89" i="197"/>
  <c r="D90" i="197" s="1"/>
  <c r="E89" i="197"/>
  <c r="D58" i="174"/>
  <c r="E96" i="143"/>
  <c r="E164" i="143" s="1"/>
  <c r="D160" i="1"/>
  <c r="B31" i="76"/>
  <c r="E31" i="76" s="1"/>
  <c r="D92" i="142"/>
  <c r="C36" i="149"/>
  <c r="C41" i="149" s="1"/>
  <c r="E160" i="1"/>
  <c r="B37" i="76" s="1"/>
  <c r="D31" i="76"/>
  <c r="D58" i="162"/>
  <c r="C154" i="134"/>
  <c r="D37" i="79"/>
  <c r="D42" i="79" s="1"/>
  <c r="D59" i="79" s="1"/>
  <c r="E154" i="3"/>
  <c r="D36" i="141"/>
  <c r="D41" i="141" s="1"/>
  <c r="D58" i="141" s="1"/>
  <c r="E36" i="151"/>
  <c r="E41" i="151"/>
  <c r="G19" i="198"/>
  <c r="C92" i="1"/>
  <c r="B7" i="76" s="1"/>
  <c r="D30" i="61"/>
  <c r="D31" i="61" s="1"/>
  <c r="H33" i="61" s="1"/>
  <c r="C37" i="138"/>
  <c r="C42" i="138" s="1"/>
  <c r="C59" i="138" s="1"/>
  <c r="C92" i="144"/>
  <c r="C166" i="144"/>
  <c r="C36" i="154"/>
  <c r="C41" i="154" s="1"/>
  <c r="C58" i="154" s="1"/>
  <c r="E154" i="197"/>
  <c r="E155" i="197"/>
  <c r="E36" i="153"/>
  <c r="E41" i="153"/>
  <c r="E36" i="158"/>
  <c r="E41" i="158"/>
  <c r="D41" i="173"/>
  <c r="D58" i="173" s="1"/>
  <c r="C154" i="197"/>
  <c r="C36" i="158"/>
  <c r="C41" i="158" s="1"/>
  <c r="C58" i="158" s="1"/>
  <c r="C36" i="174"/>
  <c r="C41" i="174" s="1"/>
  <c r="C58" i="174" s="1"/>
  <c r="E36" i="174"/>
  <c r="E41" i="174"/>
  <c r="E41" i="105"/>
  <c r="C23" i="204"/>
  <c r="E66" i="197"/>
  <c r="E90" i="197" s="1"/>
  <c r="E40" i="211"/>
  <c r="E57" i="146"/>
  <c r="D57" i="146"/>
  <c r="E57" i="145"/>
  <c r="E57" i="139"/>
  <c r="C36" i="139"/>
  <c r="C41" i="139" s="1"/>
  <c r="C58" i="139" s="1"/>
  <c r="C36" i="105"/>
  <c r="C41" i="105"/>
  <c r="C58" i="105" s="1"/>
  <c r="E37" i="136"/>
  <c r="E42" i="136"/>
  <c r="E37" i="79"/>
  <c r="E42" i="79" s="1"/>
  <c r="C37" i="79"/>
  <c r="C42" i="79"/>
  <c r="C59" i="79"/>
  <c r="E58" i="79"/>
  <c r="C65" i="133"/>
  <c r="E128" i="133"/>
  <c r="E155" i="133"/>
  <c r="C128" i="133"/>
  <c r="C155" i="133" s="1"/>
  <c r="E89" i="133"/>
  <c r="E90" i="133"/>
  <c r="E65" i="3"/>
  <c r="E90" i="3" s="1"/>
  <c r="H32" i="61"/>
  <c r="D12" i="76"/>
  <c r="G32" i="61"/>
  <c r="D31" i="73"/>
  <c r="H31" i="73"/>
  <c r="D30" i="76"/>
  <c r="D24" i="76"/>
  <c r="D36" i="76"/>
  <c r="G30" i="73"/>
  <c r="G31" i="73"/>
  <c r="E92" i="1"/>
  <c r="E166" i="1" s="1"/>
  <c r="B19" i="76"/>
  <c r="C68" i="1"/>
  <c r="B6" i="76"/>
  <c r="D68" i="1"/>
  <c r="E135" i="1"/>
  <c r="E165" i="1" s="1"/>
  <c r="B36" i="76"/>
  <c r="C135" i="1"/>
  <c r="B24" i="76"/>
  <c r="E24" i="76"/>
  <c r="D161" i="1"/>
  <c r="B32" i="76"/>
  <c r="E32" i="76" s="1"/>
  <c r="E93" i="1"/>
  <c r="B20" i="76" s="1"/>
  <c r="K17" i="94"/>
  <c r="K19" i="94"/>
  <c r="D92" i="1"/>
  <c r="D93" i="1"/>
  <c r="D37" i="76"/>
  <c r="E37" i="76" s="1"/>
  <c r="I30" i="73"/>
  <c r="E32" i="73"/>
  <c r="D65" i="135"/>
  <c r="D90" i="135" s="1"/>
  <c r="D156" i="135" s="1"/>
  <c r="D19" i="76"/>
  <c r="D89" i="135"/>
  <c r="D128" i="135"/>
  <c r="D155" i="135" s="1"/>
  <c r="E37" i="138"/>
  <c r="E42" i="138"/>
  <c r="D36" i="145"/>
  <c r="D41" i="145" s="1"/>
  <c r="D58" i="145" s="1"/>
  <c r="C36" i="181"/>
  <c r="C41" i="181" s="1"/>
  <c r="C58" i="181" s="1"/>
  <c r="C29" i="73"/>
  <c r="D7" i="76" s="1"/>
  <c r="E7" i="76" s="1"/>
  <c r="E89" i="135"/>
  <c r="E90" i="135" s="1"/>
  <c r="E36" i="145"/>
  <c r="E41" i="145"/>
  <c r="C36" i="146"/>
  <c r="C41" i="146" s="1"/>
  <c r="C58" i="146" s="1"/>
  <c r="D36" i="148"/>
  <c r="D41" i="148" s="1"/>
  <c r="D58" i="148" s="1"/>
  <c r="D36" i="160"/>
  <c r="D41" i="160"/>
  <c r="D58" i="160" s="1"/>
  <c r="D57" i="161"/>
  <c r="D36" i="175"/>
  <c r="D41" i="175"/>
  <c r="D58" i="175" s="1"/>
  <c r="C57" i="175"/>
  <c r="C36" i="180"/>
  <c r="C41" i="180" s="1"/>
  <c r="C58" i="180" s="1"/>
  <c r="C57" i="182"/>
  <c r="C57" i="149"/>
  <c r="D36" i="150"/>
  <c r="D41" i="150"/>
  <c r="D58" i="150"/>
  <c r="C57" i="150"/>
  <c r="D36" i="152"/>
  <c r="D41" i="152"/>
  <c r="D58" i="152" s="1"/>
  <c r="D57" i="152"/>
  <c r="E36" i="155"/>
  <c r="E41" i="155" s="1"/>
  <c r="C36" i="157"/>
  <c r="C41" i="157" s="1"/>
  <c r="C58" i="157"/>
  <c r="C36" i="161"/>
  <c r="C41" i="161" s="1"/>
  <c r="C58" i="161" s="1"/>
  <c r="D57" i="171"/>
  <c r="D57" i="172"/>
  <c r="E36" i="181"/>
  <c r="E41" i="181" s="1"/>
  <c r="E36" i="182"/>
  <c r="E41" i="182" s="1"/>
  <c r="D154" i="197"/>
  <c r="D155" i="197" s="1"/>
  <c r="E37" i="203"/>
  <c r="E54" i="203" s="1"/>
  <c r="E71" i="203"/>
  <c r="C30" i="73"/>
  <c r="G32" i="73" s="1"/>
  <c r="M17" i="94"/>
  <c r="B1" i="151" s="1"/>
  <c r="D38" i="76"/>
  <c r="I32" i="73"/>
  <c r="D166" i="1"/>
  <c r="E92" i="142"/>
  <c r="E68" i="142"/>
  <c r="E93" i="142"/>
  <c r="D68" i="144"/>
  <c r="E135" i="144"/>
  <c r="E161" i="144" s="1"/>
  <c r="E68" i="144"/>
  <c r="C68" i="144"/>
  <c r="C93" i="144" s="1"/>
  <c r="C135" i="142"/>
  <c r="C161" i="142"/>
  <c r="H14" i="200"/>
  <c r="H19" i="200" s="1"/>
  <c r="B113" i="213"/>
  <c r="I119" i="213"/>
  <c r="B91" i="213"/>
  <c r="I75" i="213"/>
  <c r="I69" i="213"/>
  <c r="B69" i="213"/>
  <c r="C165" i="144"/>
  <c r="D165" i="144"/>
  <c r="D8" i="76"/>
  <c r="C93" i="1"/>
  <c r="B8" i="76"/>
  <c r="E8" i="76" s="1"/>
  <c r="C165" i="1"/>
  <c r="D58" i="153"/>
  <c r="C58" i="183"/>
  <c r="D58" i="179"/>
  <c r="E93" i="143"/>
  <c r="D59" i="136"/>
  <c r="C58" i="145"/>
  <c r="C36" i="170"/>
  <c r="C41" i="170"/>
  <c r="C58" i="170" s="1"/>
  <c r="E36" i="170"/>
  <c r="E41" i="170" s="1"/>
  <c r="E36" i="173"/>
  <c r="E41" i="173" s="1"/>
  <c r="C36" i="176"/>
  <c r="C41" i="176"/>
  <c r="C58" i="176" s="1"/>
  <c r="D36" i="176"/>
  <c r="D41" i="176"/>
  <c r="D58" i="176"/>
  <c r="E57" i="177"/>
  <c r="E36" i="180"/>
  <c r="E41" i="180"/>
  <c r="I25" i="213"/>
  <c r="C11" i="203"/>
  <c r="C54" i="203" s="1"/>
  <c r="C71" i="203" s="1"/>
  <c r="I47" i="213"/>
  <c r="I97" i="213"/>
  <c r="I135" i="213"/>
  <c r="I185" i="213"/>
  <c r="I223" i="213"/>
  <c r="C36" i="173"/>
  <c r="C41" i="173" s="1"/>
  <c r="C58" i="173" s="1"/>
  <c r="E19" i="198"/>
  <c r="J14" i="198"/>
  <c r="B45" i="209"/>
  <c r="E165" i="142"/>
  <c r="I14" i="200"/>
  <c r="I19" i="200" s="1"/>
  <c r="G26" i="64"/>
  <c r="G25" i="63"/>
  <c r="B14" i="76"/>
  <c r="D162" i="1"/>
  <c r="E165" i="144"/>
  <c r="M19" i="94"/>
  <c r="K21" i="94"/>
  <c r="E4" i="145"/>
  <c r="E4" i="146"/>
  <c r="E4" i="147"/>
  <c r="E4" i="148" s="1"/>
  <c r="E4" i="177"/>
  <c r="E4" i="178"/>
  <c r="E4" i="179"/>
  <c r="E4" i="180" s="1"/>
  <c r="E4" i="173"/>
  <c r="E4" i="174"/>
  <c r="E4" i="175"/>
  <c r="E4" i="176" s="1"/>
  <c r="E4" i="153"/>
  <c r="E4" i="154"/>
  <c r="E4" i="155"/>
  <c r="E4" i="156" s="1"/>
  <c r="E4" i="157"/>
  <c r="E4" i="158"/>
  <c r="E4" i="159"/>
  <c r="E4" i="160" s="1"/>
  <c r="E4" i="161"/>
  <c r="E4" i="162"/>
  <c r="E4" i="163"/>
  <c r="E4" i="164" s="1"/>
  <c r="E4" i="169"/>
  <c r="E4" i="170"/>
  <c r="E4" i="171"/>
  <c r="E4" i="172" s="1"/>
  <c r="E4" i="149"/>
  <c r="E4" i="150"/>
  <c r="E4" i="151"/>
  <c r="E4" i="152" s="1"/>
  <c r="E4" i="105"/>
  <c r="E4" i="139"/>
  <c r="E4" i="140"/>
  <c r="E4" i="141" s="1"/>
  <c r="E4" i="181"/>
  <c r="E4" i="182"/>
  <c r="E4" i="183"/>
  <c r="E4" i="184" s="1"/>
  <c r="E5" i="197" s="1"/>
  <c r="B25" i="76"/>
  <c r="C166" i="1"/>
  <c r="C161" i="1"/>
  <c r="B1" i="150"/>
  <c r="B13" i="76"/>
  <c r="D33" i="61"/>
  <c r="D25" i="76"/>
  <c r="G31" i="61"/>
  <c r="G33" i="61" s="1"/>
  <c r="D65" i="3"/>
  <c r="D90" i="3"/>
  <c r="C89" i="133"/>
  <c r="C90" i="133" s="1"/>
  <c r="C156" i="133" s="1"/>
  <c r="C128" i="134"/>
  <c r="C155" i="134"/>
  <c r="C89" i="135"/>
  <c r="C90" i="135" s="1"/>
  <c r="C156" i="135" s="1"/>
  <c r="D59" i="138"/>
  <c r="C33" i="61"/>
  <c r="C32" i="61"/>
  <c r="D6" i="76"/>
  <c r="E6" i="76" s="1"/>
  <c r="E155" i="135"/>
  <c r="C154" i="135"/>
  <c r="C155" i="135" s="1"/>
  <c r="C32" i="73"/>
  <c r="E161" i="1"/>
  <c r="B38" i="76" s="1"/>
  <c r="E38" i="76" s="1"/>
  <c r="C154" i="3"/>
  <c r="C155" i="3" s="1"/>
  <c r="C161" i="143"/>
  <c r="D92" i="144"/>
  <c r="C57" i="163"/>
  <c r="C58" i="163" s="1"/>
  <c r="E57" i="169"/>
  <c r="E36" i="176"/>
  <c r="E41" i="176"/>
  <c r="D36" i="178"/>
  <c r="D41" i="178" s="1"/>
  <c r="D58" i="178" s="1"/>
  <c r="D57" i="181"/>
  <c r="C68" i="142"/>
  <c r="C93" i="142" s="1"/>
  <c r="C162" i="142" s="1"/>
  <c r="C92" i="142"/>
  <c r="C166" i="142" s="1"/>
  <c r="D160" i="142"/>
  <c r="D161" i="142" s="1"/>
  <c r="D166" i="142"/>
  <c r="E92" i="144"/>
  <c r="C36" i="147"/>
  <c r="C41" i="147"/>
  <c r="C58" i="147" s="1"/>
  <c r="C36" i="152"/>
  <c r="C41" i="152"/>
  <c r="C58" i="152"/>
  <c r="E36" i="169"/>
  <c r="E41" i="169"/>
  <c r="E36" i="175"/>
  <c r="E41" i="175" s="1"/>
  <c r="D36" i="181"/>
  <c r="D41" i="181"/>
  <c r="D58" i="181" s="1"/>
  <c r="I31" i="213"/>
  <c r="B75" i="213"/>
  <c r="B119" i="213"/>
  <c r="B207" i="213"/>
  <c r="D68" i="142"/>
  <c r="E160" i="142"/>
  <c r="E166" i="142" s="1"/>
  <c r="C160" i="143"/>
  <c r="D36" i="147"/>
  <c r="D41" i="147"/>
  <c r="D58" i="147" s="1"/>
  <c r="D36" i="151"/>
  <c r="D41" i="151"/>
  <c r="D58" i="151"/>
  <c r="E36" i="156"/>
  <c r="E41" i="156" s="1"/>
  <c r="E36" i="162"/>
  <c r="E41" i="162"/>
  <c r="D42" i="205"/>
  <c r="E25" i="76"/>
  <c r="D165" i="142"/>
  <c r="D93" i="142"/>
  <c r="D166" i="144"/>
  <c r="D93" i="144"/>
  <c r="D162" i="144"/>
  <c r="C165" i="142"/>
  <c r="M21" i="94"/>
  <c r="B1" i="158" s="1"/>
  <c r="K23" i="94"/>
  <c r="E93" i="144"/>
  <c r="E166" i="144"/>
  <c r="E161" i="142"/>
  <c r="B26" i="76"/>
  <c r="E26" i="76" s="1"/>
  <c r="C162" i="1"/>
  <c r="B1" i="153"/>
  <c r="B1" i="156"/>
  <c r="B1" i="155"/>
  <c r="B1" i="154"/>
  <c r="D26" i="76"/>
  <c r="B1" i="157"/>
  <c r="B1" i="159"/>
  <c r="B1" i="160"/>
  <c r="M23" i="94"/>
  <c r="B1" i="161" s="1"/>
  <c r="K25" i="94"/>
  <c r="B1" i="163"/>
  <c r="M25" i="94"/>
  <c r="B1" i="170" s="1"/>
  <c r="K27" i="94"/>
  <c r="M27" i="94"/>
  <c r="B1" i="173" s="1"/>
  <c r="K29" i="94"/>
  <c r="M29" i="94" s="1"/>
  <c r="B1" i="172"/>
  <c r="B1" i="176"/>
  <c r="K31" i="94"/>
  <c r="M31" i="94"/>
  <c r="B1" i="184" s="1"/>
  <c r="B1" i="183"/>
  <c r="C20" i="209"/>
  <c r="C46" i="209"/>
  <c r="C14" i="209"/>
  <c r="C22" i="209"/>
  <c r="C41" i="209"/>
  <c r="C44" i="209"/>
  <c r="C21" i="209"/>
  <c r="C30" i="209"/>
  <c r="C24" i="209"/>
  <c r="C37" i="209"/>
  <c r="C35" i="209"/>
  <c r="C11" i="209"/>
  <c r="C26" i="209"/>
  <c r="C19" i="209"/>
  <c r="C39" i="209"/>
  <c r="C40" i="209"/>
  <c r="C27" i="209"/>
  <c r="C43" i="209"/>
  <c r="C10" i="209"/>
  <c r="C34" i="209"/>
  <c r="C36" i="209"/>
  <c r="C31" i="209"/>
  <c r="C45" i="209"/>
  <c r="C18" i="209"/>
  <c r="C38" i="209"/>
  <c r="C7" i="209"/>
  <c r="C29" i="209"/>
  <c r="C33" i="209"/>
  <c r="C25" i="209"/>
  <c r="C9" i="209"/>
  <c r="C16" i="209"/>
  <c r="C17" i="209"/>
  <c r="C23" i="209"/>
  <c r="C15" i="209"/>
  <c r="C42" i="209"/>
  <c r="C32" i="209"/>
  <c r="C13" i="209"/>
  <c r="C12" i="209"/>
  <c r="C28" i="209"/>
  <c r="C8" i="209"/>
  <c r="D162" i="142" l="1"/>
  <c r="B1" i="179"/>
  <c r="B1" i="177"/>
  <c r="B1" i="180"/>
  <c r="B1" i="178"/>
  <c r="E92" i="197"/>
  <c r="J2" i="198"/>
  <c r="H3" i="199" s="1"/>
  <c r="B1" i="181"/>
  <c r="B1" i="175"/>
  <c r="B1" i="169"/>
  <c r="B1" i="162"/>
  <c r="E36" i="76"/>
  <c r="C58" i="182"/>
  <c r="E19" i="76"/>
  <c r="D156" i="197"/>
  <c r="B1" i="182"/>
  <c r="B1" i="174"/>
  <c r="B1" i="171"/>
  <c r="B1" i="164"/>
  <c r="D165" i="1"/>
  <c r="B12" i="76"/>
  <c r="E12" i="76" s="1"/>
  <c r="C58" i="149"/>
  <c r="D30" i="73"/>
  <c r="D13" i="76"/>
  <c r="E13" i="76" s="1"/>
  <c r="D58" i="139"/>
  <c r="B1" i="152"/>
  <c r="B1" i="149"/>
  <c r="D161" i="143"/>
  <c r="C155" i="197"/>
  <c r="C65" i="3"/>
  <c r="C90" i="3" s="1"/>
  <c r="C156" i="3" s="1"/>
  <c r="D155" i="133"/>
  <c r="E36" i="141"/>
  <c r="E41" i="141" s="1"/>
  <c r="C68" i="143"/>
  <c r="D68" i="143"/>
  <c r="C92" i="143"/>
  <c r="C166" i="143" s="1"/>
  <c r="E160" i="143"/>
  <c r="E36" i="146"/>
  <c r="E41" i="146" s="1"/>
  <c r="D36" i="184"/>
  <c r="D41" i="184" s="1"/>
  <c r="D58" i="184" s="1"/>
  <c r="E21" i="199"/>
  <c r="D154" i="3"/>
  <c r="D155" i="3" s="1"/>
  <c r="D156" i="3" s="1"/>
  <c r="D89" i="133"/>
  <c r="D90" i="133" s="1"/>
  <c r="D156" i="133" s="1"/>
  <c r="D90" i="134"/>
  <c r="C42" i="137"/>
  <c r="C59" i="137" s="1"/>
  <c r="C58" i="140"/>
  <c r="E36" i="147"/>
  <c r="E41" i="147" s="1"/>
  <c r="C36" i="169"/>
  <c r="C41" i="169" s="1"/>
  <c r="C58" i="169" s="1"/>
  <c r="A3" i="143"/>
  <c r="B11" i="209" s="1"/>
  <c r="I4" i="198"/>
  <c r="A3" i="1"/>
  <c r="B9" i="209" s="1"/>
  <c r="F4" i="198"/>
  <c r="F5" i="199" s="1"/>
  <c r="A1" i="200"/>
  <c r="B39" i="209" s="1"/>
  <c r="A6" i="75"/>
  <c r="B13" i="208"/>
  <c r="A3" i="197"/>
  <c r="B36" i="209" s="1"/>
  <c r="A4" i="203"/>
  <c r="A3" i="142"/>
  <c r="B10" i="209" s="1"/>
  <c r="E4" i="199"/>
  <c r="E32" i="61"/>
  <c r="E31" i="61"/>
  <c r="E128" i="3"/>
  <c r="E155" i="3" s="1"/>
  <c r="C65" i="134"/>
  <c r="C89" i="134"/>
  <c r="D155" i="134"/>
  <c r="E154" i="134"/>
  <c r="E155" i="134" s="1"/>
  <c r="D37" i="137"/>
  <c r="D42" i="137" s="1"/>
  <c r="D59" i="137" s="1"/>
  <c r="C57" i="140"/>
  <c r="C161" i="144"/>
  <c r="C162" i="144" s="1"/>
  <c r="C36" i="162"/>
  <c r="C41" i="162" s="1"/>
  <c r="C58" i="162" s="1"/>
  <c r="D36" i="169"/>
  <c r="D41" i="169" s="1"/>
  <c r="D58" i="169" s="1"/>
  <c r="D57" i="105"/>
  <c r="D58" i="105" s="1"/>
  <c r="C36" i="155"/>
  <c r="C41" i="155" s="1"/>
  <c r="C58" i="155" s="1"/>
  <c r="D36" i="170"/>
  <c r="D41" i="170" s="1"/>
  <c r="D58" i="170" s="1"/>
  <c r="C66" i="197"/>
  <c r="C90" i="197" s="1"/>
  <c r="B141" i="213"/>
  <c r="E36" i="152"/>
  <c r="E41" i="152" s="1"/>
  <c r="D36" i="171"/>
  <c r="D41" i="171" s="1"/>
  <c r="D58" i="171" s="1"/>
  <c r="E36" i="178"/>
  <c r="E41" i="178" s="1"/>
  <c r="D36" i="182"/>
  <c r="D41" i="182" s="1"/>
  <c r="D58" i="182" s="1"/>
  <c r="J12" i="198"/>
  <c r="J19" i="198" s="1"/>
  <c r="B185" i="213"/>
  <c r="B201" i="213"/>
  <c r="I229" i="213"/>
  <c r="D36" i="158"/>
  <c r="D41" i="158" s="1"/>
  <c r="D58" i="158" s="1"/>
  <c r="C36" i="175"/>
  <c r="C41" i="175" s="1"/>
  <c r="C58" i="175" s="1"/>
  <c r="D11" i="203"/>
  <c r="D54" i="203" s="1"/>
  <c r="D71" i="203" s="1"/>
  <c r="B179" i="213"/>
  <c r="C97" i="144" l="1"/>
  <c r="C8" i="144"/>
  <c r="A25" i="75"/>
  <c r="A22" i="76" s="1"/>
  <c r="E5" i="140"/>
  <c r="E5" i="141" s="1"/>
  <c r="E5" i="145" s="1"/>
  <c r="E5" i="146" s="1"/>
  <c r="E5" i="147" s="1"/>
  <c r="E5" i="148" s="1"/>
  <c r="E5" i="149" s="1"/>
  <c r="E5" i="150" s="1"/>
  <c r="E5" i="151" s="1"/>
  <c r="E5" i="152" s="1"/>
  <c r="E5" i="153" s="1"/>
  <c r="E5" i="154" s="1"/>
  <c r="E5" i="155" s="1"/>
  <c r="E5" i="156" s="1"/>
  <c r="E5" i="157" s="1"/>
  <c r="E5" i="158" s="1"/>
  <c r="E5" i="159" s="1"/>
  <c r="E5" i="160" s="1"/>
  <c r="E5" i="161" s="1"/>
  <c r="E5" i="162" s="1"/>
  <c r="E5" i="163" s="1"/>
  <c r="E5" i="164" s="1"/>
  <c r="E5" i="169" s="1"/>
  <c r="E5" i="170" s="1"/>
  <c r="E5" i="171" s="1"/>
  <c r="E5" i="172" s="1"/>
  <c r="E5" i="173" s="1"/>
  <c r="E5" i="174" s="1"/>
  <c r="E5" i="175" s="1"/>
  <c r="E5" i="176" s="1"/>
  <c r="E5" i="177" s="1"/>
  <c r="E5" i="178" s="1"/>
  <c r="E5" i="179" s="1"/>
  <c r="E5" i="180" s="1"/>
  <c r="E5" i="181" s="1"/>
  <c r="E5" i="182" s="1"/>
  <c r="E5" i="183" s="1"/>
  <c r="E5" i="184" s="1"/>
  <c r="G5" i="64"/>
  <c r="F5" i="64"/>
  <c r="C97" i="1"/>
  <c r="C97" i="142"/>
  <c r="C97" i="143"/>
  <c r="G5" i="63"/>
  <c r="E5" i="64"/>
  <c r="A37" i="75"/>
  <c r="A34" i="76" s="1"/>
  <c r="C8" i="142"/>
  <c r="E5" i="63"/>
  <c r="E5" i="3"/>
  <c r="E5" i="133" s="1"/>
  <c r="E5" i="134" s="1"/>
  <c r="E5" i="135" s="1"/>
  <c r="E5" i="79" s="1"/>
  <c r="E5" i="138" s="1"/>
  <c r="E5" i="137" s="1"/>
  <c r="E5" i="136" s="1"/>
  <c r="E5" i="105" s="1"/>
  <c r="E5" i="139" s="1"/>
  <c r="A19" i="75"/>
  <c r="A16" i="76" s="1"/>
  <c r="A31" i="75"/>
  <c r="A28" i="76" s="1"/>
  <c r="A13" i="75"/>
  <c r="A10" i="76" s="1"/>
  <c r="A4" i="76"/>
  <c r="E9" i="1"/>
  <c r="C8" i="1"/>
  <c r="F5" i="63"/>
  <c r="C8" i="143"/>
  <c r="D5" i="63"/>
  <c r="D5" i="64" s="1"/>
  <c r="H2" i="200"/>
  <c r="D5" i="201"/>
  <c r="E6" i="202" s="1"/>
  <c r="D20" i="76"/>
  <c r="E20" i="76" s="1"/>
  <c r="I33" i="61"/>
  <c r="E33" i="61"/>
  <c r="A5" i="204"/>
  <c r="A5" i="205"/>
  <c r="D156" i="134"/>
  <c r="D165" i="143"/>
  <c r="D93" i="143"/>
  <c r="D162" i="143" s="1"/>
  <c r="D14" i="76"/>
  <c r="E14" i="76" s="1"/>
  <c r="D32" i="73"/>
  <c r="H32" i="73"/>
  <c r="E166" i="143"/>
  <c r="E161" i="143"/>
  <c r="C90" i="134"/>
  <c r="C156" i="134" s="1"/>
  <c r="C93" i="143"/>
  <c r="C162" i="143" s="1"/>
  <c r="C165" i="143"/>
  <c r="E98" i="1" l="1"/>
  <c r="E9" i="142"/>
  <c r="C5" i="203"/>
  <c r="B6" i="204"/>
  <c r="D4" i="61"/>
  <c r="H4" i="61" s="1"/>
  <c r="C4" i="61"/>
  <c r="G4" i="61" s="1"/>
  <c r="C4" i="73"/>
  <c r="G4" i="73" s="1"/>
  <c r="D4" i="73"/>
  <c r="H4" i="73" s="1"/>
  <c r="E9" i="143" l="1"/>
  <c r="E98" i="142"/>
  <c r="E98" i="143" l="1"/>
  <c r="E9" i="144"/>
  <c r="E4" i="73" l="1"/>
  <c r="E98" i="144"/>
  <c r="I4" i="73" l="1"/>
  <c r="E4" i="61"/>
  <c r="I4" i="61" s="1"/>
</calcChain>
</file>

<file path=xl/sharedStrings.xml><?xml version="1.0" encoding="utf-8"?>
<sst xmlns="http://schemas.openxmlformats.org/spreadsheetml/2006/main" count="9067" uniqueCount="974">
  <si>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</si>
  <si>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</si>
  <si>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</si>
  <si>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</si>
  <si>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</si>
  <si>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</si>
  <si>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</si>
  <si>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</si>
  <si>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</si>
  <si>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</si>
  <si>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</si>
  <si>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</si>
  <si>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</si>
  <si>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</si>
  <si>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</si>
  <si>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</si>
  <si>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</si>
  <si>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</si>
  <si>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</si>
  <si>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</si>
  <si>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</si>
  <si>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</si>
  <si>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</si>
  <si>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</si>
  <si>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</si>
  <si>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</si>
  <si>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</si>
  <si>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</si>
  <si>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</si>
  <si>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</si>
  <si>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</si>
  <si>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</si>
  <si>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</si>
  <si>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</si>
  <si>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</si>
  <si>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</si>
  <si>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</si>
  <si>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</si>
  <si>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</si>
  <si>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</si>
  <si>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</si>
  <si>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</si>
  <si>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</si>
  <si>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</si>
  <si>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</si>
  <si>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</si>
  <si>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</si>
  <si>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</si>
  <si>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</si>
  <si>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</si>
  <si>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</si>
  <si>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</si>
  <si>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</si>
  <si>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</si>
  <si>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</si>
  <si>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</si>
  <si>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</si>
  <si>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</si>
  <si>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</si>
  <si>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</si>
  <si>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</si>
  <si>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</si>
  <si>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</si>
  <si>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</si>
  <si>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</si>
  <si>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</si>
  <si>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</si>
  <si>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</si>
  <si>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</si>
  <si>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</si>
  <si>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</si>
  <si>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</si>
  <si>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</si>
  <si>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</si>
  <si>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</si>
  <si>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</si>
  <si>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</si>
  <si>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</si>
  <si>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</si>
  <si>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</si>
  <si>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</si>
  <si>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</si>
  <si>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</si>
  <si>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</si>
  <si>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</si>
  <si>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</si>
  <si>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</si>
  <si>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</si>
  <si>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</si>
  <si>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</si>
  <si>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</si>
  <si>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</si>
  <si>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</si>
  <si>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</si>
  <si>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</si>
  <si>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</si>
  <si>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</si>
  <si>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</si>
  <si>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</si>
  <si>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</si>
  <si>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</si>
  <si>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</si>
  <si>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</si>
  <si>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</si>
  <si>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</si>
  <si>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</si>
  <si>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</si>
  <si>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</si>
  <si>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</si>
  <si>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</si>
  <si>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</si>
  <si>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</si>
  <si>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</si>
  <si>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</si>
  <si>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</si>
  <si>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</si>
  <si>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</si>
  <si>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</si>
  <si>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</si>
  <si>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</si>
  <si>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</si>
  <si>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</si>
  <si>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</si>
  <si>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</si>
  <si>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</si>
  <si>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</si>
  <si>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</si>
  <si>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</si>
  <si>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</si>
  <si>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</si>
  <si>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</si>
  <si>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</si>
  <si>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</si>
  <si>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</si>
  <si>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</si>
  <si>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</si>
  <si>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</si>
  <si>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</si>
  <si>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</si>
  <si>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</si>
  <si>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</si>
  <si>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</si>
  <si>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</si>
  <si>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</si>
  <si>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</si>
  <si>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</si>
  <si>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</si>
  <si>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</si>
  <si>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</si>
  <si>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</si>
  <si>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</si>
  <si>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</si>
  <si>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</si>
  <si>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</si>
  <si>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</si>
  <si>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</si>
  <si>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</si>
  <si>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</si>
  <si>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</si>
  <si>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</si>
  <si>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</si>
  <si>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</si>
  <si>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</si>
  <si>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</si>
  <si>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</si>
  <si>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</si>
  <si>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</si>
  <si>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</si>
  <si>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</si>
  <si>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</si>
  <si>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</si>
  <si>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</si>
  <si>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</si>
  <si>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</si>
  <si>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</si>
  <si>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</si>
  <si>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</si>
  <si>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</si>
  <si>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</si>
  <si>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</si>
  <si>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</si>
  <si>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</si>
  <si>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</si>
  <si>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</si>
  <si>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</si>
  <si>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</si>
  <si>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</si>
  <si>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</si>
  <si>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</si>
  <si>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</si>
  <si>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</si>
  <si>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</si>
  <si>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</si>
  <si>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</si>
  <si>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</si>
  <si>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</si>
  <si>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</si>
  <si>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</si>
  <si>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</si>
  <si>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</si>
  <si>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</si>
  <si>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</si>
  <si>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</si>
  <si>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</si>
  <si>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</si>
  <si>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</si>
  <si>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</si>
  <si>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</si>
  <si>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</si>
  <si>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</si>
  <si>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</si>
  <si>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</si>
  <si>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</si>
  <si>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</si>
  <si>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</si>
  <si>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</si>
  <si>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</si>
  <si>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</si>
  <si>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</si>
  <si>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</si>
  <si>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</si>
  <si>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</si>
  <si>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</si>
  <si>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</si>
  <si>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</si>
  <si>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</si>
  <si>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</si>
  <si>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</si>
  <si>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</si>
  <si>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</si>
  <si>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</si>
  <si>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</si>
  <si>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</si>
  <si>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</si>
  <si>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</si>
  <si>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</si>
  <si>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</si>
  <si>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</si>
  <si>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</si>
  <si>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</si>
  <si>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</si>
  <si>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</si>
  <si>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</si>
  <si>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</si>
  <si>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</si>
  <si>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</si>
  <si>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</si>
  <si>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</si>
  <si>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</si>
  <si>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</si>
  <si>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</si>
  <si>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</si>
  <si>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</si>
  <si>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</si>
  <si>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</si>
  <si>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</si>
  <si>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</si>
  <si>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</si>
  <si>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</si>
  <si>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</si>
  <si>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</si>
  <si>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</si>
  <si>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</si>
  <si>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</si>
  <si>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</si>
  <si>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</si>
  <si>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</si>
  <si>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</si>
  <si>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</si>
  <si>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</si>
  <si>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</si>
  <si>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</si>
  <si>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</si>
  <si>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</si>
  <si>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</si>
  <si>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</si>
  <si>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</si>
  <si>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</si>
  <si>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</si>
  <si>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</si>
  <si>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</si>
  <si>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</si>
  <si>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</si>
  <si>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</si>
  <si>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</si>
  <si>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</si>
  <si>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</si>
  <si>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</si>
  <si>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</si>
  <si>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</si>
  <si>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</si>
  <si>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</si>
  <si>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</si>
  <si>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</si>
  <si>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</si>
  <si>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</si>
  <si>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</si>
  <si>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</si>
  <si>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</si>
  <si>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</si>
  <si>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</si>
  <si>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</si>
  <si>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</si>
  <si>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</si>
  <si>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</si>
  <si>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</si>
  <si>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</si>
  <si>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</si>
  <si>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</si>
  <si>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</si>
  <si>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</si>
  <si>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</si>
  <si>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</si>
  <si>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</si>
  <si>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</si>
  <si>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</si>
  <si>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</si>
  <si>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</si>
  <si>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</si>
  <si>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</si>
  <si>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</si>
  <si>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</si>
  <si>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</si>
  <si>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</si>
  <si>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</si>
  <si>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</si>
  <si>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</si>
  <si>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</si>
  <si>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</si>
  <si>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</si>
  <si>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</si>
  <si>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</si>
  <si>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</si>
  <si>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</si>
  <si>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</si>
  <si>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</si>
  <si>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</si>
  <si>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</si>
  <si>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</si>
  <si>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</si>
  <si>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</si>
  <si>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</si>
  <si>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</si>
  <si>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</si>
  <si>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</si>
  <si>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</si>
  <si>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</si>
  <si>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</si>
  <si>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</si>
  <si>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</si>
  <si>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</si>
  <si>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</si>
  <si>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</si>
  <si>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</si>
  <si>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</si>
  <si>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</si>
  <si>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</si>
  <si>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</si>
  <si>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</si>
  <si>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</si>
  <si>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</si>
  <si>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</si>
  <si>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</si>
  <si>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</si>
  <si>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</si>
  <si>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</si>
  <si>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</si>
  <si>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</si>
  <si>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</si>
  <si>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</si>
  <si>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</si>
  <si>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</si>
  <si>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</si>
  <si>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</si>
  <si>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</si>
  <si>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</si>
  <si>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</si>
  <si>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</si>
  <si>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</si>
  <si>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</si>
  <si>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</si>
  <si>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</si>
  <si>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</si>
  <si>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</si>
  <si>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</si>
  <si>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</si>
  <si>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</si>
  <si>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</si>
  <si>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</si>
  <si>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</si>
  <si>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</si>
  <si>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</si>
  <si>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</si>
  <si>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</si>
  <si>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</si>
  <si>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</si>
  <si>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</si>
  <si>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</si>
  <si>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</si>
  <si>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</si>
  <si>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</si>
  <si>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</si>
  <si>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</si>
  <si>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</si>
  <si>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</si>
  <si>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</si>
  <si>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</si>
  <si>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</si>
  <si>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</si>
  <si>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</si>
  <si>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</si>
  <si>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</si>
  <si>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</si>
  <si>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</si>
  <si>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</si>
  <si>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</si>
  <si>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</si>
  <si>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</si>
  <si>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</si>
  <si>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</si>
  <si>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</si>
  <si>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</si>
  <si>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</si>
  <si>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</si>
  <si>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</si>
  <si>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</si>
  <si>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</si>
  <si>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</si>
  <si>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</si>
  <si>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</si>
  <si>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</si>
  <si>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</si>
  <si>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</si>
  <si>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</si>
  <si>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</si>
  <si>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</si>
  <si>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</si>
  <si>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</si>
  <si>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</si>
  <si>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</si>
  <si>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</si>
  <si>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</si>
  <si>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</si>
  <si>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</si>
  <si>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</si>
  <si>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</si>
  <si>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</si>
  <si>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</si>
  <si>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</si>
  <si>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</si>
  <si>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</si>
  <si>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</si>
  <si>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</si>
  <si>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</si>
  <si>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</si>
  <si>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</si>
  <si>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</si>
  <si>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</si>
  <si>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</si>
  <si>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</si>
  <si>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</si>
  <si>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</si>
  <si>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</si>
  <si>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</si>
  <si>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</si>
  <si>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</si>
  <si>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</si>
  <si>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</si>
  <si>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</si>
  <si>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</si>
  <si>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</si>
  <si>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</si>
  <si>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</si>
  <si>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</si>
  <si>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</si>
  <si>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</si>
  <si>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</si>
  <si>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</si>
  <si>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</si>
  <si>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</si>
  <si>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</si>
  <si>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</si>
  <si>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</si>
  <si>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</si>
  <si>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</si>
  <si>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</si>
  <si>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</si>
  <si>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</si>
  <si>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</si>
  <si>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</si>
  <si>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</si>
  <si>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</si>
  <si>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</si>
  <si>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</si>
  <si>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 költségvetési szerv neve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</si>
  <si>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</si>
  <si>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</si>
  <si>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</si>
  <si>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</si>
  <si>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</si>
  <si>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</si>
  <si>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</si>
  <si>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</si>
  <si>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</si>
  <si>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</si>
  <si>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</si>
  <si>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</si>
  <si>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</si>
  <si>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</si>
  <si>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</si>
  <si>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</si>
  <si>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</si>
  <si>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</si>
  <si>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</si>
  <si>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</si>
  <si>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</si>
  <si>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</si>
  <si>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</si>
  <si>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</si>
  <si>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</si>
  <si>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</si>
  <si>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</si>
  <si>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</si>
  <si>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</si>
  <si>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</si>
  <si>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</si>
  <si>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</si>
  <si>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</si>
  <si>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</si>
  <si>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</si>
  <si>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</si>
  <si>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</si>
  <si>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</si>
  <si>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</si>
  <si>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</si>
  <si>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</si>
  <si>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</si>
  <si>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</si>
  <si>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</si>
  <si>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</si>
  <si>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</si>
  <si>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</si>
  <si>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</si>
  <si>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</si>
  <si>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</si>
  <si>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</si>
  <si>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</si>
  <si>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</si>
  <si>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</si>
  <si>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</si>
  <si>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</si>
  <si>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</si>
  <si>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</si>
  <si>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</si>
  <si>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</si>
  <si>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</si>
  <si>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</si>
  <si>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</si>
  <si>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</si>
  <si>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</si>
  <si>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</si>
  <si>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</si>
  <si>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</si>
  <si>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</si>
  <si>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</si>
  <si>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</si>
  <si>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</si>
  <si>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</si>
  <si>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</si>
  <si>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</si>
  <si>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</si>
  <si>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</si>
  <si>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</si>
  <si>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</si>
  <si>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</si>
  <si>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</si>
  <si>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</si>
  <si>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</si>
  <si>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</si>
  <si>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</si>
  <si>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</si>
  <si>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</si>
  <si>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</si>
  <si>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</si>
  <si>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</si>
  <si>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</si>
  <si>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</si>
  <si>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</si>
  <si>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</si>
  <si>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</si>
  <si>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</si>
  <si>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</si>
  <si>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</si>
  <si>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</si>
  <si>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</si>
  <si>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</si>
  <si>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</si>
  <si>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</si>
  <si>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</si>
  <si>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</si>
  <si>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</si>
  <si>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</si>
  <si>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</si>
  <si>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</si>
  <si>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</si>
  <si>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</si>
  <si>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</si>
  <si>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</si>
  <si>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</si>
  <si>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</si>
  <si>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</si>
  <si>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</si>
  <si>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</si>
  <si>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</si>
  <si>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</si>
  <si>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</si>
  <si>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</si>
  <si>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</si>
  <si>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</si>
  <si>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</si>
  <si>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</si>
  <si>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</si>
  <si>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</si>
  <si>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</si>
  <si>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</si>
  <si>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</si>
  <si>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</si>
  <si>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</si>
  <si>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</si>
  <si>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</si>
  <si>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</si>
  <si>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</si>
  <si>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</si>
  <si>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</si>
  <si>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</si>
  <si>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</si>
  <si>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</si>
  <si>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</si>
  <si>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</si>
  <si>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</si>
  <si>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</si>
  <si>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</si>
  <si>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</si>
  <si>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</si>
  <si>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</si>
  <si>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</si>
  <si>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</si>
  <si>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</si>
  <si>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</si>
  <si>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</si>
  <si>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</si>
  <si>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</si>
  <si>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</si>
  <si>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</si>
  <si>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</si>
  <si>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</si>
  <si>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</si>
  <si>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</si>
  <si>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</si>
  <si>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</si>
  <si>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</si>
  <si>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</si>
  <si>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</si>
  <si>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</si>
  <si>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</si>
  <si>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</si>
  <si>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</si>
  <si>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</si>
  <si>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</si>
  <si>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</si>
  <si>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</si>
  <si>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</si>
  <si>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</si>
  <si>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</si>
  <si>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</si>
  <si>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</si>
  <si>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</si>
  <si>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</si>
  <si>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</si>
  <si>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</si>
  <si>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</si>
  <si>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</si>
  <si>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</si>
  <si>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</si>
  <si>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</si>
  <si>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</si>
  <si>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</si>
  <si>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</si>
  <si>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</si>
  <si>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</si>
  <si>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</si>
  <si>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</si>
  <si>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</si>
  <si>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</si>
  <si>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</si>
  <si>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</si>
  <si>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</si>
  <si>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</si>
  <si>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</si>
  <si>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</si>
  <si>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</si>
  <si>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</si>
  <si>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</si>
  <si>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</si>
  <si>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</si>
  <si>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</si>
  <si>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</si>
  <si>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</si>
  <si>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</si>
  <si>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</si>
  <si>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</si>
  <si>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</si>
  <si>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</si>
  <si>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</si>
  <si>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</si>
  <si>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</si>
  <si>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</si>
  <si>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</si>
  <si>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</si>
  <si>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</si>
  <si>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</si>
  <si>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</si>
  <si>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</si>
  <si>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</si>
  <si>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</si>
  <si>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</si>
  <si>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</si>
  <si>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</si>
  <si>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</si>
  <si>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</si>
  <si>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</si>
  <si>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</si>
  <si>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</si>
  <si>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</si>
  <si>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</si>
  <si>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</si>
  <si>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</si>
  <si>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</si>
  <si>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</si>
  <si>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</si>
  <si>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</si>
  <si>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</si>
  <si>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</si>
  <si>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</si>
  <si>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</si>
  <si>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</si>
  <si>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</si>
  <si>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</si>
  <si>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</si>
  <si>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</si>
  <si>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</si>
  <si>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</si>
  <si>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</si>
  <si>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</si>
  <si>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</si>
  <si>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</si>
  <si>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</si>
  <si>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</si>
  <si>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</si>
  <si>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</si>
  <si>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</si>
  <si>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</si>
  <si>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</si>
  <si>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</si>
  <si>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</si>
  <si>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</si>
  <si>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</si>
  <si>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</si>
  <si>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</si>
  <si>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</si>
  <si>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</si>
  <si>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</si>
  <si>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</si>
  <si>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</si>
  <si>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</si>
  <si>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</si>
  <si>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</si>
  <si>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</si>
  <si>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</si>
  <si>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</si>
  <si>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</si>
  <si>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</si>
  <si>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</si>
  <si>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</si>
  <si>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</si>
  <si>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</si>
  <si>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</si>
  <si>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</si>
  <si>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</si>
  <si>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</si>
  <si>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</si>
  <si>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</si>
  <si>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</si>
  <si>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</si>
  <si>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</si>
  <si>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</si>
  <si>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</si>
  <si>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</si>
  <si>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</si>
  <si>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</si>
  <si>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</si>
  <si>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</si>
  <si>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</si>
  <si>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</si>
  <si>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</si>
  <si>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</si>
  <si>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</si>
  <si>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</si>
  <si>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</si>
  <si>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</si>
  <si>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</si>
  <si>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</si>
  <si>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</si>
  <si>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</si>
  <si>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</si>
  <si>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</si>
  <si>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</si>
  <si>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</si>
  <si>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</si>
  <si>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</si>
  <si>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</si>
  <si>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</si>
  <si>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</si>
  <si>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</si>
  <si>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</si>
  <si>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</si>
  <si>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</si>
  <si>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</si>
  <si>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</si>
  <si>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</si>
  <si>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</si>
  <si>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</si>
  <si>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</si>
  <si>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</si>
  <si>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</si>
  <si>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</si>
  <si>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</si>
  <si>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</si>
  <si>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</si>
  <si>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</si>
  <si>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</si>
  <si>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</si>
  <si>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</si>
  <si>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</si>
  <si>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</si>
  <si>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</si>
  <si>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</si>
  <si>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</si>
  <si>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</si>
  <si>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</si>
  <si>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</si>
  <si>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</si>
  <si>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</si>
  <si>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</si>
  <si>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</si>
  <si>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</si>
  <si>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</si>
  <si>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</si>
  <si>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</si>
  <si>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</si>
  <si>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</si>
  <si>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</si>
  <si>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</si>
  <si>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</si>
  <si>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</si>
  <si>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</si>
  <si>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</si>
  <si>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</si>
  <si>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</si>
  <si>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</si>
  <si>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</si>
  <si>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</si>
  <si>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</si>
  <si>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</si>
  <si>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</si>
  <si>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Gönc Város Önkormányzata</t>
  </si>
  <si>
    <t>V…</t>
  </si>
  <si>
    <t>Gönci Közös Önkormányzati Hivatal</t>
  </si>
  <si>
    <t>Gönci Barackvirág Napköziotthonos Óvoda</t>
  </si>
  <si>
    <t>Városi Könyvtár</t>
  </si>
  <si>
    <t>Egyéb közhatalmi bevétel</t>
  </si>
  <si>
    <t>* Magyarország 2020. évi központi költségvetéséról szóló törvény</t>
  </si>
  <si>
    <t>I.1.a</t>
  </si>
  <si>
    <t>I.1-b.-I.1.F</t>
  </si>
  <si>
    <t>I.6.</t>
  </si>
  <si>
    <t>II.</t>
  </si>
  <si>
    <t>III.2.</t>
  </si>
  <si>
    <t>III.3.a</t>
  </si>
  <si>
    <t>III.3.b</t>
  </si>
  <si>
    <t>III.3.c</t>
  </si>
  <si>
    <t>III.3.d</t>
  </si>
  <si>
    <t>III.3.db.</t>
  </si>
  <si>
    <t>III.3.h</t>
  </si>
  <si>
    <t>III.3.n</t>
  </si>
  <si>
    <t>III.5.</t>
  </si>
  <si>
    <t>III.6.b</t>
  </si>
  <si>
    <t>IV.1..</t>
  </si>
  <si>
    <t>Önkormányzati hivatal működésének támogatása</t>
  </si>
  <si>
    <t xml:space="preserve">Települési önkormányzati támogatások </t>
  </si>
  <si>
    <t>Polgármesteri illetmény támogatása</t>
  </si>
  <si>
    <t>Települési önkormányzatok köznevelési feladatainak támogatása</t>
  </si>
  <si>
    <t>Települési önkormányzatok szociális feladatainak támogatása</t>
  </si>
  <si>
    <t>Család és gyermekjóléti szolgálat</t>
  </si>
  <si>
    <t>Család és gyermekjóléti központ</t>
  </si>
  <si>
    <t>Szociális étkezés</t>
  </si>
  <si>
    <t>Házi segítségnyújtás</t>
  </si>
  <si>
    <t>Házi segítségnyújtás szociális segítés</t>
  </si>
  <si>
    <t>szenvedélybetegek nappali ellátása</t>
  </si>
  <si>
    <t>óvodai és iskolai szociális segítő tevékenység</t>
  </si>
  <si>
    <t>Gyermekétkeztetés</t>
  </si>
  <si>
    <t>Bölcsödei feladatok</t>
  </si>
  <si>
    <t>Könyvtári, közművelődési feladatok</t>
  </si>
  <si>
    <t>2019. évi LXXI.
törvény 2.  melléklete száma*</t>
  </si>
  <si>
    <t>Nemleges</t>
  </si>
  <si>
    <t>Laptop vásárlás</t>
  </si>
  <si>
    <t>Ravatalozó bútorok beszerzése</t>
  </si>
  <si>
    <t xml:space="preserve">Ivóvízpályázat </t>
  </si>
  <si>
    <t>Kerékpárút pályázat</t>
  </si>
  <si>
    <t>Konyha eszközbeszerzés</t>
  </si>
  <si>
    <t>Barnamezős pályázat</t>
  </si>
  <si>
    <t>Paic pályázat</t>
  </si>
  <si>
    <t>2020</t>
  </si>
  <si>
    <t>2019-2020</t>
  </si>
  <si>
    <t>Szolgálati lakások felújítása</t>
  </si>
  <si>
    <t>Huszita ház tető felújítása</t>
  </si>
  <si>
    <t>Diákotthon felújítása</t>
  </si>
  <si>
    <t>KEHOP-2.1.3-15-2016-00031 ivóvíz pályázat</t>
  </si>
  <si>
    <t>TOP-3.1.1-16-BO1-2017-00011 kerékpárút</t>
  </si>
  <si>
    <t>TOP-3.2.1-16-BO1-2017-00071 Diákotthon felújítása</t>
  </si>
  <si>
    <t>TOP-2.1.1-15-BO1-2016-00007 Barnamezős beruházás</t>
  </si>
  <si>
    <t>TOP-1.1.3-15-BO1-2018-00028 PIAC pályázat</t>
  </si>
  <si>
    <t>TOP-5.3.1-16-BO1-2017-00013 Kohéziós pályázat</t>
  </si>
  <si>
    <t>Kútfelújítás</t>
  </si>
  <si>
    <t>Sart eszközbeszerzés</t>
  </si>
  <si>
    <t>KEHOP ívóvíz felújítás</t>
  </si>
  <si>
    <t>Arany János utca felújítása</t>
  </si>
  <si>
    <t>2.2. melléklet  az 5/2021.(V.28.) önkormányzati rendelethez</t>
  </si>
  <si>
    <t>1.4. melléklet az 5/2021.(V.28.) önkormányzati rendelethez</t>
  </si>
  <si>
    <t>1.3. melléklet az 5/2021.(V.28.) önkormányzati rendelethez</t>
  </si>
  <si>
    <t>1.2. melléklet az 5/2021.(V.28.) önkormányzati rendelethez</t>
  </si>
  <si>
    <t>1.1. melléklet az 5/2021.(V.28.) önkormányzati rendelethez</t>
  </si>
  <si>
    <t>4. melléklet  az 5/2021.(V.28.) önkormányzati rendelethez</t>
  </si>
  <si>
    <t>5. melléklet  az 5/2021.(V.28.) önkormányzati rendelethez</t>
  </si>
  <si>
    <t>6.1. melléklet melléklet  az 5/2021.(V.28.) önkormányzati rendelethez</t>
  </si>
  <si>
    <t>6.1.1. melléklet  az 5/2021.(V.28.) önkormányzati rendelethez</t>
  </si>
  <si>
    <t>6.1.2. melléklet  az 5/2021.(V.28.) önkormányzati rendelethez</t>
  </si>
  <si>
    <t>6.1.3. melléklet  az 5/2021.(V.28.) önkormányzati rendelethez</t>
  </si>
  <si>
    <t>6.2. melléklet  az 5/2021.(V.28.) önkormányzati rendelethez</t>
  </si>
  <si>
    <t xml:space="preserve">6.2.1. melléklet az 5/2021.(V.28.) önkormányzati rendelethez </t>
  </si>
  <si>
    <t>6.2.2. melléklet az 5/2021.(V.28.) önkormányzati rendelethez</t>
  </si>
  <si>
    <t xml:space="preserve">6.2.3. melléklet  az 5/2021.(V.28.) önkormányzati rendelethez </t>
  </si>
  <si>
    <t>6.3. melléklet az 5/2021.(V.28.) önkormányzati rendelethez</t>
  </si>
  <si>
    <t>6.3.1.  melléklet  az 5/2021.(V.28.) önkormányzati rendelethez</t>
  </si>
  <si>
    <t>6.3.2.  melléklet  az 5/2021.(V.28.) önkormányzati rendelethez</t>
  </si>
  <si>
    <t xml:space="preserve">6.3.3.  melléklet  az 5/2021.(V.28.) önkormányzati rendelethez </t>
  </si>
  <si>
    <t>6.4.  melléklet az 5/2021.(V.28.) önkormányzati rendelethez</t>
  </si>
  <si>
    <t>6.4.1.  melléklet az 5/2021.(V.28.) önkormányzati rendelethez</t>
  </si>
  <si>
    <t>6.4.2.  melléklet az 5/2021.(V.28.) önkormányzati rendelethez</t>
  </si>
  <si>
    <t>6.4.3.  melléklet az 5/2021.(V.28.) önkormányzati rendelethez</t>
  </si>
  <si>
    <t>7. melléklet  melléklet az 5/2021.(V.28.) önkormányzati rendelethez</t>
  </si>
  <si>
    <t>8.  melléklet az 5/2021.(V.28.) önkormányzati rendelethez</t>
  </si>
  <si>
    <t>1. tájékoztató tábla az 5/2021.(V.28.) önkormányzati rendelethez</t>
  </si>
  <si>
    <t>2. tájékoztató tábla az 5/2021.(V.28.) önkormányzati rendelethez</t>
  </si>
  <si>
    <t>3. tájékoztató tábla az 5/2021.(V.28.) önkormányzati rendelethez</t>
  </si>
  <si>
    <t>4. tájékoztató tábla  az 5/2021.(V.28.) önkormányzati rendelethez</t>
  </si>
  <si>
    <t>5. tájékoztató tábla az 5/2021.(V.28.) önkormányzati rendelethez</t>
  </si>
  <si>
    <t>6. tájékoztató tábla az 5/2021.(V.28.) önkormányzati rendelethez</t>
  </si>
  <si>
    <t>7.1. tájékoztató tábla az 5/2021.(V.28.) önkormányzati rendelethez</t>
  </si>
  <si>
    <t>7.2. tájékoztató tábla 1. tájékoztató tábla az 5/2021.(V.28.) önkormányzati rendelethez</t>
  </si>
  <si>
    <t>7.3. tájékoztató tábla az 5/2021.(V.28.) önkormányzati rendelethez</t>
  </si>
  <si>
    <t>8. tájékoztató tábla az 5/2021.(V.28.) önkormányzati rendelethez</t>
  </si>
  <si>
    <t>9. tájékoztató tábla az 5/2021.(V.28.) önkormányzati rendelethez</t>
  </si>
  <si>
    <t>2.1. melléklet az 5/2021.(V.28.) önkormányzati rendelethez</t>
  </si>
  <si>
    <t>3. melléklet  az 5/2021.(V.28.)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</si>
</sst>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00"/>
    <numFmt numFmtId="170" formatCode="#,###__;\-#,###__"/>
    <numFmt numFmtId="171" formatCode="#,###\ _F_t;\-#,###\ _F_t"/>
    <numFmt numFmtId="172" formatCode="#,###__"/>
  </numFmts>
  <fonts count="8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8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7" fillId="0" borderId="17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vertical="center" wrapText="1"/>
      <protection locked="0"/>
    </xf>
    <xf numFmtId="165" fontId="15" fillId="0" borderId="17" xfId="0" applyNumberFormat="1" applyFont="1" applyFill="1" applyBorder="1" applyAlignment="1" applyProtection="1">
      <alignment vertical="center" wrapText="1"/>
    </xf>
    <xf numFmtId="165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6" xfId="0" applyNumberFormat="1" applyFont="1" applyFill="1" applyBorder="1" applyAlignment="1" applyProtection="1">
      <alignment vertical="center" wrapText="1"/>
      <protection locked="0"/>
    </xf>
    <xf numFmtId="165" fontId="15" fillId="0" borderId="18" xfId="0" applyNumberFormat="1" applyFont="1" applyFill="1" applyBorder="1" applyAlignment="1" applyProtection="1">
      <alignment vertical="center" wrapText="1"/>
    </xf>
    <xf numFmtId="165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7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5" fontId="24" fillId="0" borderId="2" xfId="0" applyNumberFormat="1" applyFont="1" applyFill="1" applyBorder="1" applyAlignment="1" applyProtection="1">
      <alignment vertical="center"/>
      <protection locked="0"/>
    </xf>
    <xf numFmtId="165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165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5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5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/>
    </xf>
    <xf numFmtId="165" fontId="23" fillId="0" borderId="19" xfId="0" applyNumberFormat="1" applyFont="1" applyFill="1" applyBorder="1" applyAlignment="1" applyProtection="1">
      <alignment vertical="center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3" xfId="0" applyNumberFormat="1" applyFont="1" applyFill="1" applyBorder="1" applyAlignment="1" applyProtection="1">
      <alignment horizontal="left" vertical="center" wrapText="1" indent="1"/>
    </xf>
    <xf numFmtId="165" fontId="26" fillId="0" borderId="34" xfId="0" applyNumberFormat="1" applyFont="1" applyFill="1" applyBorder="1" applyAlignment="1" applyProtection="1">
      <alignment horizontal="left" vertical="center" wrapText="1" indent="1"/>
    </xf>
    <xf numFmtId="165" fontId="1" fillId="0" borderId="35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2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5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7" applyNumberFormat="1" applyFont="1" applyFill="1" applyBorder="1" applyAlignment="1" applyProtection="1">
      <alignment horizontal="right" vertical="center" wrapText="1" indent="1"/>
    </xf>
    <xf numFmtId="165" fontId="16" fillId="0" borderId="14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5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5" fontId="16" fillId="0" borderId="38" xfId="7" applyNumberFormat="1" applyFont="1" applyFill="1" applyBorder="1" applyAlignment="1" applyProtection="1">
      <alignment horizontal="right" vertical="center" wrapText="1" indent="1"/>
    </xf>
    <xf numFmtId="165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1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3" xfId="7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5" fontId="16" fillId="0" borderId="44" xfId="7" applyNumberFormat="1" applyFont="1" applyFill="1" applyBorder="1" applyAlignment="1" applyProtection="1">
      <alignment horizontal="right" vertical="center" wrapText="1" indent="1"/>
    </xf>
    <xf numFmtId="165" fontId="16" fillId="0" borderId="24" xfId="7" applyNumberFormat="1" applyFont="1" applyFill="1" applyBorder="1" applyAlignment="1" applyProtection="1">
      <alignment horizontal="right" vertical="center" wrapText="1" indent="1"/>
    </xf>
    <xf numFmtId="165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5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5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4" xfId="0" applyNumberFormat="1" applyFont="1" applyFill="1" applyBorder="1" applyAlignment="1" applyProtection="1">
      <alignment horizontal="right" vertical="center" wrapText="1" indent="1"/>
    </xf>
    <xf numFmtId="165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4" xfId="0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5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5" fontId="9" fillId="0" borderId="0" xfId="0" applyNumberFormat="1" applyFont="1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Continuous" vertical="center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5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5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5" fontId="7" fillId="0" borderId="53" xfId="0" applyNumberFormat="1" applyFont="1" applyFill="1" applyBorder="1" applyAlignment="1" applyProtection="1">
      <alignment horizontal="centerContinuous" vertical="center"/>
    </xf>
    <xf numFmtId="165" fontId="7" fillId="0" borderId="54" xfId="0" applyNumberFormat="1" applyFont="1" applyFill="1" applyBorder="1" applyAlignment="1" applyProtection="1">
      <alignment horizontal="centerContinuous" vertical="center"/>
    </xf>
    <xf numFmtId="165" fontId="7" fillId="0" borderId="39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55" xfId="0" applyNumberFormat="1" applyFont="1" applyFill="1" applyBorder="1" applyAlignment="1" applyProtection="1">
      <alignment horizontal="center" vertical="center"/>
    </xf>
    <xf numFmtId="165" fontId="7" fillId="0" borderId="56" xfId="0" applyNumberFormat="1" applyFont="1" applyFill="1" applyBorder="1" applyAlignment="1" applyProtection="1">
      <alignment horizontal="center" vertical="center"/>
    </xf>
    <xf numFmtId="165" fontId="7" fillId="0" borderId="49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6" fillId="0" borderId="14" xfId="0" applyNumberFormat="1" applyFont="1" applyFill="1" applyBorder="1" applyAlignment="1" applyProtection="1">
      <alignment horizontal="center" vertical="center" wrapText="1"/>
    </xf>
    <xf numFmtId="165" fontId="16" fillId="0" borderId="44" xfId="0" applyNumberFormat="1" applyFont="1" applyFill="1" applyBorder="1" applyAlignment="1" applyProtection="1">
      <alignment horizontal="center" vertical="center" wrapText="1"/>
    </xf>
    <xf numFmtId="165" fontId="16" fillId="0" borderId="35" xfId="0" applyNumberFormat="1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right" vertical="center" wrapText="1" indent="1"/>
    </xf>
    <xf numFmtId="165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5" fontId="23" fillId="0" borderId="4" xfId="0" applyNumberFormat="1" applyFont="1" applyFill="1" applyBorder="1" applyAlignment="1" applyProtection="1">
      <alignment vertical="center" wrapText="1"/>
    </xf>
    <xf numFmtId="165" fontId="23" fillId="0" borderId="53" xfId="0" applyNumberFormat="1" applyFont="1" applyFill="1" applyBorder="1" applyAlignment="1" applyProtection="1">
      <alignment vertical="center" wrapText="1"/>
    </xf>
    <xf numFmtId="165" fontId="23" fillId="0" borderId="57" xfId="0" applyNumberFormat="1" applyFont="1" applyFill="1" applyBorder="1" applyAlignment="1" applyProtection="1">
      <alignment vertical="center" wrapText="1"/>
    </xf>
    <xf numFmtId="165" fontId="16" fillId="0" borderId="8" xfId="0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165" fontId="17" fillId="0" borderId="32" xfId="0" applyNumberFormat="1" applyFont="1" applyFill="1" applyBorder="1" applyAlignment="1" applyProtection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5" fontId="23" fillId="0" borderId="2" xfId="0" applyNumberFormat="1" applyFont="1" applyFill="1" applyBorder="1" applyAlignment="1" applyProtection="1">
      <alignment vertical="center" wrapText="1"/>
    </xf>
    <xf numFmtId="165" fontId="23" fillId="0" borderId="30" xfId="0" applyNumberFormat="1" applyFont="1" applyFill="1" applyBorder="1" applyAlignment="1" applyProtection="1">
      <alignment vertical="center" wrapText="1"/>
    </xf>
    <xf numFmtId="165" fontId="23" fillId="0" borderId="32" xfId="0" applyNumberFormat="1" applyFont="1" applyFill="1" applyBorder="1" applyAlignment="1" applyProtection="1">
      <alignment vertical="center" wrapText="1"/>
    </xf>
    <xf numFmtId="165" fontId="16" fillId="0" borderId="2" xfId="0" applyNumberFormat="1" applyFont="1" applyFill="1" applyBorder="1" applyAlignment="1" applyProtection="1">
      <alignment horizontal="left" vertical="center" wrapText="1" indent="1"/>
    </xf>
    <xf numFmtId="165" fontId="16" fillId="0" borderId="7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vertical="center" wrapText="1"/>
    </xf>
    <xf numFmtId="165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vertical="center" wrapText="1"/>
      <protection locked="0"/>
    </xf>
    <xf numFmtId="165" fontId="17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13" xfId="0" applyNumberFormat="1" applyFont="1" applyFill="1" applyBorder="1" applyAlignment="1" applyProtection="1">
      <alignment horizontal="right" vertical="center" wrapText="1" indent="1"/>
    </xf>
    <xf numFmtId="165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5" fontId="23" fillId="0" borderId="14" xfId="0" applyNumberFormat="1" applyFont="1" applyFill="1" applyBorder="1" applyAlignment="1" applyProtection="1">
      <alignment vertical="center" wrapText="1"/>
    </xf>
    <xf numFmtId="165" fontId="23" fillId="0" borderId="44" xfId="0" applyNumberFormat="1" applyFont="1" applyFill="1" applyBorder="1" applyAlignment="1" applyProtection="1">
      <alignment vertical="center" wrapText="1"/>
    </xf>
    <xf numFmtId="165" fontId="23" fillId="0" borderId="34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right" vertical="center" wrapText="1" indent="1"/>
    </xf>
    <xf numFmtId="165" fontId="16" fillId="0" borderId="34" xfId="0" applyNumberFormat="1" applyFont="1" applyFill="1" applyBorder="1" applyAlignment="1">
      <alignment horizontal="left" vertical="center" wrapText="1" indent="1"/>
    </xf>
    <xf numFmtId="165" fontId="13" fillId="2" borderId="34" xfId="0" applyNumberFormat="1" applyFont="1" applyFill="1" applyBorder="1" applyAlignment="1">
      <alignment horizontal="left" vertical="center" wrapText="1" indent="2"/>
    </xf>
    <xf numFmtId="165" fontId="13" fillId="2" borderId="24" xfId="0" applyNumberFormat="1" applyFont="1" applyFill="1" applyBorder="1" applyAlignment="1">
      <alignment horizontal="left" vertical="center" wrapText="1" indent="2"/>
    </xf>
    <xf numFmtId="165" fontId="16" fillId="0" borderId="13" xfId="0" applyNumberFormat="1" applyFont="1" applyFill="1" applyBorder="1" applyAlignment="1">
      <alignment vertical="center" wrapText="1"/>
    </xf>
    <xf numFmtId="165" fontId="16" fillId="0" borderId="14" xfId="0" applyNumberFormat="1" applyFont="1" applyFill="1" applyBorder="1" applyAlignment="1">
      <alignment vertical="center" wrapText="1"/>
    </xf>
    <xf numFmtId="165" fontId="16" fillId="0" borderId="19" xfId="0" applyNumberFormat="1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horizontal="right" vertical="center" wrapText="1" indent="1"/>
    </xf>
    <xf numFmtId="165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17" fillId="0" borderId="8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 applyProtection="1">
      <alignment vertical="center" wrapText="1"/>
      <protection locked="0"/>
    </xf>
    <xf numFmtId="165" fontId="13" fillId="2" borderId="34" xfId="0" applyNumberFormat="1" applyFont="1" applyFill="1" applyBorder="1" applyAlignment="1">
      <alignment horizontal="right" vertical="center" wrapText="1" indent="2"/>
    </xf>
    <xf numFmtId="165" fontId="13" fillId="2" borderId="24" xfId="0" applyNumberFormat="1" applyFont="1" applyFill="1" applyBorder="1" applyAlignment="1">
      <alignment horizontal="right" vertical="center" wrapText="1" indent="2"/>
    </xf>
    <xf numFmtId="165" fontId="24" fillId="0" borderId="30" xfId="0" applyNumberFormat="1" applyFont="1" applyFill="1" applyBorder="1" applyAlignment="1" applyProtection="1">
      <alignment vertical="center"/>
      <protection locked="0"/>
    </xf>
    <xf numFmtId="165" fontId="23" fillId="0" borderId="30" xfId="0" applyNumberFormat="1" applyFont="1" applyFill="1" applyBorder="1" applyAlignment="1" applyProtection="1">
      <alignment vertical="center"/>
    </xf>
    <xf numFmtId="165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5" fontId="24" fillId="0" borderId="20" xfId="0" applyNumberFormat="1" applyFont="1" applyFill="1" applyBorder="1" applyAlignment="1" applyProtection="1">
      <alignment vertical="center"/>
      <protection locked="0"/>
    </xf>
    <xf numFmtId="165" fontId="24" fillId="0" borderId="56" xfId="0" applyNumberFormat="1" applyFont="1" applyFill="1" applyBorder="1" applyAlignment="1" applyProtection="1">
      <alignment vertical="center"/>
      <protection locked="0"/>
    </xf>
    <xf numFmtId="165" fontId="23" fillId="0" borderId="44" xfId="0" applyNumberFormat="1" applyFont="1" applyFill="1" applyBorder="1" applyAlignment="1" applyProtection="1">
      <alignment vertical="center"/>
    </xf>
    <xf numFmtId="165" fontId="23" fillId="0" borderId="49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23" fillId="0" borderId="14" xfId="0" applyNumberFormat="1" applyFont="1" applyFill="1" applyBorder="1" applyAlignment="1">
      <alignment vertical="center" wrapText="1"/>
    </xf>
    <xf numFmtId="165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69" fontId="17" fillId="0" borderId="4" xfId="8" applyNumberFormat="1" applyFont="1" applyFill="1" applyBorder="1" applyAlignment="1" applyProtection="1">
      <alignment horizontal="center" vertical="center"/>
    </xf>
    <xf numFmtId="170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0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69" fontId="17" fillId="0" borderId="2" xfId="8" applyNumberFormat="1" applyFont="1" applyFill="1" applyBorder="1" applyAlignment="1" applyProtection="1">
      <alignment horizontal="center" vertical="center"/>
    </xf>
    <xf numFmtId="170" fontId="50" fillId="0" borderId="2" xfId="9" applyNumberFormat="1" applyFont="1" applyFill="1" applyBorder="1" applyAlignment="1" applyProtection="1">
      <alignment horizontal="right" vertical="center" wrapText="1"/>
    </xf>
    <xf numFmtId="170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0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0" fontId="53" fillId="0" borderId="2" xfId="9" applyNumberFormat="1" applyFont="1" applyFill="1" applyBorder="1" applyAlignment="1" applyProtection="1">
      <alignment horizontal="right" vertical="center" wrapText="1"/>
    </xf>
    <xf numFmtId="170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69" fontId="17" fillId="0" borderId="20" xfId="8" applyNumberFormat="1" applyFont="1" applyFill="1" applyBorder="1" applyAlignment="1" applyProtection="1">
      <alignment horizontal="center" vertical="center"/>
    </xf>
    <xf numFmtId="170" fontId="50" fillId="0" borderId="20" xfId="9" applyNumberFormat="1" applyFont="1" applyFill="1" applyBorder="1" applyAlignment="1" applyProtection="1">
      <alignment horizontal="right" vertical="center" wrapText="1"/>
    </xf>
    <xf numFmtId="170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69" fontId="17" fillId="0" borderId="3" xfId="8" applyNumberFormat="1" applyFont="1" applyFill="1" applyBorder="1" applyAlignment="1" applyProtection="1">
      <alignment horizontal="center" vertical="center"/>
    </xf>
    <xf numFmtId="171" fontId="17" fillId="0" borderId="59" xfId="8" applyNumberFormat="1" applyFont="1" applyFill="1" applyBorder="1" applyAlignment="1" applyProtection="1">
      <alignment vertical="center"/>
      <protection locked="0"/>
    </xf>
    <xf numFmtId="171" fontId="17" fillId="0" borderId="17" xfId="8" applyNumberFormat="1" applyFont="1" applyFill="1" applyBorder="1" applyAlignment="1" applyProtection="1">
      <alignment vertical="center"/>
      <protection locked="0"/>
    </xf>
    <xf numFmtId="171" fontId="16" fillId="0" borderId="17" xfId="8" applyNumberFormat="1" applyFont="1" applyFill="1" applyBorder="1" applyAlignment="1" applyProtection="1">
      <alignment vertical="center"/>
    </xf>
    <xf numFmtId="171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1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1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7" fontId="57" fillId="0" borderId="3" xfId="1" applyNumberFormat="1" applyFont="1" applyBorder="1" applyAlignment="1" applyProtection="1">
      <alignment horizontal="center" vertical="center" wrapText="1"/>
      <protection locked="0"/>
    </xf>
    <xf numFmtId="167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7" fontId="57" fillId="0" borderId="2" xfId="1" applyNumberFormat="1" applyFont="1" applyBorder="1" applyAlignment="1" applyProtection="1">
      <alignment horizontal="center" vertical="center" wrapText="1"/>
      <protection locked="0"/>
    </xf>
    <xf numFmtId="167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7" fontId="57" fillId="0" borderId="6" xfId="1" applyNumberFormat="1" applyFont="1" applyBorder="1" applyAlignment="1" applyProtection="1">
      <alignment horizontal="center" vertical="center" wrapText="1"/>
      <protection locked="0"/>
    </xf>
    <xf numFmtId="167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67" fontId="57" fillId="0" borderId="14" xfId="1" applyNumberFormat="1" applyFont="1" applyBorder="1" applyAlignment="1" applyProtection="1">
      <alignment horizontal="center" vertical="center" wrapText="1"/>
    </xf>
    <xf numFmtId="167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5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Alignment="1" applyProtection="1">
      <alignment horizontal="center" vertical="center" wrapText="1"/>
      <protection locked="0"/>
    </xf>
    <xf numFmtId="165" fontId="7" fillId="0" borderId="56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Fill="1" applyBorder="1" applyAlignment="1" applyProtection="1">
      <alignment horizontal="center" vertical="center"/>
      <protection locked="0"/>
    </xf>
    <xf numFmtId="165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2" fontId="0" fillId="0" borderId="17" xfId="0" applyNumberFormat="1" applyFont="1" applyFill="1" applyBorder="1" applyAlignment="1" applyProtection="1">
      <alignment horizontal="right" vertical="center"/>
      <protection locked="0"/>
    </xf>
    <xf numFmtId="172" fontId="0" fillId="0" borderId="18" xfId="0" applyNumberFormat="1" applyFont="1" applyFill="1" applyBorder="1" applyAlignment="1" applyProtection="1">
      <alignment horizontal="right" vertical="center"/>
      <protection locked="0"/>
    </xf>
    <xf numFmtId="172" fontId="0" fillId="0" borderId="49" xfId="0" applyNumberFormat="1" applyFont="1" applyFill="1" applyBorder="1" applyAlignment="1" applyProtection="1">
      <alignment horizontal="right" vertical="center"/>
      <protection locked="0"/>
    </xf>
    <xf numFmtId="172" fontId="26" fillId="0" borderId="36" xfId="0" applyNumberFormat="1" applyFont="1" applyFill="1" applyBorder="1" applyAlignment="1" applyProtection="1">
      <alignment horizontal="right" vertical="center"/>
    </xf>
    <xf numFmtId="0" fontId="72" fillId="0" borderId="0" xfId="0" applyFont="1"/>
    <xf numFmtId="0" fontId="72" fillId="0" borderId="0" xfId="0" applyFont="1" applyAlignment="1">
      <alignment horizontal="justify" vertical="top" wrapText="1"/>
    </xf>
    <xf numFmtId="0" fontId="73" fillId="4" borderId="0" xfId="0" applyFont="1" applyFill="1" applyAlignment="1">
      <alignment horizontal="center" vertical="center"/>
    </xf>
    <xf numFmtId="0" fontId="73" fillId="4" borderId="0" xfId="0" applyFont="1" applyFill="1" applyAlignment="1">
      <alignment horizontal="center" vertical="top" wrapText="1"/>
    </xf>
    <xf numFmtId="0" fontId="61" fillId="0" borderId="0" xfId="0" applyFont="1"/>
    <xf numFmtId="0" fontId="71" fillId="0" borderId="0" xfId="4" applyAlignment="1" applyProtection="1"/>
    <xf numFmtId="165" fontId="74" fillId="0" borderId="0" xfId="0" applyNumberFormat="1" applyFont="1" applyFill="1" applyAlignment="1" applyProtection="1">
      <alignment horizontal="right" vertical="center" wrapText="1" indent="1"/>
    </xf>
    <xf numFmtId="165" fontId="75" fillId="0" borderId="0" xfId="7" applyNumberFormat="1" applyFont="1" applyFill="1" applyProtection="1"/>
    <xf numFmtId="165" fontId="75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165" fontId="21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7" xfId="0" applyFill="1" applyBorder="1"/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0" fontId="0" fillId="0" borderId="69" xfId="0" applyFill="1" applyBorder="1"/>
    <xf numFmtId="0" fontId="21" fillId="0" borderId="70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5" fontId="20" fillId="0" borderId="34" xfId="0" applyNumberFormat="1" applyFont="1" applyFill="1" applyBorder="1" applyAlignment="1" applyProtection="1">
      <alignment vertical="center" wrapText="1"/>
    </xf>
    <xf numFmtId="165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  <protection locked="0"/>
    </xf>
    <xf numFmtId="165" fontId="17" fillId="0" borderId="3" xfId="0" applyNumberFormat="1" applyFont="1" applyFill="1" applyBorder="1" applyAlignment="1" applyProtection="1">
      <alignment vertical="center" wrapText="1"/>
    </xf>
    <xf numFmtId="165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5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2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5" fontId="14" fillId="0" borderId="0" xfId="6" applyNumberFormat="1" applyAlignment="1">
      <alignment vertical="center" wrapText="1"/>
    </xf>
    <xf numFmtId="165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165" fontId="23" fillId="0" borderId="34" xfId="6" applyNumberFormat="1" applyFont="1" applyBorder="1" applyAlignment="1">
      <alignment horizontal="right" vertical="center" wrapText="1"/>
    </xf>
    <xf numFmtId="165" fontId="9" fillId="0" borderId="0" xfId="6" applyNumberFormat="1" applyFont="1" applyAlignment="1" applyProtection="1">
      <alignment vertical="center" wrapText="1"/>
      <protection locked="0"/>
    </xf>
    <xf numFmtId="165" fontId="16" fillId="0" borderId="34" xfId="6" applyNumberFormat="1" applyFont="1" applyBorder="1" applyAlignment="1">
      <alignment horizontal="center" vertical="center" wrapText="1"/>
    </xf>
    <xf numFmtId="165" fontId="7" fillId="0" borderId="34" xfId="6" applyNumberFormat="1" applyFont="1" applyBorder="1" applyAlignment="1">
      <alignment horizontal="center" vertical="center" wrapText="1"/>
    </xf>
    <xf numFmtId="165" fontId="69" fillId="0" borderId="73" xfId="6" applyNumberFormat="1" applyFont="1" applyBorder="1" applyAlignment="1">
      <alignment horizontal="center" vertical="center"/>
    </xf>
    <xf numFmtId="165" fontId="69" fillId="0" borderId="34" xfId="6" applyNumberFormat="1" applyFont="1" applyBorder="1" applyAlignment="1">
      <alignment horizontal="center" vertical="center"/>
    </xf>
    <xf numFmtId="165" fontId="69" fillId="0" borderId="74" xfId="6" applyNumberFormat="1" applyFont="1" applyBorder="1" applyAlignment="1">
      <alignment horizontal="center" vertical="center"/>
    </xf>
    <xf numFmtId="165" fontId="69" fillId="0" borderId="34" xfId="6" applyNumberFormat="1" applyFont="1" applyBorder="1" applyAlignment="1">
      <alignment horizontal="center" vertical="center" wrapText="1"/>
    </xf>
    <xf numFmtId="165" fontId="69" fillId="0" borderId="74" xfId="6" applyNumberFormat="1" applyFont="1" applyBorder="1" applyAlignment="1">
      <alignment horizontal="center" vertical="center" wrapText="1"/>
    </xf>
    <xf numFmtId="49" fontId="24" fillId="0" borderId="75" xfId="6" applyNumberFormat="1" applyFont="1" applyBorder="1" applyAlignment="1">
      <alignment horizontal="left" vertical="center"/>
    </xf>
    <xf numFmtId="49" fontId="27" fillId="0" borderId="76" xfId="6" quotePrefix="1" applyNumberFormat="1" applyFont="1" applyBorder="1" applyAlignment="1">
      <alignment horizontal="left" vertical="center"/>
    </xf>
    <xf numFmtId="49" fontId="24" fillId="0" borderId="76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68" fontId="16" fillId="0" borderId="34" xfId="6" applyNumberFormat="1" applyFont="1" applyBorder="1" applyAlignment="1">
      <alignment horizontal="left" vertical="center" wrapText="1"/>
    </xf>
    <xf numFmtId="168" fontId="38" fillId="0" borderId="0" xfId="6" applyNumberFormat="1" applyFont="1" applyAlignment="1" applyProtection="1">
      <alignment horizontal="left" vertical="center" wrapText="1"/>
      <protection locked="0"/>
    </xf>
    <xf numFmtId="0" fontId="76" fillId="0" borderId="0" xfId="0" applyFont="1"/>
    <xf numFmtId="165" fontId="26" fillId="0" borderId="0" xfId="6" applyNumberFormat="1" applyFont="1" applyBorder="1" applyAlignment="1">
      <alignment horizontal="left" vertical="center" wrapText="1"/>
    </xf>
    <xf numFmtId="165" fontId="23" fillId="0" borderId="0" xfId="6" applyNumberFormat="1" applyFont="1" applyBorder="1" applyAlignment="1">
      <alignment horizontal="right" vertical="center" wrapText="1"/>
    </xf>
    <xf numFmtId="165" fontId="24" fillId="0" borderId="64" xfId="6" applyNumberFormat="1" applyFont="1" applyBorder="1" applyAlignment="1" applyProtection="1">
      <alignment horizontal="right" vertical="center" indent="1"/>
      <protection locked="0"/>
    </xf>
    <xf numFmtId="165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57" xfId="6" applyNumberFormat="1" applyFont="1" applyBorder="1" applyAlignment="1">
      <alignment horizontal="right" vertical="center" wrapText="1" indent="1"/>
    </xf>
    <xf numFmtId="165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>
      <alignment horizontal="right" vertical="center" wrapText="1" indent="1"/>
    </xf>
    <xf numFmtId="165" fontId="23" fillId="0" borderId="34" xfId="6" applyNumberFormat="1" applyFont="1" applyBorder="1" applyAlignment="1">
      <alignment horizontal="right" vertical="center" indent="1"/>
    </xf>
    <xf numFmtId="165" fontId="23" fillId="0" borderId="34" xfId="6" applyNumberFormat="1" applyFont="1" applyBorder="1" applyAlignment="1">
      <alignment horizontal="right" vertical="center" wrapText="1" indent="1"/>
    </xf>
    <xf numFmtId="165" fontId="24" fillId="0" borderId="7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71" xfId="6" applyNumberFormat="1" applyFont="1" applyBorder="1" applyAlignment="1">
      <alignment horizontal="right" vertical="center" wrapText="1" indent="1"/>
    </xf>
    <xf numFmtId="165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5" fontId="70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5" fontId="24" fillId="0" borderId="64" xfId="6" applyNumberFormat="1" applyFont="1" applyBorder="1" applyAlignment="1" applyProtection="1">
      <alignment horizontal="right" vertical="center" indent="1"/>
    </xf>
    <xf numFmtId="165" fontId="27" fillId="0" borderId="32" xfId="6" applyNumberFormat="1" applyFont="1" applyBorder="1" applyAlignment="1" applyProtection="1">
      <alignment horizontal="right" vertical="center" indent="1"/>
    </xf>
    <xf numFmtId="165" fontId="24" fillId="0" borderId="32" xfId="6" applyNumberFormat="1" applyFont="1" applyBorder="1" applyAlignment="1" applyProtection="1">
      <alignment horizontal="right" vertical="center" indent="1"/>
    </xf>
    <xf numFmtId="165" fontId="23" fillId="0" borderId="34" xfId="6" applyNumberFormat="1" applyFont="1" applyBorder="1" applyAlignment="1" applyProtection="1">
      <alignment horizontal="right" vertical="center" indent="1"/>
    </xf>
    <xf numFmtId="165" fontId="24" fillId="0" borderId="72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6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3" xfId="0" applyFont="1" applyBorder="1" applyProtection="1">
      <protection locked="0"/>
    </xf>
    <xf numFmtId="0" fontId="28" fillId="0" borderId="0" xfId="0" applyFont="1" applyProtection="1">
      <protection locked="0"/>
    </xf>
    <xf numFmtId="165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5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4" xfId="0" applyFill="1" applyBorder="1" applyProtection="1">
      <protection locked="0"/>
    </xf>
    <xf numFmtId="0" fontId="0" fillId="0" borderId="67" xfId="0" applyFill="1" applyBorder="1" applyProtection="1">
      <protection locked="0"/>
    </xf>
    <xf numFmtId="0" fontId="21" fillId="0" borderId="77" xfId="0" applyFont="1" applyFill="1" applyBorder="1" applyAlignment="1" applyProtection="1">
      <alignment horizontal="left" vertical="center" wrapText="1"/>
      <protection locked="0"/>
    </xf>
    <xf numFmtId="0" fontId="21" fillId="0" borderId="78" xfId="0" applyFont="1" applyFill="1" applyBorder="1" applyAlignment="1" applyProtection="1">
      <alignment horizontal="left" vertical="center" wrapText="1"/>
      <protection locked="0"/>
    </xf>
    <xf numFmtId="165" fontId="21" fillId="0" borderId="79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65" xfId="0" applyFont="1" applyFill="1" applyBorder="1" applyAlignment="1" applyProtection="1">
      <alignment horizontal="right" vertical="center" wrapText="1"/>
      <protection locked="0"/>
    </xf>
    <xf numFmtId="0" fontId="21" fillId="0" borderId="35" xfId="0" applyFont="1" applyFill="1" applyBorder="1" applyAlignment="1" applyProtection="1">
      <alignment horizontal="right" vertical="center" wrapText="1"/>
      <protection locked="0"/>
    </xf>
    <xf numFmtId="0" fontId="77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80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2" xfId="7" applyNumberFormat="1" applyFont="1" applyFill="1" applyBorder="1" applyAlignment="1" applyProtection="1">
      <alignment horizontal="left" vertical="center"/>
      <protection locked="0"/>
    </xf>
    <xf numFmtId="165" fontId="29" fillId="0" borderId="22" xfId="7" applyNumberFormat="1" applyFont="1" applyFill="1" applyBorder="1" applyAlignment="1" applyProtection="1">
      <alignment horizontal="left"/>
    </xf>
    <xf numFmtId="165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52" xfId="0" applyNumberFormat="1" applyFont="1" applyFill="1" applyBorder="1" applyAlignment="1" applyProtection="1">
      <alignment horizontal="center" vertical="center" wrapText="1"/>
    </xf>
    <xf numFmtId="165" fontId="40" fillId="0" borderId="0" xfId="0" applyNumberFormat="1" applyFont="1" applyFill="1" applyAlignment="1" applyProtection="1">
      <alignment horizontal="center" textRotation="180" wrapText="1"/>
      <protection locked="0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7" fillId="0" borderId="0" xfId="6" applyFont="1" applyAlignment="1">
      <alignment horizontal="center" textRotation="180"/>
    </xf>
    <xf numFmtId="165" fontId="5" fillId="0" borderId="22" xfId="6" applyNumberFormat="1" applyFont="1" applyBorder="1" applyAlignment="1" applyProtection="1">
      <alignment horizontal="right" vertical="center"/>
      <protection locked="0"/>
    </xf>
    <xf numFmtId="165" fontId="7" fillId="0" borderId="63" xfId="6" applyNumberFormat="1" applyFont="1" applyBorder="1" applyAlignment="1">
      <alignment horizontal="center" vertical="center"/>
    </xf>
    <xf numFmtId="165" fontId="7" fillId="0" borderId="33" xfId="6" applyNumberFormat="1" applyFont="1" applyBorder="1" applyAlignment="1">
      <alignment horizontal="center" vertical="center"/>
    </xf>
    <xf numFmtId="165" fontId="7" fillId="0" borderId="73" xfId="6" applyNumberFormat="1" applyFont="1" applyBorder="1" applyAlignment="1">
      <alignment horizontal="center" vertical="center"/>
    </xf>
    <xf numFmtId="165" fontId="25" fillId="0" borderId="63" xfId="6" applyNumberFormat="1" applyFont="1" applyBorder="1" applyAlignment="1">
      <alignment horizontal="center" vertical="center" wrapText="1"/>
    </xf>
    <xf numFmtId="165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5" fontId="4" fillId="0" borderId="64" xfId="6" applyNumberFormat="1" applyFont="1" applyBorder="1" applyAlignment="1">
      <alignment horizontal="center" vertical="center" wrapText="1"/>
    </xf>
    <xf numFmtId="165" fontId="4" fillId="0" borderId="35" xfId="6" applyNumberFormat="1" applyFont="1" applyBorder="1" applyAlignment="1">
      <alignment horizontal="center" vertical="center"/>
    </xf>
    <xf numFmtId="0" fontId="79" fillId="0" borderId="74" xfId="0" applyFont="1" applyBorder="1" applyAlignment="1">
      <alignment horizontal="center" vertical="center"/>
    </xf>
    <xf numFmtId="165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5" fontId="7" fillId="0" borderId="64" xfId="6" applyNumberFormat="1" applyFont="1" applyBorder="1" applyAlignment="1">
      <alignment horizontal="center" vertical="center" wrapText="1"/>
    </xf>
    <xf numFmtId="0" fontId="80" fillId="0" borderId="74" xfId="0" applyFont="1" applyBorder="1" applyAlignment="1">
      <alignment horizontal="center" vertical="center" wrapText="1"/>
    </xf>
    <xf numFmtId="165" fontId="16" fillId="0" borderId="50" xfId="6" applyNumberFormat="1" applyFont="1" applyBorder="1" applyAlignment="1" applyProtection="1">
      <alignment horizontal="center" vertical="center" wrapText="1"/>
    </xf>
    <xf numFmtId="165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5" fontId="28" fillId="0" borderId="0" xfId="6" applyNumberFormat="1" applyFont="1" applyAlignment="1" applyProtection="1">
      <alignment horizontal="left" vertical="center" wrapText="1"/>
      <protection locked="0"/>
    </xf>
    <xf numFmtId="165" fontId="14" fillId="0" borderId="0" xfId="6" applyNumberFormat="1" applyAlignment="1" applyProtection="1">
      <alignment horizontal="left" vertical="center" wrapText="1"/>
      <protection locked="0"/>
    </xf>
    <xf numFmtId="165" fontId="0" fillId="0" borderId="0" xfId="6" applyNumberFormat="1" applyFont="1" applyAlignment="1" applyProtection="1">
      <alignment horizontal="left" vertical="center" wrapText="1"/>
      <protection locked="0"/>
    </xf>
    <xf numFmtId="168" fontId="38" fillId="0" borderId="52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8" fontId="6" fillId="0" borderId="0" xfId="6" applyNumberFormat="1" applyFont="1" applyAlignment="1" applyProtection="1">
      <alignment horizontal="center" vertical="center" wrapText="1"/>
      <protection locked="0"/>
    </xf>
    <xf numFmtId="165" fontId="5" fillId="0" borderId="22" xfId="6" applyNumberFormat="1" applyFont="1" applyBorder="1" applyAlignment="1">
      <alignment horizontal="right" vertical="center"/>
    </xf>
    <xf numFmtId="165" fontId="26" fillId="0" borderId="50" xfId="6" applyNumberFormat="1" applyFont="1" applyBorder="1" applyAlignment="1">
      <alignment horizontal="center" vertical="center" wrapText="1"/>
    </xf>
    <xf numFmtId="165" fontId="26" fillId="0" borderId="47" xfId="6" applyNumberFormat="1" applyFont="1" applyBorder="1" applyAlignment="1">
      <alignment horizontal="center" vertical="center" wrapText="1"/>
    </xf>
    <xf numFmtId="165" fontId="26" fillId="0" borderId="25" xfId="6" applyNumberFormat="1" applyFont="1" applyBorder="1" applyAlignment="1">
      <alignment horizontal="center" vertical="center" wrapText="1"/>
    </xf>
    <xf numFmtId="165" fontId="14" fillId="0" borderId="75" xfId="6" applyNumberFormat="1" applyBorder="1" applyAlignment="1" applyProtection="1">
      <alignment horizontal="left" vertical="center" wrapText="1"/>
      <protection locked="0"/>
    </xf>
    <xf numFmtId="165" fontId="14" fillId="0" borderId="54" xfId="6" applyNumberFormat="1" applyBorder="1" applyAlignment="1" applyProtection="1">
      <alignment horizontal="left" vertical="center" wrapText="1"/>
      <protection locked="0"/>
    </xf>
    <xf numFmtId="165" fontId="14" fillId="0" borderId="39" xfId="6" applyNumberFormat="1" applyBorder="1" applyAlignment="1" applyProtection="1">
      <alignment horizontal="left" vertical="center" wrapText="1"/>
      <protection locked="0"/>
    </xf>
    <xf numFmtId="165" fontId="14" fillId="0" borderId="81" xfId="6" applyNumberFormat="1" applyBorder="1" applyAlignment="1" applyProtection="1">
      <alignment horizontal="left" vertical="center" wrapText="1"/>
      <protection locked="0"/>
    </xf>
    <xf numFmtId="165" fontId="14" fillId="0" borderId="82" xfId="6" applyNumberFormat="1" applyBorder="1" applyAlignment="1" applyProtection="1">
      <alignment horizontal="left" vertical="center" wrapText="1"/>
      <protection locked="0"/>
    </xf>
    <xf numFmtId="165" fontId="14" fillId="0" borderId="40" xfId="6" applyNumberFormat="1" applyBorder="1" applyAlignment="1" applyProtection="1">
      <alignment horizontal="left" vertical="center" wrapText="1"/>
      <protection locked="0"/>
    </xf>
    <xf numFmtId="165" fontId="26" fillId="0" borderId="50" xfId="6" applyNumberFormat="1" applyFont="1" applyBorder="1" applyAlignment="1">
      <alignment horizontal="left" vertical="center" wrapText="1"/>
    </xf>
    <xf numFmtId="165" fontId="26" fillId="0" borderId="47" xfId="6" applyNumberFormat="1" applyFont="1" applyBorder="1" applyAlignment="1">
      <alignment horizontal="left" vertical="center" wrapText="1"/>
    </xf>
    <xf numFmtId="165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5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5" fontId="25" fillId="0" borderId="4" xfId="7" applyNumberFormat="1" applyFont="1" applyFill="1" applyBorder="1" applyAlignment="1" applyProtection="1">
      <alignment horizontal="center" vertical="center"/>
      <protection locked="0"/>
    </xf>
    <xf numFmtId="165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5" fontId="25" fillId="0" borderId="4" xfId="7" applyNumberFormat="1" applyFont="1" applyFill="1" applyBorder="1" applyAlignment="1" applyProtection="1">
      <alignment horizontal="center" vertical="center"/>
    </xf>
    <xf numFmtId="165" fontId="25" fillId="0" borderId="36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23" xfId="0" applyNumberFormat="1" applyFont="1" applyFill="1" applyBorder="1" applyAlignment="1" applyProtection="1">
      <alignment horizontal="center" vertical="center"/>
    </xf>
    <xf numFmtId="165" fontId="7" fillId="0" borderId="23" xfId="0" applyNumberFormat="1" applyFont="1" applyFill="1" applyBorder="1" applyAlignment="1" applyProtection="1">
      <alignment horizontal="center" vertical="center" wrapText="1"/>
    </xf>
    <xf numFmtId="165" fontId="7" fillId="0" borderId="64" xfId="0" applyNumberFormat="1" applyFont="1" applyFill="1" applyBorder="1" applyAlignment="1" applyProtection="1">
      <alignment horizontal="center" vertical="center" wrapText="1"/>
    </xf>
    <xf numFmtId="165" fontId="7" fillId="0" borderId="74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 applyProtection="1">
      <alignment horizontal="center" textRotation="180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64" xfId="0" applyNumberFormat="1" applyFont="1" applyFill="1" applyBorder="1" applyAlignment="1" applyProtection="1">
      <alignment horizontal="center" vertical="center"/>
      <protection locked="0"/>
    </xf>
    <xf numFmtId="165" fontId="7" fillId="0" borderId="74" xfId="0" applyNumberFormat="1" applyFont="1" applyFill="1" applyBorder="1" applyAlignment="1" applyProtection="1">
      <alignment horizontal="center" vertical="center"/>
      <protection locked="0"/>
    </xf>
    <xf numFmtId="165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80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Normál_VAGYONK" xfId="8" xr:uid="{00000000-0005-0000-0000-000008000000}"/>
    <cellStyle name="Normál_VAGYONKIM" xfId="9" xr:uid="{00000000-0005-0000-0000-000009000000}"/>
    <cellStyle name="Százalék 2" xfId="10" xr:uid="{00000000-0005-0000-0000-00000A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738" name="Csoportba foglalás 11">
          <a:extLst>
            <a:ext uri="{FF2B5EF4-FFF2-40B4-BE49-F238E27FC236}">
              <a16:creationId xmlns:a16="http://schemas.microsoft.com/office/drawing/2014/main" id="{0094D303-D3B3-4BBF-82AA-0604ACE6DE68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206D18C4-03B8-4970-8A85-DD75ECAB01A3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741" name="Kép 3">
            <a:extLst>
              <a:ext uri="{FF2B5EF4-FFF2-40B4-BE49-F238E27FC236}">
                <a16:creationId xmlns:a16="http://schemas.microsoft.com/office/drawing/2014/main" id="{6F8F4946-7B14-4DBD-93D0-31D7F32845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167D25F4-8CAC-4EAE-8799-C13246337702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6FEDF8FD-1081-4A0A-9004-F765430D787C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5">
        <v>2020</v>
      </c>
    </row>
    <row r="2" spans="1:3" ht="18.75" x14ac:dyDescent="0.2">
      <c r="A2" s="780" t="s">
        <v>783</v>
      </c>
      <c r="B2" s="780"/>
      <c r="C2" s="780"/>
    </row>
    <row r="3" spans="1:3" ht="15" x14ac:dyDescent="0.25">
      <c r="A3" s="657"/>
      <c r="B3" s="658"/>
      <c r="C3" s="657"/>
    </row>
    <row r="4" spans="1:3" ht="14.25" x14ac:dyDescent="0.2">
      <c r="A4" s="659" t="s">
        <v>784</v>
      </c>
      <c r="B4" s="660" t="s">
        <v>785</v>
      </c>
      <c r="C4" s="659" t="s">
        <v>786</v>
      </c>
    </row>
    <row r="5" spans="1:3" x14ac:dyDescent="0.2">
      <c r="A5" s="661"/>
      <c r="B5" s="661"/>
      <c r="C5" s="661"/>
    </row>
    <row r="6" spans="1:3" ht="18.75" x14ac:dyDescent="0.3">
      <c r="A6" s="781" t="s">
        <v>818</v>
      </c>
      <c r="B6" s="781"/>
      <c r="C6" s="781"/>
    </row>
    <row r="7" spans="1:3" x14ac:dyDescent="0.2">
      <c r="A7" s="661" t="s">
        <v>787</v>
      </c>
      <c r="B7" s="661" t="s">
        <v>788</v>
      </c>
      <c r="C7" s="662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1" t="s">
        <v>789</v>
      </c>
      <c r="B8" s="661" t="s">
        <v>827</v>
      </c>
      <c r="C8" s="662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1" t="s">
        <v>790</v>
      </c>
      <c r="B9" s="661" t="str">
        <f>CONCATENATE(LOWER('Z_1.1.sz.mell.'!A3))</f>
        <v>2020. évi zárszámadásának pénzügyi mérlege</v>
      </c>
      <c r="C9" s="662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1" t="s">
        <v>791</v>
      </c>
      <c r="B10" s="661" t="str">
        <f>'Z_1.2.sz.mell.'!A3</f>
        <v>2020. ÉVI ZÁRSZÁMADÁS</v>
      </c>
      <c r="C10" s="662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1" t="s">
        <v>792</v>
      </c>
      <c r="B11" s="661" t="str">
        <f>'Z_1.3.sz.mell.'!A3</f>
        <v>2020. ÉVI ZÁRSZÁMADÁS</v>
      </c>
      <c r="C11" s="662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1" t="s">
        <v>793</v>
      </c>
      <c r="B12" s="661" t="str">
        <f>'Z_1.4.sz.mell.'!A3</f>
        <v>2020. ÉVI ZÁRSZÁMADÁS</v>
      </c>
      <c r="C12" s="662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1" t="s">
        <v>510</v>
      </c>
      <c r="B13" s="661" t="s">
        <v>794</v>
      </c>
      <c r="C13" s="662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1" t="s">
        <v>423</v>
      </c>
      <c r="B14" s="661" t="s">
        <v>795</v>
      </c>
      <c r="C14" s="662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1" t="s">
        <v>796</v>
      </c>
      <c r="B15" s="661" t="s">
        <v>797</v>
      </c>
      <c r="C15" s="662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1" t="s">
        <v>798</v>
      </c>
      <c r="B16" s="661" t="s">
        <v>799</v>
      </c>
      <c r="C16" s="662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1" t="s">
        <v>800</v>
      </c>
      <c r="B17" s="661" t="s">
        <v>801</v>
      </c>
      <c r="C17" s="662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1" t="s">
        <v>802</v>
      </c>
      <c r="B18" s="661" t="str">
        <f>'Z_5.sz.mell.'!A9</f>
        <v>Európai uniós támogatással megvalósuló projektek</v>
      </c>
      <c r="C18" s="662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1" t="s">
        <v>525</v>
      </c>
      <c r="B19" s="661" t="s">
        <v>803</v>
      </c>
      <c r="C19" s="662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1" t="s">
        <v>450</v>
      </c>
      <c r="B20" s="661" t="s">
        <v>804</v>
      </c>
      <c r="C20" s="662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1" t="s">
        <v>451</v>
      </c>
      <c r="B21" s="661" t="s">
        <v>322</v>
      </c>
      <c r="C21" s="662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1" t="s">
        <v>805</v>
      </c>
      <c r="B22" s="661" t="s">
        <v>806</v>
      </c>
      <c r="C22" s="662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1" t="s">
        <v>807</v>
      </c>
      <c r="B23" s="661" t="str">
        <f>Z_ALAPADATOK!A11</f>
        <v>Gönci Közös Önkormányzati Hivatal</v>
      </c>
      <c r="C23" s="662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1" t="s">
        <v>808</v>
      </c>
      <c r="B24" t="str">
        <f>Z_ALAPADATOK!B13</f>
        <v>Gönci Barackvirág Napköziotthonos Óvoda</v>
      </c>
      <c r="C24" s="662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1" t="s">
        <v>809</v>
      </c>
      <c r="B25" t="str">
        <f>Z_ALAPADATOK!B15</f>
        <v>Városi Könyvtár</v>
      </c>
      <c r="C25" s="662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1" t="s">
        <v>810</v>
      </c>
      <c r="B26" t="str">
        <f>Z_ALAPADATOK!B17</f>
        <v>3 kvi név</v>
      </c>
      <c r="C26" s="662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1" t="s">
        <v>811</v>
      </c>
      <c r="B27" t="str">
        <f>Z_ALAPADATOK!B19</f>
        <v>4 kvi név</v>
      </c>
      <c r="C27" s="662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1" t="s">
        <v>812</v>
      </c>
      <c r="B28" t="str">
        <f>Z_ALAPADATOK!B21</f>
        <v>5 kvi név</v>
      </c>
      <c r="C28" s="662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1" t="s">
        <v>813</v>
      </c>
      <c r="B29" t="str">
        <f>Z_ALAPADATOK!B23</f>
        <v>6 kvi név</v>
      </c>
      <c r="C29" s="662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1" t="s">
        <v>814</v>
      </c>
      <c r="B30" t="str">
        <f>Z_ALAPADATOK!B25</f>
        <v>7 kvi név</v>
      </c>
      <c r="C30" s="662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1" t="s">
        <v>815</v>
      </c>
      <c r="B31" t="str">
        <f>Z_ALAPADATOK!B27</f>
        <v>8 kvi név</v>
      </c>
      <c r="C31" s="662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1" t="s">
        <v>816</v>
      </c>
      <c r="B32" t="str">
        <f>Z_ALAPADATOK!B29</f>
        <v>9 kvi név</v>
      </c>
      <c r="C32" s="662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1" t="s">
        <v>817</v>
      </c>
      <c r="B33" t="str">
        <f>Z_ALAPADATOK!B31</f>
        <v>10 kvi név</v>
      </c>
      <c r="C33" s="662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1" t="s">
        <v>843</v>
      </c>
      <c r="B34" t="str">
        <f>PROPER('Z_7.sz.mell'!A3)</f>
        <v>Költségvetési Szervek Maradványának Alakulása</v>
      </c>
      <c r="C34" s="662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1" t="s">
        <v>844</v>
      </c>
      <c r="B35" t="str">
        <f>'Z_8.sz.mell'!B1</f>
        <v>2020. évi általános működés és ágazati feladatok támogatásának alakulása jogcímenként</v>
      </c>
      <c r="C35" s="662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1" t="s">
        <v>764</v>
      </c>
      <c r="B36" t="str">
        <f>CONCATENATE(PROPER('Z_1.tájékoztató_t.'!A2)," ",LOWER('Z_1.tájékoztató_t.'!A3))</f>
        <v>Gönc Város Önkormányzata 2020. évi zárszámadásának pénzügyi mérlege</v>
      </c>
      <c r="C36" s="662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1" t="s">
        <v>766</v>
      </c>
      <c r="B37" t="str">
        <f>'Z_2.tájékoztató_t.'!A1</f>
        <v>Többéves kihatással járó döntésekből származó kötzelezettségek célok szerinti, évenkénti bontásban</v>
      </c>
      <c r="C37" s="662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1" t="s">
        <v>767</v>
      </c>
      <c r="B38" t="str">
        <f>'Z_3.tájékoztató_t.'!A1</f>
        <v>Az önkormányzat által nyújtott hitel és kölcsön alakulása lejárat és eszközök szerinti bontásban</v>
      </c>
      <c r="C38" s="662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1" t="s">
        <v>768</v>
      </c>
      <c r="B39" t="str">
        <f>'Z_4.tájékoztató_t.'!A1</f>
        <v>Adósság állomány alakulása lejárat, eszközök, bel- és külföldi hitelezők szerinti bontásban
2020. december 31-én</v>
      </c>
      <c r="C39" s="662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1" t="s">
        <v>769</v>
      </c>
      <c r="B40" t="str">
        <f>'Z_5.tájékoztató_t.'!A3</f>
        <v>Az önkormányzat által adott közvetett támogatások</v>
      </c>
      <c r="C40" s="662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1" t="s">
        <v>773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2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1" t="s">
        <v>775</v>
      </c>
      <c r="B42" t="str">
        <f>CONCATENATE(PROPER('Z_7.1.tájékoztató_t.'!A2)," ",'Z_7.1.tájékoztató_t.'!A3)</f>
        <v>Vagyonkimutatás a könyvviteli mérlegben értékkel szerplő eszközökről</v>
      </c>
      <c r="C42" s="662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1" t="s">
        <v>778</v>
      </c>
      <c r="B43" t="str">
        <f>CONCATENATE(PROPER('Z_7.2.tájékoztató_t.'!A3)," ",'Z_7.2.tájékoztató_t.'!A4)</f>
        <v>Vagyonkimutatás a könyvviteli mérlegben értékkel szereplő forrásokról</v>
      </c>
      <c r="C43" s="662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1" t="s">
        <v>779</v>
      </c>
      <c r="B44" t="str">
        <f>CONCATENATE(PROPER('Z_7.3.tájékoztató_t.'!A3)," ",'Z_7.3.tájékoztató_t.'!A4)</f>
        <v>Vagyonkimutatás az érték nélkül nyilvántartott eszkzözkről</v>
      </c>
      <c r="C44" s="662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1" t="s">
        <v>781</v>
      </c>
      <c r="B45" t="str">
        <f>CONCATENATE('Z_8.tájékoztató_t.'!A2,'Z_8.tájékoztató_t.'!A3)</f>
        <v>Gönc Város Önkormányzata tulajdonában álló gazdálkodó szervezetek működéséből származókötelezettségek és részesedések alakulása 2020. évben</v>
      </c>
      <c r="C45" s="662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1" t="s">
        <v>782</v>
      </c>
      <c r="B46" t="s">
        <v>819</v>
      </c>
      <c r="C46" s="662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38"/>
  <sheetViews>
    <sheetView topLeftCell="A10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521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455</v>
      </c>
      <c r="B6" s="283">
        <f>+'Z_1.1.sz.mell.'!C68</f>
        <v>796760000</v>
      </c>
      <c r="C6" s="282" t="s">
        <v>424</v>
      </c>
      <c r="D6" s="284">
        <f>+'Z_2.1.sz.mell'!C18+'Z_2.2.sz.mell'!C17</f>
        <v>796760000</v>
      </c>
      <c r="E6" s="283">
        <f>+B6-D6</f>
        <v>0</v>
      </c>
    </row>
    <row r="7" spans="1:5" x14ac:dyDescent="0.2">
      <c r="A7" s="282" t="s">
        <v>471</v>
      </c>
      <c r="B7" s="283">
        <f>+'Z_1.1.sz.mell.'!C92</f>
        <v>913076000</v>
      </c>
      <c r="C7" s="282" t="s">
        <v>430</v>
      </c>
      <c r="D7" s="284">
        <f>+'Z_2.1.sz.mell'!C29+'Z_2.2.sz.mell'!C30</f>
        <v>913076000</v>
      </c>
      <c r="E7" s="283">
        <f>+B7-D7</f>
        <v>0</v>
      </c>
    </row>
    <row r="8" spans="1:5" x14ac:dyDescent="0.2">
      <c r="A8" s="282" t="s">
        <v>472</v>
      </c>
      <c r="B8" s="283">
        <f>+'Z_1.1.sz.mell.'!C93</f>
        <v>1709836000</v>
      </c>
      <c r="C8" s="282" t="s">
        <v>431</v>
      </c>
      <c r="D8" s="284">
        <f>+'Z_2.1.sz.mell'!C30+'Z_2.2.sz.mell'!C31</f>
        <v>1709836000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456</v>
      </c>
      <c r="B12" s="283">
        <f>+'Z_1.1.sz.mell.'!D68</f>
        <v>1107085759</v>
      </c>
      <c r="C12" s="282" t="s">
        <v>425</v>
      </c>
      <c r="D12" s="284">
        <f>+'Z_2.1.sz.mell'!D18+'Z_2.2.sz.mell'!D17</f>
        <v>1107085759</v>
      </c>
      <c r="E12" s="283">
        <f>+B12-D12</f>
        <v>0</v>
      </c>
    </row>
    <row r="13" spans="1:5" x14ac:dyDescent="0.2">
      <c r="A13" s="282" t="s">
        <v>457</v>
      </c>
      <c r="B13" s="283">
        <f>+'Z_1.1.sz.mell.'!D92</f>
        <v>966125877</v>
      </c>
      <c r="C13" s="282" t="s">
        <v>432</v>
      </c>
      <c r="D13" s="284">
        <f>+'Z_2.1.sz.mell'!D29+'Z_2.2.sz.mell'!D30</f>
        <v>966125877</v>
      </c>
      <c r="E13" s="283">
        <f>+B13-D13</f>
        <v>0</v>
      </c>
    </row>
    <row r="14" spans="1:5" x14ac:dyDescent="0.2">
      <c r="A14" s="282" t="s">
        <v>458</v>
      </c>
      <c r="B14" s="283">
        <f>+'Z_1.1.sz.mell.'!D93</f>
        <v>2073211636</v>
      </c>
      <c r="C14" s="282" t="s">
        <v>433</v>
      </c>
      <c r="D14" s="284">
        <f>+'Z_2.1.sz.mell'!D30+'Z_2.2.sz.mell'!D31</f>
        <v>2073211636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459</v>
      </c>
      <c r="B18" s="283">
        <f>+'Z_1.1.sz.mell.'!E68</f>
        <v>851405780</v>
      </c>
      <c r="C18" s="282" t="s">
        <v>426</v>
      </c>
      <c r="D18" s="284">
        <f>+'Z_2.1.sz.mell'!E18+'Z_2.2.sz.mell'!E17</f>
        <v>851405780</v>
      </c>
      <c r="E18" s="283">
        <f>+B18-D18</f>
        <v>0</v>
      </c>
    </row>
    <row r="19" spans="1:5" x14ac:dyDescent="0.2">
      <c r="A19" s="282" t="s">
        <v>460</v>
      </c>
      <c r="B19" s="283">
        <f>+'Z_1.1.sz.mell.'!E92</f>
        <v>1026594024</v>
      </c>
      <c r="C19" s="282" t="s">
        <v>434</v>
      </c>
      <c r="D19" s="284">
        <f>+'Z_2.1.sz.mell'!E29+'Z_2.2.sz.mell'!E30</f>
        <v>1026594024</v>
      </c>
      <c r="E19" s="283">
        <f>+B19-D19</f>
        <v>0</v>
      </c>
    </row>
    <row r="20" spans="1:5" x14ac:dyDescent="0.2">
      <c r="A20" s="282" t="s">
        <v>461</v>
      </c>
      <c r="B20" s="283">
        <f>+'Z_1.1.sz.mell.'!E93</f>
        <v>1877999804</v>
      </c>
      <c r="C20" s="282" t="s">
        <v>435</v>
      </c>
      <c r="D20" s="284">
        <f>+'Z_2.1.sz.mell'!E30+'Z_2.2.sz.mell'!E31</f>
        <v>1877999804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473</v>
      </c>
      <c r="B24" s="283">
        <f>+'Z_1.1.sz.mell.'!C135</f>
        <v>1709836000</v>
      </c>
      <c r="C24" s="282" t="s">
        <v>427</v>
      </c>
      <c r="D24" s="284">
        <f>+'Z_2.1.sz.mell'!G18+'Z_2.2.sz.mell'!G17</f>
        <v>1709836000</v>
      </c>
      <c r="E24" s="283">
        <f>+B24-D24</f>
        <v>0</v>
      </c>
    </row>
    <row r="25" spans="1:5" x14ac:dyDescent="0.2">
      <c r="A25" s="282" t="s">
        <v>463</v>
      </c>
      <c r="B25" s="283">
        <f>+'Z_1.1.sz.mell.'!C160</f>
        <v>0</v>
      </c>
      <c r="C25" s="282" t="s">
        <v>436</v>
      </c>
      <c r="D25" s="284">
        <f>+'Z_2.1.sz.mell'!G29+'Z_2.2.sz.mell'!G30</f>
        <v>0</v>
      </c>
      <c r="E25" s="283">
        <f>+B25-D25</f>
        <v>0</v>
      </c>
    </row>
    <row r="26" spans="1:5" x14ac:dyDescent="0.2">
      <c r="A26" s="282" t="s">
        <v>464</v>
      </c>
      <c r="B26" s="283">
        <f>+'Z_1.1.sz.mell.'!C161</f>
        <v>1709836000</v>
      </c>
      <c r="C26" s="282" t="s">
        <v>437</v>
      </c>
      <c r="D26" s="284">
        <f>+'Z_2.1.sz.mell'!G30+'Z_2.2.sz.mell'!G31</f>
        <v>1709836000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465</v>
      </c>
      <c r="B30" s="283">
        <f>+'Z_1.1.sz.mell.'!D135</f>
        <v>2058874273</v>
      </c>
      <c r="C30" s="282" t="s">
        <v>428</v>
      </c>
      <c r="D30" s="284">
        <f>+'Z_2.1.sz.mell'!H18+'Z_2.2.sz.mell'!H17</f>
        <v>2058874273</v>
      </c>
      <c r="E30" s="283">
        <f>+B30-D30</f>
        <v>0</v>
      </c>
    </row>
    <row r="31" spans="1:5" x14ac:dyDescent="0.2">
      <c r="A31" s="282" t="s">
        <v>466</v>
      </c>
      <c r="B31" s="283">
        <f>+'Z_1.1.sz.mell.'!D160</f>
        <v>14337363</v>
      </c>
      <c r="C31" s="282" t="s">
        <v>438</v>
      </c>
      <c r="D31" s="284">
        <f>+'Z_2.1.sz.mell'!H29+'Z_2.2.sz.mell'!H30</f>
        <v>14337363</v>
      </c>
      <c r="E31" s="283">
        <f>+B31-D31</f>
        <v>0</v>
      </c>
    </row>
    <row r="32" spans="1:5" x14ac:dyDescent="0.2">
      <c r="A32" s="282" t="s">
        <v>467</v>
      </c>
      <c r="B32" s="283">
        <f>+'Z_1.1.sz.mell.'!D161</f>
        <v>2073211636</v>
      </c>
      <c r="C32" s="282" t="s">
        <v>439</v>
      </c>
      <c r="D32" s="284">
        <f>+'Z_2.1.sz.mell'!H30+'Z_2.2.sz.mell'!H31</f>
        <v>2073211636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468</v>
      </c>
      <c r="B36" s="283">
        <f>+'Z_1.1.sz.mell.'!E135</f>
        <v>1487231157</v>
      </c>
      <c r="C36" s="282" t="s">
        <v>429</v>
      </c>
      <c r="D36" s="284">
        <f>+'Z_2.1.sz.mell'!I18+'Z_2.2.sz.mell'!I17</f>
        <v>1487231157</v>
      </c>
      <c r="E36" s="283">
        <f>+B36-D36</f>
        <v>0</v>
      </c>
    </row>
    <row r="37" spans="1:5" x14ac:dyDescent="0.2">
      <c r="A37" s="282" t="s">
        <v>469</v>
      </c>
      <c r="B37" s="283">
        <f>+'Z_1.1.sz.mell.'!E160</f>
        <v>14337363</v>
      </c>
      <c r="C37" s="282" t="s">
        <v>440</v>
      </c>
      <c r="D37" s="284">
        <f>+'Z_2.1.sz.mell'!I29+'Z_2.2.sz.mell'!I30</f>
        <v>14337363</v>
      </c>
      <c r="E37" s="283">
        <f>+B37-D37</f>
        <v>0</v>
      </c>
    </row>
    <row r="38" spans="1:5" x14ac:dyDescent="0.2">
      <c r="A38" s="282" t="s">
        <v>474</v>
      </c>
      <c r="B38" s="283">
        <f>+'Z_1.1.sz.mell.'!E161</f>
        <v>1501568520</v>
      </c>
      <c r="C38" s="282" t="s">
        <v>441</v>
      </c>
      <c r="D38" s="284">
        <f>+'Z_2.1.sz.mell'!I30+'Z_2.2.sz.mell'!I31</f>
        <v>1501568520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25"/>
  <sheetViews>
    <sheetView zoomScale="120" zoomScaleNormal="120" workbookViewId="0">
      <selection activeCell="B1" sqref="B1:G1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11" t="s">
        <v>973</v>
      </c>
      <c r="C1" s="812"/>
      <c r="D1" s="812"/>
      <c r="E1" s="812"/>
      <c r="F1" s="812"/>
      <c r="G1" s="812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10" t="s">
        <v>522</v>
      </c>
      <c r="B3" s="810"/>
      <c r="C3" s="810"/>
      <c r="D3" s="810"/>
      <c r="E3" s="810"/>
      <c r="F3" s="810"/>
      <c r="G3" s="810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384</v>
      </c>
      <c r="B6" s="349" t="s">
        <v>385</v>
      </c>
      <c r="C6" s="349" t="s">
        <v>386</v>
      </c>
      <c r="D6" s="349" t="s">
        <v>388</v>
      </c>
      <c r="E6" s="349" t="s">
        <v>387</v>
      </c>
      <c r="F6" s="349" t="s">
        <v>389</v>
      </c>
      <c r="G6" s="350" t="s">
        <v>442</v>
      </c>
    </row>
    <row r="7" spans="1:7" ht="15.95" customHeight="1" x14ac:dyDescent="0.2">
      <c r="A7" s="227" t="s">
        <v>914</v>
      </c>
      <c r="B7" s="21">
        <v>4128000</v>
      </c>
      <c r="C7" s="229" t="s">
        <v>921</v>
      </c>
      <c r="D7" s="21"/>
      <c r="E7" s="21">
        <v>4128000</v>
      </c>
      <c r="F7" s="21">
        <v>4127839</v>
      </c>
      <c r="G7" s="34">
        <f>D7+F7</f>
        <v>4127839</v>
      </c>
    </row>
    <row r="8" spans="1:7" ht="15.95" customHeight="1" x14ac:dyDescent="0.2">
      <c r="A8" s="227" t="s">
        <v>915</v>
      </c>
      <c r="B8" s="21">
        <v>889000</v>
      </c>
      <c r="C8" s="229" t="s">
        <v>921</v>
      </c>
      <c r="D8" s="21"/>
      <c r="E8" s="21">
        <v>889000</v>
      </c>
      <c r="F8" s="21"/>
      <c r="G8" s="34">
        <f t="shared" ref="G8:G24" si="0">D8+F8</f>
        <v>0</v>
      </c>
    </row>
    <row r="9" spans="1:7" ht="15.95" customHeight="1" x14ac:dyDescent="0.2">
      <c r="A9" s="227" t="s">
        <v>916</v>
      </c>
      <c r="B9" s="21">
        <v>101048000</v>
      </c>
      <c r="C9" s="229" t="s">
        <v>922</v>
      </c>
      <c r="D9" s="21"/>
      <c r="E9" s="21">
        <v>101048000</v>
      </c>
      <c r="F9" s="21"/>
      <c r="G9" s="34">
        <f t="shared" si="0"/>
        <v>0</v>
      </c>
    </row>
    <row r="10" spans="1:7" ht="15.95" customHeight="1" x14ac:dyDescent="0.2">
      <c r="A10" s="228" t="s">
        <v>917</v>
      </c>
      <c r="B10" s="21">
        <v>261935000</v>
      </c>
      <c r="C10" s="229" t="s">
        <v>922</v>
      </c>
      <c r="D10" s="21"/>
      <c r="E10" s="21">
        <v>261935000</v>
      </c>
      <c r="F10" s="21">
        <v>100134615</v>
      </c>
      <c r="G10" s="34">
        <v>100134615</v>
      </c>
    </row>
    <row r="11" spans="1:7" ht="15.95" customHeight="1" x14ac:dyDescent="0.2">
      <c r="A11" s="227" t="s">
        <v>918</v>
      </c>
      <c r="B11" s="21">
        <v>20025000</v>
      </c>
      <c r="C11" s="229" t="s">
        <v>922</v>
      </c>
      <c r="D11" s="21"/>
      <c r="E11" s="21">
        <v>20025000</v>
      </c>
      <c r="F11" s="21">
        <v>22858400</v>
      </c>
      <c r="G11" s="34">
        <f t="shared" si="0"/>
        <v>22858400</v>
      </c>
    </row>
    <row r="12" spans="1:7" ht="15.95" customHeight="1" x14ac:dyDescent="0.2">
      <c r="A12" s="228" t="s">
        <v>919</v>
      </c>
      <c r="B12" s="21">
        <v>402167000</v>
      </c>
      <c r="C12" s="229" t="s">
        <v>922</v>
      </c>
      <c r="D12" s="21"/>
      <c r="E12" s="21">
        <v>388840816</v>
      </c>
      <c r="F12" s="21">
        <v>351232419</v>
      </c>
      <c r="G12" s="34">
        <f t="shared" si="0"/>
        <v>351232419</v>
      </c>
    </row>
    <row r="13" spans="1:7" ht="15.95" customHeight="1" x14ac:dyDescent="0.2">
      <c r="A13" s="227" t="s">
        <v>920</v>
      </c>
      <c r="B13" s="21">
        <v>94743000</v>
      </c>
      <c r="C13" s="229" t="s">
        <v>922</v>
      </c>
      <c r="D13" s="21"/>
      <c r="E13" s="21">
        <v>94743000</v>
      </c>
      <c r="F13" s="21">
        <v>7692400</v>
      </c>
      <c r="G13" s="34">
        <f t="shared" si="0"/>
        <v>7692400</v>
      </c>
    </row>
    <row r="14" spans="1:7" ht="15.95" customHeight="1" x14ac:dyDescent="0.2">
      <c r="A14" s="227" t="s">
        <v>932</v>
      </c>
      <c r="B14" s="21">
        <v>3000000</v>
      </c>
      <c r="C14" s="229" t="s">
        <v>921</v>
      </c>
      <c r="D14" s="21"/>
      <c r="E14" s="21"/>
      <c r="F14" s="21">
        <v>3000000</v>
      </c>
      <c r="G14" s="34">
        <f t="shared" si="0"/>
        <v>3000000</v>
      </c>
    </row>
    <row r="15" spans="1:7" ht="15.95" customHeight="1" x14ac:dyDescent="0.2">
      <c r="A15" s="227" t="s">
        <v>933</v>
      </c>
      <c r="B15" s="21">
        <v>16714401</v>
      </c>
      <c r="C15" s="229"/>
      <c r="D15" s="21"/>
      <c r="E15" s="21"/>
      <c r="F15" s="21">
        <v>16714401</v>
      </c>
      <c r="G15" s="34">
        <f t="shared" si="0"/>
        <v>16714401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904649401</v>
      </c>
      <c r="C25" s="56"/>
      <c r="D25" s="37">
        <f>SUM(D7:D24)</f>
        <v>0</v>
      </c>
      <c r="E25" s="37">
        <v>871608816</v>
      </c>
      <c r="F25" s="37">
        <f>SUM(F7:F24)</f>
        <v>505760074</v>
      </c>
      <c r="G25" s="38">
        <f>SUM(G7:G24)</f>
        <v>505760074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26"/>
  <sheetViews>
    <sheetView topLeftCell="B1" zoomScale="120" zoomScaleNormal="120" workbookViewId="0">
      <selection activeCell="B1" sqref="B1:G1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8" ht="15" x14ac:dyDescent="0.2">
      <c r="A1" s="344"/>
      <c r="B1" s="811" t="s">
        <v>941</v>
      </c>
      <c r="C1" s="811"/>
      <c r="D1" s="811"/>
      <c r="E1" s="811"/>
      <c r="F1" s="811"/>
      <c r="G1" s="811"/>
    </row>
    <row r="2" spans="1:8" x14ac:dyDescent="0.2">
      <c r="A2" s="344"/>
      <c r="B2" s="345"/>
      <c r="C2" s="345"/>
      <c r="D2" s="345"/>
      <c r="E2" s="345"/>
      <c r="F2" s="345"/>
      <c r="G2" s="345"/>
    </row>
    <row r="3" spans="1:8" ht="24.75" customHeight="1" x14ac:dyDescent="0.2">
      <c r="A3" s="810" t="s">
        <v>523</v>
      </c>
      <c r="B3" s="810"/>
      <c r="C3" s="810"/>
      <c r="D3" s="810"/>
      <c r="E3" s="810"/>
      <c r="F3" s="810"/>
      <c r="G3" s="810"/>
    </row>
    <row r="4" spans="1:8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8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8" s="33" customFormat="1" ht="15.2" customHeight="1" thickBot="1" x14ac:dyDescent="0.25">
      <c r="A6" s="348" t="s">
        <v>384</v>
      </c>
      <c r="B6" s="349" t="s">
        <v>385</v>
      </c>
      <c r="C6" s="349" t="s">
        <v>386</v>
      </c>
      <c r="D6" s="349" t="s">
        <v>388</v>
      </c>
      <c r="E6" s="349" t="s">
        <v>387</v>
      </c>
      <c r="F6" s="349" t="s">
        <v>389</v>
      </c>
      <c r="G6" s="350" t="s">
        <v>442</v>
      </c>
    </row>
    <row r="7" spans="1:8" ht="15.95" customHeight="1" x14ac:dyDescent="0.2">
      <c r="A7" s="40" t="s">
        <v>923</v>
      </c>
      <c r="B7" s="41">
        <v>2540000</v>
      </c>
      <c r="C7" s="231" t="s">
        <v>921</v>
      </c>
      <c r="D7" s="41"/>
      <c r="E7" s="41">
        <v>2540000</v>
      </c>
      <c r="F7" s="41"/>
      <c r="G7" s="42">
        <f>D7+F7</f>
        <v>0</v>
      </c>
    </row>
    <row r="8" spans="1:8" ht="15.95" customHeight="1" x14ac:dyDescent="0.2">
      <c r="A8" s="40" t="s">
        <v>924</v>
      </c>
      <c r="B8" s="41">
        <v>2510000</v>
      </c>
      <c r="C8" s="231" t="s">
        <v>921</v>
      </c>
      <c r="D8" s="41"/>
      <c r="E8" s="41">
        <v>2510000</v>
      </c>
      <c r="F8" s="41">
        <v>1300000</v>
      </c>
      <c r="G8" s="42">
        <f t="shared" ref="G8:G25" si="0">D8+F8</f>
        <v>1300000</v>
      </c>
    </row>
    <row r="9" spans="1:8" ht="15.95" customHeight="1" x14ac:dyDescent="0.2">
      <c r="A9" s="40" t="s">
        <v>925</v>
      </c>
      <c r="B9" s="41">
        <v>129056000</v>
      </c>
      <c r="C9" s="231" t="s">
        <v>922</v>
      </c>
      <c r="D9" s="41"/>
      <c r="E9" s="41">
        <v>129056000</v>
      </c>
      <c r="F9" s="41">
        <v>118132728</v>
      </c>
      <c r="G9" s="42">
        <v>63906749</v>
      </c>
      <c r="H9" s="27">
        <v>6390674</v>
      </c>
    </row>
    <row r="10" spans="1:8" ht="15.95" customHeight="1" x14ac:dyDescent="0.2">
      <c r="A10" s="40" t="s">
        <v>934</v>
      </c>
      <c r="B10" s="41">
        <v>51337760</v>
      </c>
      <c r="C10" s="231" t="s">
        <v>922</v>
      </c>
      <c r="D10" s="41"/>
      <c r="E10" s="41"/>
      <c r="F10" s="41">
        <v>51337760</v>
      </c>
      <c r="G10" s="42">
        <f t="shared" si="0"/>
        <v>51337760</v>
      </c>
    </row>
    <row r="11" spans="1:8" ht="15.95" customHeight="1" x14ac:dyDescent="0.2">
      <c r="A11" s="40" t="s">
        <v>935</v>
      </c>
      <c r="B11" s="41">
        <v>8504072</v>
      </c>
      <c r="C11" s="231" t="s">
        <v>921</v>
      </c>
      <c r="D11" s="41"/>
      <c r="E11" s="41"/>
      <c r="F11" s="41">
        <v>8504072</v>
      </c>
      <c r="G11" s="42">
        <f t="shared" si="0"/>
        <v>8504072</v>
      </c>
    </row>
    <row r="12" spans="1:8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8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8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8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8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193947832</v>
      </c>
      <c r="C26" s="57"/>
      <c r="D26" s="76">
        <f>SUM(D7:D25)</f>
        <v>0</v>
      </c>
      <c r="E26" s="76"/>
      <c r="F26" s="76">
        <f>SUM(F7:F25)</f>
        <v>179274560</v>
      </c>
      <c r="G26" s="46">
        <f>SUM(G7:G25)</f>
        <v>125048581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231"/>
  <sheetViews>
    <sheetView zoomScale="120" zoomScaleNormal="120" zoomScaleSheetLayoutView="100" workbookViewId="0">
      <selection activeCell="J1" sqref="J1:J33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38"/>
      <c r="B1" s="838"/>
      <c r="C1" s="838"/>
      <c r="D1" s="838"/>
      <c r="E1" s="838"/>
      <c r="F1" s="838"/>
      <c r="G1" s="838"/>
      <c r="H1" s="838"/>
      <c r="I1" s="838"/>
      <c r="J1" s="813" t="s">
        <v>942</v>
      </c>
    </row>
    <row r="2" spans="1:10" ht="15.75" x14ac:dyDescent="0.2">
      <c r="A2" s="841" t="s">
        <v>860</v>
      </c>
      <c r="B2" s="841"/>
      <c r="C2" s="841"/>
      <c r="D2" s="841"/>
      <c r="E2" s="841"/>
      <c r="F2" s="841"/>
      <c r="G2" s="841"/>
      <c r="H2" s="841"/>
      <c r="I2" s="841"/>
      <c r="J2" s="813"/>
    </row>
    <row r="3" spans="1:10" ht="14.25" thickBot="1" x14ac:dyDescent="0.25">
      <c r="A3" s="711"/>
      <c r="B3" s="711"/>
      <c r="C3" s="711"/>
      <c r="D3" s="711"/>
      <c r="E3" s="711"/>
      <c r="F3" s="711"/>
      <c r="G3" s="711"/>
      <c r="H3" s="842" t="str">
        <f>H13</f>
        <v>Forintban!</v>
      </c>
      <c r="I3" s="842"/>
      <c r="J3" s="813"/>
    </row>
    <row r="4" spans="1:10" ht="42.75" thickBot="1" x14ac:dyDescent="0.25">
      <c r="A4" s="843" t="s">
        <v>89</v>
      </c>
      <c r="B4" s="844"/>
      <c r="C4" s="844"/>
      <c r="D4" s="844"/>
      <c r="E4" s="844"/>
      <c r="F4" s="845"/>
      <c r="G4" s="712" t="s">
        <v>447</v>
      </c>
      <c r="H4" s="712" t="s">
        <v>446</v>
      </c>
      <c r="I4" s="712" t="str">
        <f>CONCATENATE("Összes teljesítés ",Z_TARTALOMJEGYZÉK!A1,". XII.31 -ig")</f>
        <v>Összes teljesítés 2020. XII.31 -ig</v>
      </c>
      <c r="J4" s="813"/>
    </row>
    <row r="5" spans="1:10" x14ac:dyDescent="0.2">
      <c r="A5" s="846"/>
      <c r="B5" s="847"/>
      <c r="C5" s="847"/>
      <c r="D5" s="847"/>
      <c r="E5" s="847"/>
      <c r="F5" s="848"/>
      <c r="G5" s="713"/>
      <c r="H5" s="714"/>
      <c r="I5" s="714"/>
      <c r="J5" s="813"/>
    </row>
    <row r="6" spans="1:10" ht="13.5" thickBot="1" x14ac:dyDescent="0.25">
      <c r="A6" s="849"/>
      <c r="B6" s="850"/>
      <c r="C6" s="850"/>
      <c r="D6" s="850"/>
      <c r="E6" s="850"/>
      <c r="F6" s="851"/>
      <c r="G6" s="715"/>
      <c r="H6" s="716"/>
      <c r="I6" s="716"/>
      <c r="J6" s="813"/>
    </row>
    <row r="7" spans="1:10" ht="13.5" thickBot="1" x14ac:dyDescent="0.25">
      <c r="A7" s="852" t="s">
        <v>511</v>
      </c>
      <c r="B7" s="853"/>
      <c r="C7" s="853"/>
      <c r="D7" s="853"/>
      <c r="E7" s="853"/>
      <c r="F7" s="854"/>
      <c r="G7" s="717">
        <f>SUM(G5:G6)</f>
        <v>0</v>
      </c>
      <c r="H7" s="717">
        <f>SUM(H5:H6)</f>
        <v>0</v>
      </c>
      <c r="I7" s="717">
        <f>SUM(I5:I6)</f>
        <v>0</v>
      </c>
      <c r="J7" s="813"/>
    </row>
    <row r="8" spans="1:10" x14ac:dyDescent="0.2">
      <c r="A8" s="736"/>
      <c r="B8" s="736"/>
      <c r="C8" s="736"/>
      <c r="D8" s="736"/>
      <c r="E8" s="736"/>
      <c r="F8" s="736"/>
      <c r="G8" s="737"/>
      <c r="H8" s="737"/>
      <c r="I8" s="737"/>
      <c r="J8" s="813"/>
    </row>
    <row r="9" spans="1:10" ht="15.75" x14ac:dyDescent="0.2">
      <c r="A9" s="839" t="s">
        <v>524</v>
      </c>
      <c r="B9" s="839"/>
      <c r="C9" s="839"/>
      <c r="D9" s="839"/>
      <c r="E9" s="839"/>
      <c r="F9" s="839"/>
      <c r="G9" s="839"/>
      <c r="H9" s="839"/>
      <c r="I9" s="839"/>
      <c r="J9" s="813"/>
    </row>
    <row r="10" spans="1:10" ht="15.75" x14ac:dyDescent="0.2">
      <c r="A10" s="840" t="s">
        <v>857</v>
      </c>
      <c r="B10" s="839"/>
      <c r="C10" s="839"/>
      <c r="D10" s="839"/>
      <c r="E10" s="839"/>
      <c r="F10" s="839"/>
      <c r="G10" s="839"/>
      <c r="H10" s="839"/>
      <c r="I10" s="839"/>
      <c r="J10" s="813"/>
    </row>
    <row r="11" spans="1:10" ht="15.75" x14ac:dyDescent="0.2">
      <c r="A11" s="710"/>
      <c r="B11" s="709"/>
      <c r="C11" s="709"/>
      <c r="D11" s="709"/>
      <c r="E11" s="709"/>
      <c r="F11" s="709"/>
      <c r="G11" s="709"/>
      <c r="H11" s="709"/>
      <c r="I11" s="709"/>
      <c r="J11" s="813"/>
    </row>
    <row r="12" spans="1:10" ht="14.25" x14ac:dyDescent="0.2">
      <c r="A12" s="834" t="s">
        <v>858</v>
      </c>
      <c r="B12" s="834"/>
      <c r="C12" s="836" t="s">
        <v>926</v>
      </c>
      <c r="D12" s="835"/>
      <c r="E12" s="835"/>
      <c r="F12" s="835"/>
      <c r="G12" s="835"/>
      <c r="H12" s="835"/>
      <c r="I12" s="835"/>
      <c r="J12" s="813"/>
    </row>
    <row r="13" spans="1:10" ht="15.75" thickBot="1" x14ac:dyDescent="0.25">
      <c r="A13" s="718"/>
      <c r="B13" s="718"/>
      <c r="C13" s="718"/>
      <c r="D13" s="718"/>
      <c r="E13" s="718"/>
      <c r="F13" s="718"/>
      <c r="G13" s="718"/>
      <c r="H13" s="814" t="s">
        <v>846</v>
      </c>
      <c r="I13" s="814"/>
      <c r="J13" s="813"/>
    </row>
    <row r="14" spans="1:10" ht="13.5" thickBot="1" x14ac:dyDescent="0.25">
      <c r="A14" s="815" t="s">
        <v>83</v>
      </c>
      <c r="B14" s="818" t="s">
        <v>443</v>
      </c>
      <c r="C14" s="819"/>
      <c r="D14" s="819"/>
      <c r="E14" s="819"/>
      <c r="F14" s="820"/>
      <c r="G14" s="820"/>
      <c r="H14" s="820"/>
      <c r="I14" s="821"/>
      <c r="J14" s="813"/>
    </row>
    <row r="15" spans="1:10" ht="13.5" thickBot="1" x14ac:dyDescent="0.25">
      <c r="A15" s="816"/>
      <c r="B15" s="822" t="s">
        <v>865</v>
      </c>
      <c r="C15" s="825" t="s">
        <v>859</v>
      </c>
      <c r="D15" s="826"/>
      <c r="E15" s="826"/>
      <c r="F15" s="826"/>
      <c r="G15" s="826"/>
      <c r="H15" s="826"/>
      <c r="I15" s="827"/>
      <c r="J15" s="813"/>
    </row>
    <row r="16" spans="1:10" ht="48.75" thickBot="1" x14ac:dyDescent="0.25">
      <c r="A16" s="816"/>
      <c r="B16" s="823"/>
      <c r="C16" s="828" t="str">
        <f>CONCATENATE(Z_TARTALOMJEGYZÉK!$A$1,".  előtti forrás, kiadás")</f>
        <v>2020.  előtti forrás, kiadás</v>
      </c>
      <c r="D16" s="719" t="s">
        <v>445</v>
      </c>
      <c r="E16" s="719" t="s">
        <v>446</v>
      </c>
      <c r="F16" s="720" t="str">
        <f>CONCATENATE("Összes teljesítés ",Z_TARTALOMJEGYZÉK!$A$1,". XII.31 -ig")</f>
        <v>Összes teljesítés 2020. XII.31 -ig</v>
      </c>
      <c r="G16" s="720" t="s">
        <v>445</v>
      </c>
      <c r="H16" s="720" t="s">
        <v>446</v>
      </c>
      <c r="I16" s="720" t="str">
        <f>CONCATENATE("Összes teljesítés ",Z_TARTALOMJEGYZÉK!$A$1,". XII.31 -ig")</f>
        <v>Összes teljesítés 2020. XII.31 -ig</v>
      </c>
      <c r="J16" s="813"/>
    </row>
    <row r="17" spans="1:10" ht="11.25" customHeight="1" thickBot="1" x14ac:dyDescent="0.25">
      <c r="A17" s="817"/>
      <c r="B17" s="824"/>
      <c r="C17" s="829"/>
      <c r="D17" s="830" t="str">
        <f>CONCATENATE(Z_TARTALOMJEGYZÉK!$A$1,". évi")</f>
        <v>2020. évi</v>
      </c>
      <c r="E17" s="831"/>
      <c r="F17" s="832"/>
      <c r="G17" s="830" t="str">
        <f>CONCATENATE(Z_TARTALOMJEGYZÉK!$A$1,". után")</f>
        <v>2020. után</v>
      </c>
      <c r="H17" s="833"/>
      <c r="I17" s="832"/>
      <c r="J17" s="813"/>
    </row>
    <row r="18" spans="1:10" ht="13.5" thickBot="1" x14ac:dyDescent="0.25">
      <c r="A18" s="721" t="s">
        <v>384</v>
      </c>
      <c r="B18" s="722" t="s">
        <v>864</v>
      </c>
      <c r="C18" s="723" t="s">
        <v>386</v>
      </c>
      <c r="D18" s="724" t="s">
        <v>388</v>
      </c>
      <c r="E18" s="724" t="s">
        <v>387</v>
      </c>
      <c r="F18" s="723" t="s">
        <v>389</v>
      </c>
      <c r="G18" s="723" t="s">
        <v>390</v>
      </c>
      <c r="H18" s="723" t="s">
        <v>391</v>
      </c>
      <c r="I18" s="725" t="s">
        <v>863</v>
      </c>
      <c r="J18" s="813"/>
    </row>
    <row r="19" spans="1:10" x14ac:dyDescent="0.2">
      <c r="A19" s="726" t="s">
        <v>84</v>
      </c>
      <c r="B19" s="752">
        <f t="shared" ref="B19:B24" si="0">C19+E19+H19</f>
        <v>0</v>
      </c>
      <c r="C19" s="738"/>
      <c r="D19" s="739"/>
      <c r="E19" s="739"/>
      <c r="F19" s="749"/>
      <c r="G19" s="739"/>
      <c r="H19" s="740"/>
      <c r="I19" s="741">
        <f t="shared" ref="I19:I24" si="1">C19+F19</f>
        <v>0</v>
      </c>
      <c r="J19" s="813"/>
    </row>
    <row r="20" spans="1:10" x14ac:dyDescent="0.2">
      <c r="A20" s="727" t="s">
        <v>95</v>
      </c>
      <c r="B20" s="753">
        <f t="shared" si="0"/>
        <v>0</v>
      </c>
      <c r="C20" s="742"/>
      <c r="D20" s="742"/>
      <c r="E20" s="743"/>
      <c r="F20" s="750"/>
      <c r="G20" s="742"/>
      <c r="H20" s="743"/>
      <c r="I20" s="744">
        <f t="shared" si="1"/>
        <v>0</v>
      </c>
      <c r="J20" s="813"/>
    </row>
    <row r="21" spans="1:10" x14ac:dyDescent="0.2">
      <c r="A21" s="728" t="s">
        <v>85</v>
      </c>
      <c r="B21" s="754">
        <f t="shared" si="0"/>
        <v>415500000</v>
      </c>
      <c r="C21" s="743">
        <v>314452000</v>
      </c>
      <c r="D21" s="743">
        <v>101048000</v>
      </c>
      <c r="E21" s="743">
        <v>101048000</v>
      </c>
      <c r="F21" s="751">
        <v>51337760</v>
      </c>
      <c r="G21" s="743"/>
      <c r="H21" s="743"/>
      <c r="I21" s="744">
        <f t="shared" si="1"/>
        <v>365789760</v>
      </c>
      <c r="J21" s="813"/>
    </row>
    <row r="22" spans="1:10" x14ac:dyDescent="0.2">
      <c r="A22" s="728" t="s">
        <v>96</v>
      </c>
      <c r="B22" s="754">
        <f t="shared" si="0"/>
        <v>0</v>
      </c>
      <c r="C22" s="743"/>
      <c r="D22" s="743"/>
      <c r="E22" s="743"/>
      <c r="F22" s="751"/>
      <c r="G22" s="743"/>
      <c r="H22" s="743"/>
      <c r="I22" s="744">
        <f t="shared" si="1"/>
        <v>0</v>
      </c>
      <c r="J22" s="813"/>
    </row>
    <row r="23" spans="1:10" x14ac:dyDescent="0.2">
      <c r="A23" s="728" t="s">
        <v>86</v>
      </c>
      <c r="B23" s="754">
        <f t="shared" si="0"/>
        <v>0</v>
      </c>
      <c r="C23" s="743"/>
      <c r="D23" s="743"/>
      <c r="E23" s="743"/>
      <c r="F23" s="751"/>
      <c r="G23" s="743"/>
      <c r="H23" s="743"/>
      <c r="I23" s="744">
        <f t="shared" si="1"/>
        <v>0</v>
      </c>
      <c r="J23" s="813"/>
    </row>
    <row r="24" spans="1:10" ht="13.5" thickBot="1" x14ac:dyDescent="0.25">
      <c r="A24" s="728" t="s">
        <v>87</v>
      </c>
      <c r="B24" s="754">
        <f t="shared" si="0"/>
        <v>0</v>
      </c>
      <c r="C24" s="743"/>
      <c r="D24" s="743"/>
      <c r="E24" s="743"/>
      <c r="F24" s="751"/>
      <c r="G24" s="743"/>
      <c r="H24" s="743"/>
      <c r="I24" s="744">
        <f t="shared" si="1"/>
        <v>0</v>
      </c>
      <c r="J24" s="813"/>
    </row>
    <row r="25" spans="1:10" ht="13.5" thickBot="1" x14ac:dyDescent="0.25">
      <c r="A25" s="729" t="s">
        <v>88</v>
      </c>
      <c r="B25" s="755">
        <f t="shared" ref="B25:I25" si="2">B19+SUM(B21:B24)</f>
        <v>415500000</v>
      </c>
      <c r="C25" s="745">
        <f t="shared" si="2"/>
        <v>314452000</v>
      </c>
      <c r="D25" s="745">
        <f t="shared" si="2"/>
        <v>101048000</v>
      </c>
      <c r="E25" s="745">
        <f t="shared" si="2"/>
        <v>101048000</v>
      </c>
      <c r="F25" s="745">
        <f t="shared" si="2"/>
        <v>51337760</v>
      </c>
      <c r="G25" s="745">
        <f t="shared" si="2"/>
        <v>0</v>
      </c>
      <c r="H25" s="745">
        <f t="shared" si="2"/>
        <v>0</v>
      </c>
      <c r="I25" s="746">
        <f t="shared" si="2"/>
        <v>365789760</v>
      </c>
      <c r="J25" s="813"/>
    </row>
    <row r="26" spans="1:10" x14ac:dyDescent="0.2">
      <c r="A26" s="730" t="s">
        <v>91</v>
      </c>
      <c r="B26" s="752">
        <f>C26+E26+H26</f>
        <v>0</v>
      </c>
      <c r="C26" s="739"/>
      <c r="D26" s="739"/>
      <c r="E26" s="739"/>
      <c r="F26" s="739"/>
      <c r="G26" s="739"/>
      <c r="H26" s="739"/>
      <c r="I26" s="741">
        <f>C26+F26</f>
        <v>0</v>
      </c>
      <c r="J26" s="813"/>
    </row>
    <row r="27" spans="1:10" x14ac:dyDescent="0.2">
      <c r="A27" s="731" t="s">
        <v>92</v>
      </c>
      <c r="B27" s="754">
        <f>C27+E27+H27</f>
        <v>415500000</v>
      </c>
      <c r="C27" s="743">
        <v>314452000</v>
      </c>
      <c r="D27" s="743">
        <v>101048000</v>
      </c>
      <c r="E27" s="743">
        <v>101048000</v>
      </c>
      <c r="F27" s="743">
        <v>51337760</v>
      </c>
      <c r="G27" s="743"/>
      <c r="H27" s="743"/>
      <c r="I27" s="744">
        <f>C27+F27</f>
        <v>365789760</v>
      </c>
      <c r="J27" s="813"/>
    </row>
    <row r="28" spans="1:10" x14ac:dyDescent="0.2">
      <c r="A28" s="731" t="s">
        <v>93</v>
      </c>
      <c r="B28" s="754">
        <f>C28+E28+H28</f>
        <v>0</v>
      </c>
      <c r="C28" s="743"/>
      <c r="D28" s="743"/>
      <c r="E28" s="743"/>
      <c r="F28" s="743"/>
      <c r="G28" s="743"/>
      <c r="H28" s="743"/>
      <c r="I28" s="744">
        <f>C28+F28</f>
        <v>0</v>
      </c>
      <c r="J28" s="813"/>
    </row>
    <row r="29" spans="1:10" x14ac:dyDescent="0.2">
      <c r="A29" s="731" t="s">
        <v>94</v>
      </c>
      <c r="B29" s="754">
        <f>C29+E29+H29</f>
        <v>0</v>
      </c>
      <c r="C29" s="743"/>
      <c r="D29" s="743"/>
      <c r="E29" s="743"/>
      <c r="F29" s="743"/>
      <c r="G29" s="743"/>
      <c r="H29" s="743"/>
      <c r="I29" s="744">
        <f>C29+F29</f>
        <v>0</v>
      </c>
      <c r="J29" s="813"/>
    </row>
    <row r="30" spans="1:10" ht="13.5" thickBot="1" x14ac:dyDescent="0.25">
      <c r="A30" s="732"/>
      <c r="B30" s="756">
        <f>C30+E30+H30</f>
        <v>0</v>
      </c>
      <c r="C30" s="747"/>
      <c r="D30" s="747"/>
      <c r="E30" s="743"/>
      <c r="F30" s="747"/>
      <c r="G30" s="747"/>
      <c r="H30" s="743"/>
      <c r="I30" s="748">
        <f>C30+F30</f>
        <v>0</v>
      </c>
      <c r="J30" s="813"/>
    </row>
    <row r="31" spans="1:10" ht="13.5" thickBot="1" x14ac:dyDescent="0.25">
      <c r="A31" s="733" t="s">
        <v>74</v>
      </c>
      <c r="B31" s="755">
        <f t="shared" ref="B31:I31" si="3">SUM(B26:B30)</f>
        <v>415500000</v>
      </c>
      <c r="C31" s="745">
        <f t="shared" si="3"/>
        <v>314452000</v>
      </c>
      <c r="D31" s="745">
        <f t="shared" si="3"/>
        <v>101048000</v>
      </c>
      <c r="E31" s="745">
        <f t="shared" si="3"/>
        <v>101048000</v>
      </c>
      <c r="F31" s="745">
        <f t="shared" si="3"/>
        <v>51337760</v>
      </c>
      <c r="G31" s="745">
        <f t="shared" si="3"/>
        <v>0</v>
      </c>
      <c r="H31" s="745">
        <f t="shared" si="3"/>
        <v>0</v>
      </c>
      <c r="I31" s="746">
        <f t="shared" si="3"/>
        <v>365789760</v>
      </c>
      <c r="J31" s="813"/>
    </row>
    <row r="32" spans="1:10" x14ac:dyDescent="0.2">
      <c r="A32" s="837" t="s">
        <v>512</v>
      </c>
      <c r="B32" s="837"/>
      <c r="C32" s="837"/>
      <c r="D32" s="837"/>
      <c r="E32" s="837"/>
      <c r="F32" s="837"/>
      <c r="G32" s="837"/>
      <c r="H32" s="837"/>
      <c r="I32" s="837"/>
      <c r="J32" s="813"/>
    </row>
    <row r="33" spans="1:10" x14ac:dyDescent="0.2">
      <c r="A33" s="734"/>
      <c r="B33" s="734"/>
      <c r="C33" s="734"/>
      <c r="D33" s="734"/>
      <c r="E33" s="734"/>
      <c r="F33" s="734"/>
      <c r="G33" s="734"/>
      <c r="H33" s="734"/>
      <c r="I33" s="734"/>
      <c r="J33" s="813"/>
    </row>
    <row r="34" spans="1:10" ht="14.25" customHeight="1" x14ac:dyDescent="0.2">
      <c r="A34" s="834" t="s">
        <v>861</v>
      </c>
      <c r="B34" s="834"/>
      <c r="C34" s="836" t="s">
        <v>927</v>
      </c>
      <c r="D34" s="835"/>
      <c r="E34" s="835"/>
      <c r="F34" s="835"/>
      <c r="G34" s="835"/>
      <c r="H34" s="835"/>
      <c r="I34" s="835"/>
      <c r="J34" s="813"/>
    </row>
    <row r="35" spans="1:10" ht="15.75" thickBot="1" x14ac:dyDescent="0.25">
      <c r="A35" s="718"/>
      <c r="B35" s="718"/>
      <c r="C35" s="718"/>
      <c r="D35" s="718"/>
      <c r="E35" s="718"/>
      <c r="F35" s="718"/>
      <c r="G35" s="718"/>
      <c r="H35" s="814" t="s">
        <v>846</v>
      </c>
      <c r="I35" s="814"/>
      <c r="J35" s="813"/>
    </row>
    <row r="36" spans="1:10" ht="13.5" customHeight="1" thickBot="1" x14ac:dyDescent="0.25">
      <c r="A36" s="815" t="s">
        <v>83</v>
      </c>
      <c r="B36" s="818" t="s">
        <v>443</v>
      </c>
      <c r="C36" s="819"/>
      <c r="D36" s="819"/>
      <c r="E36" s="819"/>
      <c r="F36" s="820"/>
      <c r="G36" s="820"/>
      <c r="H36" s="820"/>
      <c r="I36" s="821"/>
      <c r="J36" s="813"/>
    </row>
    <row r="37" spans="1:10" ht="13.5" customHeight="1" thickBot="1" x14ac:dyDescent="0.25">
      <c r="A37" s="816"/>
      <c r="B37" s="822" t="str">
        <f>B15</f>
        <v>Módosítás utáni összes forrás, kiadás</v>
      </c>
      <c r="C37" s="825" t="s">
        <v>859</v>
      </c>
      <c r="D37" s="826"/>
      <c r="E37" s="826"/>
      <c r="F37" s="826"/>
      <c r="G37" s="826"/>
      <c r="H37" s="826"/>
      <c r="I37" s="827"/>
      <c r="J37" s="813"/>
    </row>
    <row r="38" spans="1:10" ht="48.75" thickBot="1" x14ac:dyDescent="0.25">
      <c r="A38" s="816"/>
      <c r="B38" s="823"/>
      <c r="C38" s="828" t="str">
        <f>CONCATENATE(Z_TARTALOMJEGYZÉK!$A$1,".  előtti forrás, kiadás")</f>
        <v>2020.  előtti forrás, kiadás</v>
      </c>
      <c r="D38" s="719" t="s">
        <v>445</v>
      </c>
      <c r="E38" s="719" t="s">
        <v>446</v>
      </c>
      <c r="F38" s="720" t="str">
        <f>CONCATENATE("Összes teljesítés ",Z_TARTALOMJEGYZÉK!$A$1,". XII.31 -ig")</f>
        <v>Összes teljesítés 2020. XII.31 -ig</v>
      </c>
      <c r="G38" s="720" t="s">
        <v>445</v>
      </c>
      <c r="H38" s="720" t="s">
        <v>446</v>
      </c>
      <c r="I38" s="720" t="str">
        <f>CONCATENATE("Összes teljesítés ",Z_TARTALOMJEGYZÉK!$A$1,". XII.31 -ig")</f>
        <v>Összes teljesítés 2020. XII.31 -ig</v>
      </c>
      <c r="J38" s="813"/>
    </row>
    <row r="39" spans="1:10" ht="13.5" thickBot="1" x14ac:dyDescent="0.25">
      <c r="A39" s="817"/>
      <c r="B39" s="824"/>
      <c r="C39" s="829"/>
      <c r="D39" s="830" t="str">
        <f>CONCATENATE(Z_TARTALOMJEGYZÉK!$A$1,". évi")</f>
        <v>2020. évi</v>
      </c>
      <c r="E39" s="831"/>
      <c r="F39" s="832"/>
      <c r="G39" s="830" t="str">
        <f>CONCATENATE(Z_TARTALOMJEGYZÉK!$A$1,". után")</f>
        <v>2020. után</v>
      </c>
      <c r="H39" s="833"/>
      <c r="I39" s="832"/>
      <c r="J39" s="813"/>
    </row>
    <row r="40" spans="1:10" ht="13.5" thickBot="1" x14ac:dyDescent="0.25">
      <c r="A40" s="721" t="s">
        <v>384</v>
      </c>
      <c r="B40" s="722" t="s">
        <v>864</v>
      </c>
      <c r="C40" s="723" t="s">
        <v>386</v>
      </c>
      <c r="D40" s="724" t="s">
        <v>388</v>
      </c>
      <c r="E40" s="724" t="s">
        <v>387</v>
      </c>
      <c r="F40" s="723" t="s">
        <v>389</v>
      </c>
      <c r="G40" s="723" t="s">
        <v>390</v>
      </c>
      <c r="H40" s="723" t="s">
        <v>391</v>
      </c>
      <c r="I40" s="725" t="s">
        <v>863</v>
      </c>
      <c r="J40" s="813"/>
    </row>
    <row r="41" spans="1:10" x14ac:dyDescent="0.2">
      <c r="A41" s="726" t="s">
        <v>84</v>
      </c>
      <c r="B41" s="752">
        <f t="shared" ref="B41:B46" si="4">C41+E41+H41</f>
        <v>0</v>
      </c>
      <c r="C41" s="738"/>
      <c r="D41" s="739"/>
      <c r="E41" s="739"/>
      <c r="F41" s="749"/>
      <c r="G41" s="739"/>
      <c r="H41" s="740"/>
      <c r="I41" s="741">
        <f t="shared" ref="I41:I46" si="5">C41+F41</f>
        <v>0</v>
      </c>
      <c r="J41" s="813"/>
    </row>
    <row r="42" spans="1:10" x14ac:dyDescent="0.2">
      <c r="A42" s="727" t="s">
        <v>95</v>
      </c>
      <c r="B42" s="753">
        <f t="shared" si="4"/>
        <v>0</v>
      </c>
      <c r="C42" s="742"/>
      <c r="D42" s="742"/>
      <c r="E42" s="743"/>
      <c r="F42" s="750"/>
      <c r="G42" s="742"/>
      <c r="H42" s="743"/>
      <c r="I42" s="744">
        <f t="shared" si="5"/>
        <v>0</v>
      </c>
      <c r="J42" s="813"/>
    </row>
    <row r="43" spans="1:10" x14ac:dyDescent="0.2">
      <c r="A43" s="728" t="s">
        <v>85</v>
      </c>
      <c r="B43" s="754">
        <f t="shared" si="4"/>
        <v>85643000</v>
      </c>
      <c r="C43" s="743">
        <v>18760000</v>
      </c>
      <c r="D43" s="743">
        <v>261935000</v>
      </c>
      <c r="E43" s="743">
        <v>66883000</v>
      </c>
      <c r="F43" s="751">
        <v>101297815</v>
      </c>
      <c r="G43" s="743"/>
      <c r="H43" s="743"/>
      <c r="I43" s="744">
        <f t="shared" si="5"/>
        <v>120057815</v>
      </c>
      <c r="J43" s="813"/>
    </row>
    <row r="44" spans="1:10" x14ac:dyDescent="0.2">
      <c r="A44" s="728" t="s">
        <v>96</v>
      </c>
      <c r="B44" s="754">
        <f t="shared" si="4"/>
        <v>0</v>
      </c>
      <c r="C44" s="743"/>
      <c r="D44" s="743"/>
      <c r="E44" s="743"/>
      <c r="F44" s="751"/>
      <c r="G44" s="743"/>
      <c r="H44" s="743"/>
      <c r="I44" s="744">
        <f t="shared" si="5"/>
        <v>0</v>
      </c>
      <c r="J44" s="813"/>
    </row>
    <row r="45" spans="1:10" x14ac:dyDescent="0.2">
      <c r="A45" s="728" t="s">
        <v>86</v>
      </c>
      <c r="B45" s="754">
        <f t="shared" si="4"/>
        <v>0</v>
      </c>
      <c r="C45" s="743"/>
      <c r="D45" s="743"/>
      <c r="E45" s="743"/>
      <c r="F45" s="751"/>
      <c r="G45" s="743"/>
      <c r="H45" s="743"/>
      <c r="I45" s="744">
        <f t="shared" si="5"/>
        <v>0</v>
      </c>
      <c r="J45" s="813"/>
    </row>
    <row r="46" spans="1:10" ht="13.5" thickBot="1" x14ac:dyDescent="0.25">
      <c r="A46" s="728" t="s">
        <v>87</v>
      </c>
      <c r="B46" s="754">
        <f t="shared" si="4"/>
        <v>0</v>
      </c>
      <c r="C46" s="743"/>
      <c r="D46" s="743"/>
      <c r="E46" s="743"/>
      <c r="F46" s="751"/>
      <c r="G46" s="743"/>
      <c r="H46" s="743"/>
      <c r="I46" s="744">
        <f t="shared" si="5"/>
        <v>0</v>
      </c>
      <c r="J46" s="813"/>
    </row>
    <row r="47" spans="1:10" ht="13.5" thickBot="1" x14ac:dyDescent="0.25">
      <c r="A47" s="729" t="s">
        <v>88</v>
      </c>
      <c r="B47" s="755">
        <f t="shared" ref="B47:I47" si="6">B41+SUM(B43:B46)</f>
        <v>85643000</v>
      </c>
      <c r="C47" s="745">
        <f t="shared" si="6"/>
        <v>18760000</v>
      </c>
      <c r="D47" s="745">
        <f t="shared" si="6"/>
        <v>261935000</v>
      </c>
      <c r="E47" s="745">
        <f t="shared" si="6"/>
        <v>66883000</v>
      </c>
      <c r="F47" s="745">
        <f t="shared" si="6"/>
        <v>101297815</v>
      </c>
      <c r="G47" s="745">
        <f t="shared" si="6"/>
        <v>0</v>
      </c>
      <c r="H47" s="745">
        <f t="shared" si="6"/>
        <v>0</v>
      </c>
      <c r="I47" s="746">
        <f t="shared" si="6"/>
        <v>120057815</v>
      </c>
      <c r="J47" s="813"/>
    </row>
    <row r="48" spans="1:10" x14ac:dyDescent="0.2">
      <c r="A48" s="730" t="s">
        <v>91</v>
      </c>
      <c r="B48" s="752">
        <f>C48+E48+H48</f>
        <v>0</v>
      </c>
      <c r="C48" s="739"/>
      <c r="D48" s="739"/>
      <c r="E48" s="739"/>
      <c r="F48" s="739"/>
      <c r="G48" s="739"/>
      <c r="H48" s="739"/>
      <c r="I48" s="741">
        <f>C48+F48</f>
        <v>0</v>
      </c>
      <c r="J48" s="813"/>
    </row>
    <row r="49" spans="1:10" x14ac:dyDescent="0.2">
      <c r="A49" s="731" t="s">
        <v>92</v>
      </c>
      <c r="B49" s="754">
        <f>C49+E49+H49</f>
        <v>85643000</v>
      </c>
      <c r="C49" s="743">
        <v>18760000</v>
      </c>
      <c r="D49" s="743">
        <v>261935000</v>
      </c>
      <c r="E49" s="743">
        <v>66883000</v>
      </c>
      <c r="F49" s="743">
        <v>100134615</v>
      </c>
      <c r="G49" s="743"/>
      <c r="H49" s="743"/>
      <c r="I49" s="744">
        <f>C49+F49</f>
        <v>118894615</v>
      </c>
      <c r="J49" s="813"/>
    </row>
    <row r="50" spans="1:10" x14ac:dyDescent="0.2">
      <c r="A50" s="731" t="s">
        <v>93</v>
      </c>
      <c r="B50" s="754">
        <f>C50+E50+H50</f>
        <v>0</v>
      </c>
      <c r="C50" s="743"/>
      <c r="D50" s="743"/>
      <c r="E50" s="743"/>
      <c r="F50" s="743">
        <v>1163200</v>
      </c>
      <c r="G50" s="743"/>
      <c r="H50" s="743"/>
      <c r="I50" s="744">
        <f>C50+F50</f>
        <v>1163200</v>
      </c>
      <c r="J50" s="813"/>
    </row>
    <row r="51" spans="1:10" x14ac:dyDescent="0.2">
      <c r="A51" s="731" t="s">
        <v>94</v>
      </c>
      <c r="B51" s="754">
        <f>C51+E51+H51</f>
        <v>0</v>
      </c>
      <c r="C51" s="743"/>
      <c r="D51" s="743"/>
      <c r="E51" s="743"/>
      <c r="F51" s="743"/>
      <c r="G51" s="743"/>
      <c r="H51" s="743"/>
      <c r="I51" s="744">
        <f>C51+F51</f>
        <v>0</v>
      </c>
      <c r="J51" s="813"/>
    </row>
    <row r="52" spans="1:10" ht="13.5" thickBot="1" x14ac:dyDescent="0.25">
      <c r="A52" s="732"/>
      <c r="B52" s="756">
        <f>C52+E52+H52</f>
        <v>0</v>
      </c>
      <c r="C52" s="747"/>
      <c r="D52" s="747"/>
      <c r="E52" s="743"/>
      <c r="F52" s="747"/>
      <c r="G52" s="747"/>
      <c r="H52" s="743"/>
      <c r="I52" s="748">
        <f>C52+F52</f>
        <v>0</v>
      </c>
      <c r="J52" s="813"/>
    </row>
    <row r="53" spans="1:10" ht="13.5" thickBot="1" x14ac:dyDescent="0.25">
      <c r="A53" s="733" t="s">
        <v>74</v>
      </c>
      <c r="B53" s="755">
        <f t="shared" ref="B53:I53" si="7">SUM(B48:B52)</f>
        <v>85643000</v>
      </c>
      <c r="C53" s="745">
        <f t="shared" si="7"/>
        <v>18760000</v>
      </c>
      <c r="D53" s="745">
        <f t="shared" si="7"/>
        <v>261935000</v>
      </c>
      <c r="E53" s="745">
        <f t="shared" si="7"/>
        <v>66883000</v>
      </c>
      <c r="F53" s="745">
        <f t="shared" si="7"/>
        <v>101297815</v>
      </c>
      <c r="G53" s="745">
        <f t="shared" si="7"/>
        <v>0</v>
      </c>
      <c r="H53" s="745">
        <f t="shared" si="7"/>
        <v>0</v>
      </c>
      <c r="I53" s="746">
        <f t="shared" si="7"/>
        <v>120057815</v>
      </c>
      <c r="J53" s="813"/>
    </row>
    <row r="54" spans="1:10" x14ac:dyDescent="0.2">
      <c r="J54" s="813"/>
    </row>
    <row r="55" spans="1:10" x14ac:dyDescent="0.2">
      <c r="J55" s="813"/>
    </row>
    <row r="56" spans="1:10" ht="14.25" x14ac:dyDescent="0.2">
      <c r="A56" s="834" t="s">
        <v>861</v>
      </c>
      <c r="B56" s="834"/>
      <c r="C56" s="836" t="s">
        <v>928</v>
      </c>
      <c r="D56" s="835"/>
      <c r="E56" s="835"/>
      <c r="F56" s="835"/>
      <c r="G56" s="835"/>
      <c r="H56" s="835"/>
      <c r="I56" s="835"/>
      <c r="J56" s="813"/>
    </row>
    <row r="57" spans="1:10" ht="15.75" thickBot="1" x14ac:dyDescent="0.25">
      <c r="A57" s="718"/>
      <c r="B57" s="718"/>
      <c r="C57" s="718"/>
      <c r="D57" s="718"/>
      <c r="E57" s="718"/>
      <c r="F57" s="718"/>
      <c r="G57" s="718"/>
      <c r="H57" s="814" t="s">
        <v>846</v>
      </c>
      <c r="I57" s="814"/>
      <c r="J57" s="813"/>
    </row>
    <row r="58" spans="1:10" ht="13.5" customHeight="1" thickBot="1" x14ac:dyDescent="0.25">
      <c r="A58" s="815" t="s">
        <v>83</v>
      </c>
      <c r="B58" s="818" t="s">
        <v>443</v>
      </c>
      <c r="C58" s="819"/>
      <c r="D58" s="819"/>
      <c r="E58" s="819"/>
      <c r="F58" s="820"/>
      <c r="G58" s="820"/>
      <c r="H58" s="820"/>
      <c r="I58" s="821"/>
      <c r="J58" s="813"/>
    </row>
    <row r="59" spans="1:10" ht="13.5" customHeight="1" thickBot="1" x14ac:dyDescent="0.25">
      <c r="A59" s="816"/>
      <c r="B59" s="822" t="str">
        <f>B37</f>
        <v>Módosítás utáni összes forrás, kiadás</v>
      </c>
      <c r="C59" s="825" t="s">
        <v>859</v>
      </c>
      <c r="D59" s="826"/>
      <c r="E59" s="826"/>
      <c r="F59" s="826"/>
      <c r="G59" s="826"/>
      <c r="H59" s="826"/>
      <c r="I59" s="827"/>
      <c r="J59" s="813"/>
    </row>
    <row r="60" spans="1:10" ht="48.75" customHeight="1" thickBot="1" x14ac:dyDescent="0.25">
      <c r="A60" s="816"/>
      <c r="B60" s="823"/>
      <c r="C60" s="828" t="str">
        <f>CONCATENATE(Z_TARTALOMJEGYZÉK!$A$1,".  előtti forrás, kiadás")</f>
        <v>2020.  előtti forrás, kiadás</v>
      </c>
      <c r="D60" s="719" t="s">
        <v>445</v>
      </c>
      <c r="E60" s="719" t="s">
        <v>446</v>
      </c>
      <c r="F60" s="720" t="str">
        <f>CONCATENATE("Összes teljesítés ",Z_TARTALOMJEGYZÉK!$A$1,". XII.31 -ig")</f>
        <v>Összes teljesítés 2020. XII.31 -ig</v>
      </c>
      <c r="G60" s="720" t="s">
        <v>445</v>
      </c>
      <c r="H60" s="720" t="s">
        <v>446</v>
      </c>
      <c r="I60" s="720" t="str">
        <f>CONCATENATE("Összes teljesítés ",Z_TARTALOMJEGYZÉK!$A$1,". XII.31 -ig")</f>
        <v>Összes teljesítés 2020. XII.31 -ig</v>
      </c>
      <c r="J60" s="813"/>
    </row>
    <row r="61" spans="1:10" ht="13.5" thickBot="1" x14ac:dyDescent="0.25">
      <c r="A61" s="817"/>
      <c r="B61" s="824"/>
      <c r="C61" s="829"/>
      <c r="D61" s="830" t="str">
        <f>CONCATENATE(Z_TARTALOMJEGYZÉK!$A$1,". évi")</f>
        <v>2020. évi</v>
      </c>
      <c r="E61" s="831"/>
      <c r="F61" s="832"/>
      <c r="G61" s="830" t="str">
        <f>CONCATENATE(Z_TARTALOMJEGYZÉK!$A$1,". után")</f>
        <v>2020. után</v>
      </c>
      <c r="H61" s="833"/>
      <c r="I61" s="832"/>
      <c r="J61" s="813"/>
    </row>
    <row r="62" spans="1:10" ht="13.5" thickBot="1" x14ac:dyDescent="0.25">
      <c r="A62" s="721" t="s">
        <v>384</v>
      </c>
      <c r="B62" s="722" t="s">
        <v>864</v>
      </c>
      <c r="C62" s="723" t="s">
        <v>386</v>
      </c>
      <c r="D62" s="724" t="s">
        <v>388</v>
      </c>
      <c r="E62" s="724" t="s">
        <v>387</v>
      </c>
      <c r="F62" s="723" t="s">
        <v>389</v>
      </c>
      <c r="G62" s="723" t="s">
        <v>390</v>
      </c>
      <c r="H62" s="723" t="s">
        <v>391</v>
      </c>
      <c r="I62" s="725" t="s">
        <v>863</v>
      </c>
      <c r="J62" s="813"/>
    </row>
    <row r="63" spans="1:10" x14ac:dyDescent="0.2">
      <c r="A63" s="726" t="s">
        <v>84</v>
      </c>
      <c r="B63" s="752">
        <f t="shared" ref="B63:B68" si="8">C63+E63+H63</f>
        <v>0</v>
      </c>
      <c r="C63" s="738"/>
      <c r="D63" s="739"/>
      <c r="E63" s="739"/>
      <c r="F63" s="749"/>
      <c r="G63" s="739"/>
      <c r="H63" s="740"/>
      <c r="I63" s="741">
        <f t="shared" ref="I63:I68" si="9">C63+F63</f>
        <v>0</v>
      </c>
      <c r="J63" s="813"/>
    </row>
    <row r="64" spans="1:10" x14ac:dyDescent="0.2">
      <c r="A64" s="727" t="s">
        <v>95</v>
      </c>
      <c r="B64" s="753">
        <f t="shared" si="8"/>
        <v>0</v>
      </c>
      <c r="C64" s="742"/>
      <c r="D64" s="742"/>
      <c r="E64" s="743"/>
      <c r="F64" s="750"/>
      <c r="G64" s="742"/>
      <c r="H64" s="743"/>
      <c r="I64" s="744">
        <f t="shared" si="9"/>
        <v>0</v>
      </c>
      <c r="J64" s="813"/>
    </row>
    <row r="65" spans="1:10" x14ac:dyDescent="0.2">
      <c r="A65" s="728" t="s">
        <v>85</v>
      </c>
      <c r="B65" s="754">
        <f t="shared" si="8"/>
        <v>213685000</v>
      </c>
      <c r="C65" s="743">
        <v>64604000</v>
      </c>
      <c r="D65" s="743">
        <v>149081000</v>
      </c>
      <c r="E65" s="743">
        <v>149081000</v>
      </c>
      <c r="F65" s="751">
        <v>119568145</v>
      </c>
      <c r="G65" s="743"/>
      <c r="H65" s="743"/>
      <c r="I65" s="744">
        <f t="shared" si="9"/>
        <v>184172145</v>
      </c>
      <c r="J65" s="813"/>
    </row>
    <row r="66" spans="1:10" x14ac:dyDescent="0.2">
      <c r="A66" s="728" t="s">
        <v>96</v>
      </c>
      <c r="B66" s="754">
        <f t="shared" si="8"/>
        <v>0</v>
      </c>
      <c r="C66" s="743"/>
      <c r="D66" s="743"/>
      <c r="E66" s="743"/>
      <c r="F66" s="751"/>
      <c r="G66" s="743"/>
      <c r="H66" s="743"/>
      <c r="I66" s="744">
        <f t="shared" si="9"/>
        <v>0</v>
      </c>
      <c r="J66" s="813"/>
    </row>
    <row r="67" spans="1:10" x14ac:dyDescent="0.2">
      <c r="A67" s="728" t="s">
        <v>86</v>
      </c>
      <c r="B67" s="754">
        <f t="shared" si="8"/>
        <v>0</v>
      </c>
      <c r="C67" s="743"/>
      <c r="D67" s="743"/>
      <c r="E67" s="743"/>
      <c r="F67" s="751"/>
      <c r="G67" s="743"/>
      <c r="H67" s="743"/>
      <c r="I67" s="744">
        <f t="shared" si="9"/>
        <v>0</v>
      </c>
      <c r="J67" s="813"/>
    </row>
    <row r="68" spans="1:10" ht="13.5" thickBot="1" x14ac:dyDescent="0.25">
      <c r="A68" s="728" t="s">
        <v>87</v>
      </c>
      <c r="B68" s="754">
        <f t="shared" si="8"/>
        <v>0</v>
      </c>
      <c r="C68" s="743"/>
      <c r="D68" s="743"/>
      <c r="E68" s="743"/>
      <c r="F68" s="751"/>
      <c r="G68" s="743"/>
      <c r="H68" s="743"/>
      <c r="I68" s="744">
        <f t="shared" si="9"/>
        <v>0</v>
      </c>
      <c r="J68" s="813"/>
    </row>
    <row r="69" spans="1:10" ht="13.5" thickBot="1" x14ac:dyDescent="0.25">
      <c r="A69" s="729" t="s">
        <v>88</v>
      </c>
      <c r="B69" s="755">
        <f t="shared" ref="B69:I69" si="10">B63+SUM(B65:B68)</f>
        <v>213685000</v>
      </c>
      <c r="C69" s="745">
        <f t="shared" si="10"/>
        <v>64604000</v>
      </c>
      <c r="D69" s="745">
        <f t="shared" si="10"/>
        <v>149081000</v>
      </c>
      <c r="E69" s="745">
        <f t="shared" si="10"/>
        <v>149081000</v>
      </c>
      <c r="F69" s="745">
        <f t="shared" si="10"/>
        <v>119568145</v>
      </c>
      <c r="G69" s="745">
        <f t="shared" si="10"/>
        <v>0</v>
      </c>
      <c r="H69" s="745">
        <f t="shared" si="10"/>
        <v>0</v>
      </c>
      <c r="I69" s="746">
        <f t="shared" si="10"/>
        <v>184172145</v>
      </c>
      <c r="J69" s="813"/>
    </row>
    <row r="70" spans="1:10" x14ac:dyDescent="0.2">
      <c r="A70" s="730" t="s">
        <v>91</v>
      </c>
      <c r="B70" s="752">
        <f>C70+E70+H70</f>
        <v>0</v>
      </c>
      <c r="C70" s="739"/>
      <c r="D70" s="739"/>
      <c r="E70" s="739"/>
      <c r="F70" s="739">
        <v>422592</v>
      </c>
      <c r="G70" s="739"/>
      <c r="H70" s="739"/>
      <c r="I70" s="741">
        <f>C70+F70</f>
        <v>422592</v>
      </c>
      <c r="J70" s="813"/>
    </row>
    <row r="71" spans="1:10" x14ac:dyDescent="0.2">
      <c r="A71" s="731" t="s">
        <v>92</v>
      </c>
      <c r="B71" s="754">
        <f>C71+E71+H71</f>
        <v>213685000</v>
      </c>
      <c r="C71" s="743">
        <v>64604000</v>
      </c>
      <c r="D71" s="743">
        <v>149081000</v>
      </c>
      <c r="E71" s="743">
        <v>149081000</v>
      </c>
      <c r="F71" s="743">
        <v>118132728</v>
      </c>
      <c r="G71" s="743"/>
      <c r="H71" s="743"/>
      <c r="I71" s="744">
        <f>C71+F71</f>
        <v>182736728</v>
      </c>
      <c r="J71" s="813"/>
    </row>
    <row r="72" spans="1:10" x14ac:dyDescent="0.2">
      <c r="A72" s="731" t="s">
        <v>93</v>
      </c>
      <c r="B72" s="754">
        <f>C72+E72+H72</f>
        <v>0</v>
      </c>
      <c r="C72" s="743"/>
      <c r="D72" s="743"/>
      <c r="E72" s="743"/>
      <c r="F72" s="743">
        <v>1012825</v>
      </c>
      <c r="G72" s="743"/>
      <c r="H72" s="743"/>
      <c r="I72" s="744">
        <f>C72+F72</f>
        <v>1012825</v>
      </c>
      <c r="J72" s="813"/>
    </row>
    <row r="73" spans="1:10" x14ac:dyDescent="0.2">
      <c r="A73" s="731" t="s">
        <v>94</v>
      </c>
      <c r="B73" s="754">
        <f>C73+E73+H73</f>
        <v>0</v>
      </c>
      <c r="C73" s="743"/>
      <c r="D73" s="743"/>
      <c r="E73" s="743"/>
      <c r="F73" s="743"/>
      <c r="G73" s="743"/>
      <c r="H73" s="743"/>
      <c r="I73" s="744">
        <f>C73+F73</f>
        <v>0</v>
      </c>
      <c r="J73" s="813"/>
    </row>
    <row r="74" spans="1:10" ht="13.5" thickBot="1" x14ac:dyDescent="0.25">
      <c r="A74" s="732"/>
      <c r="B74" s="756">
        <f>C74+E74+H74</f>
        <v>0</v>
      </c>
      <c r="C74" s="747"/>
      <c r="D74" s="747"/>
      <c r="E74" s="743"/>
      <c r="F74" s="747"/>
      <c r="G74" s="747"/>
      <c r="H74" s="743"/>
      <c r="I74" s="748">
        <f>C74+F74</f>
        <v>0</v>
      </c>
      <c r="J74" s="813"/>
    </row>
    <row r="75" spans="1:10" ht="13.5" thickBot="1" x14ac:dyDescent="0.25">
      <c r="A75" s="733" t="s">
        <v>74</v>
      </c>
      <c r="B75" s="755">
        <f t="shared" ref="B75:I75" si="11">SUM(B70:B74)</f>
        <v>213685000</v>
      </c>
      <c r="C75" s="745">
        <f t="shared" si="11"/>
        <v>64604000</v>
      </c>
      <c r="D75" s="745">
        <f t="shared" si="11"/>
        <v>149081000</v>
      </c>
      <c r="E75" s="745">
        <f t="shared" si="11"/>
        <v>149081000</v>
      </c>
      <c r="F75" s="745">
        <f t="shared" si="11"/>
        <v>119568145</v>
      </c>
      <c r="G75" s="745">
        <f t="shared" si="11"/>
        <v>0</v>
      </c>
      <c r="H75" s="745">
        <f t="shared" si="11"/>
        <v>0</v>
      </c>
      <c r="I75" s="746">
        <f t="shared" si="11"/>
        <v>184172145</v>
      </c>
      <c r="J75" s="813"/>
    </row>
    <row r="76" spans="1:10" x14ac:dyDescent="0.2">
      <c r="J76" s="813"/>
    </row>
    <row r="77" spans="1:10" x14ac:dyDescent="0.2">
      <c r="J77" s="813"/>
    </row>
    <row r="78" spans="1:10" ht="14.25" x14ac:dyDescent="0.2">
      <c r="A78" s="834" t="s">
        <v>861</v>
      </c>
      <c r="B78" s="834"/>
      <c r="C78" s="836" t="s">
        <v>929</v>
      </c>
      <c r="D78" s="835"/>
      <c r="E78" s="835"/>
      <c r="F78" s="835"/>
      <c r="G78" s="835"/>
      <c r="H78" s="835"/>
      <c r="I78" s="835"/>
      <c r="J78" s="813"/>
    </row>
    <row r="79" spans="1:10" ht="15.75" thickBot="1" x14ac:dyDescent="0.25">
      <c r="A79" s="718"/>
      <c r="B79" s="718"/>
      <c r="C79" s="718"/>
      <c r="D79" s="718"/>
      <c r="E79" s="718"/>
      <c r="F79" s="718"/>
      <c r="G79" s="718"/>
      <c r="H79" s="814" t="s">
        <v>846</v>
      </c>
      <c r="I79" s="814"/>
      <c r="J79" s="813"/>
    </row>
    <row r="80" spans="1:10" ht="13.5" customHeight="1" thickBot="1" x14ac:dyDescent="0.25">
      <c r="A80" s="815" t="s">
        <v>83</v>
      </c>
      <c r="B80" s="818" t="s">
        <v>443</v>
      </c>
      <c r="C80" s="819"/>
      <c r="D80" s="819"/>
      <c r="E80" s="819"/>
      <c r="F80" s="820"/>
      <c r="G80" s="820"/>
      <c r="H80" s="820"/>
      <c r="I80" s="821"/>
      <c r="J80" s="813"/>
    </row>
    <row r="81" spans="1:10" ht="13.5" customHeight="1" thickBot="1" x14ac:dyDescent="0.25">
      <c r="A81" s="816"/>
      <c r="B81" s="822" t="str">
        <f>B59</f>
        <v>Módosítás utáni összes forrás, kiadás</v>
      </c>
      <c r="C81" s="825" t="s">
        <v>859</v>
      </c>
      <c r="D81" s="826"/>
      <c r="E81" s="826"/>
      <c r="F81" s="826"/>
      <c r="G81" s="826"/>
      <c r="H81" s="826"/>
      <c r="I81" s="827"/>
      <c r="J81" s="813"/>
    </row>
    <row r="82" spans="1:10" ht="48.75" thickBot="1" x14ac:dyDescent="0.25">
      <c r="A82" s="816"/>
      <c r="B82" s="823"/>
      <c r="C82" s="828" t="str">
        <f>CONCATENATE(Z_TARTALOMJEGYZÉK!$A$1,".  előtti forrás, kiadás")</f>
        <v>2020.  előtti forrás, kiadás</v>
      </c>
      <c r="D82" s="719" t="s">
        <v>445</v>
      </c>
      <c r="E82" s="719" t="s">
        <v>446</v>
      </c>
      <c r="F82" s="720" t="str">
        <f>CONCATENATE("Összes teljesítés ",Z_TARTALOMJEGYZÉK!$A$1,". XII.31 -ig")</f>
        <v>Összes teljesítés 2020. XII.31 -ig</v>
      </c>
      <c r="G82" s="720" t="s">
        <v>445</v>
      </c>
      <c r="H82" s="720" t="s">
        <v>446</v>
      </c>
      <c r="I82" s="720" t="str">
        <f>CONCATENATE("Összes teljesítés ",Z_TARTALOMJEGYZÉK!$A$1,". XII.31 -ig")</f>
        <v>Összes teljesítés 2020. XII.31 -ig</v>
      </c>
      <c r="J82" s="813"/>
    </row>
    <row r="83" spans="1:10" ht="13.5" thickBot="1" x14ac:dyDescent="0.25">
      <c r="A83" s="817"/>
      <c r="B83" s="824"/>
      <c r="C83" s="829"/>
      <c r="D83" s="830" t="str">
        <f>CONCATENATE(Z_TARTALOMJEGYZÉK!$A$1,". évi")</f>
        <v>2020. évi</v>
      </c>
      <c r="E83" s="831"/>
      <c r="F83" s="832"/>
      <c r="G83" s="830" t="str">
        <f>CONCATENATE(Z_TARTALOMJEGYZÉK!$A$1,". után")</f>
        <v>2020. után</v>
      </c>
      <c r="H83" s="833"/>
      <c r="I83" s="832"/>
      <c r="J83" s="813"/>
    </row>
    <row r="84" spans="1:10" ht="13.5" thickBot="1" x14ac:dyDescent="0.25">
      <c r="A84" s="721" t="s">
        <v>384</v>
      </c>
      <c r="B84" s="722" t="s">
        <v>864</v>
      </c>
      <c r="C84" s="723" t="s">
        <v>386</v>
      </c>
      <c r="D84" s="724" t="s">
        <v>388</v>
      </c>
      <c r="E84" s="724" t="s">
        <v>387</v>
      </c>
      <c r="F84" s="723" t="s">
        <v>389</v>
      </c>
      <c r="G84" s="723" t="s">
        <v>390</v>
      </c>
      <c r="H84" s="723" t="s">
        <v>391</v>
      </c>
      <c r="I84" s="725" t="s">
        <v>863</v>
      </c>
      <c r="J84" s="813"/>
    </row>
    <row r="85" spans="1:10" x14ac:dyDescent="0.2">
      <c r="A85" s="726" t="s">
        <v>84</v>
      </c>
      <c r="B85" s="752">
        <f t="shared" ref="B85:B90" si="12">C85+E85+H85</f>
        <v>0</v>
      </c>
      <c r="C85" s="738"/>
      <c r="D85" s="739"/>
      <c r="E85" s="739"/>
      <c r="F85" s="749"/>
      <c r="G85" s="739"/>
      <c r="H85" s="740"/>
      <c r="I85" s="741">
        <f t="shared" ref="I85:I90" si="13">C85+F85</f>
        <v>0</v>
      </c>
      <c r="J85" s="813"/>
    </row>
    <row r="86" spans="1:10" x14ac:dyDescent="0.2">
      <c r="A86" s="727" t="s">
        <v>95</v>
      </c>
      <c r="B86" s="753">
        <f t="shared" si="12"/>
        <v>0</v>
      </c>
      <c r="C86" s="742"/>
      <c r="D86" s="742"/>
      <c r="E86" s="743"/>
      <c r="F86" s="750"/>
      <c r="G86" s="742"/>
      <c r="H86" s="743"/>
      <c r="I86" s="744">
        <f t="shared" si="13"/>
        <v>0</v>
      </c>
      <c r="J86" s="813"/>
    </row>
    <row r="87" spans="1:10" x14ac:dyDescent="0.2">
      <c r="A87" s="728" t="s">
        <v>85</v>
      </c>
      <c r="B87" s="754">
        <f t="shared" si="12"/>
        <v>441537000</v>
      </c>
      <c r="C87" s="743">
        <v>16510000</v>
      </c>
      <c r="D87" s="743">
        <v>402167000</v>
      </c>
      <c r="E87" s="743">
        <v>425027000</v>
      </c>
      <c r="F87" s="751">
        <v>362887419</v>
      </c>
      <c r="G87" s="743"/>
      <c r="H87" s="743"/>
      <c r="I87" s="744">
        <f t="shared" si="13"/>
        <v>379397419</v>
      </c>
      <c r="J87" s="813"/>
    </row>
    <row r="88" spans="1:10" x14ac:dyDescent="0.2">
      <c r="A88" s="728" t="s">
        <v>96</v>
      </c>
      <c r="B88" s="754">
        <f t="shared" si="12"/>
        <v>0</v>
      </c>
      <c r="C88" s="743"/>
      <c r="D88" s="743"/>
      <c r="E88" s="743"/>
      <c r="F88" s="751"/>
      <c r="G88" s="743"/>
      <c r="H88" s="743"/>
      <c r="I88" s="744">
        <f t="shared" si="13"/>
        <v>0</v>
      </c>
      <c r="J88" s="813"/>
    </row>
    <row r="89" spans="1:10" x14ac:dyDescent="0.2">
      <c r="A89" s="728" t="s">
        <v>86</v>
      </c>
      <c r="B89" s="754">
        <f t="shared" si="12"/>
        <v>0</v>
      </c>
      <c r="C89" s="743"/>
      <c r="D89" s="743"/>
      <c r="E89" s="743"/>
      <c r="F89" s="751"/>
      <c r="G89" s="743"/>
      <c r="H89" s="743"/>
      <c r="I89" s="744">
        <f t="shared" si="13"/>
        <v>0</v>
      </c>
      <c r="J89" s="813"/>
    </row>
    <row r="90" spans="1:10" ht="13.5" thickBot="1" x14ac:dyDescent="0.25">
      <c r="A90" s="728" t="s">
        <v>87</v>
      </c>
      <c r="B90" s="754">
        <f t="shared" si="12"/>
        <v>0</v>
      </c>
      <c r="C90" s="743"/>
      <c r="D90" s="743"/>
      <c r="E90" s="743"/>
      <c r="F90" s="751"/>
      <c r="G90" s="743"/>
      <c r="H90" s="743"/>
      <c r="I90" s="744">
        <f t="shared" si="13"/>
        <v>0</v>
      </c>
      <c r="J90" s="813"/>
    </row>
    <row r="91" spans="1:10" ht="13.5" thickBot="1" x14ac:dyDescent="0.25">
      <c r="A91" s="729" t="s">
        <v>88</v>
      </c>
      <c r="B91" s="755">
        <f t="shared" ref="B91:I91" si="14">B85+SUM(B87:B90)</f>
        <v>441537000</v>
      </c>
      <c r="C91" s="745">
        <f t="shared" si="14"/>
        <v>16510000</v>
      </c>
      <c r="D91" s="745">
        <f t="shared" si="14"/>
        <v>402167000</v>
      </c>
      <c r="E91" s="745">
        <f t="shared" si="14"/>
        <v>425027000</v>
      </c>
      <c r="F91" s="745">
        <f t="shared" si="14"/>
        <v>362887419</v>
      </c>
      <c r="G91" s="745">
        <f t="shared" si="14"/>
        <v>0</v>
      </c>
      <c r="H91" s="745">
        <f t="shared" si="14"/>
        <v>0</v>
      </c>
      <c r="I91" s="746">
        <f t="shared" si="14"/>
        <v>379397419</v>
      </c>
      <c r="J91" s="813"/>
    </row>
    <row r="92" spans="1:10" x14ac:dyDescent="0.2">
      <c r="A92" s="730" t="s">
        <v>91</v>
      </c>
      <c r="B92" s="752">
        <f>C92+E92+H92</f>
        <v>0</v>
      </c>
      <c r="C92" s="739"/>
      <c r="D92" s="739"/>
      <c r="E92" s="739"/>
      <c r="F92" s="739"/>
      <c r="G92" s="739"/>
      <c r="H92" s="739"/>
      <c r="I92" s="741">
        <f>C92+F92</f>
        <v>0</v>
      </c>
      <c r="J92" s="813"/>
    </row>
    <row r="93" spans="1:10" x14ac:dyDescent="0.2">
      <c r="A93" s="731" t="s">
        <v>92</v>
      </c>
      <c r="B93" s="754">
        <f>C93+E93+H93</f>
        <v>418677000</v>
      </c>
      <c r="C93" s="743">
        <v>16510000</v>
      </c>
      <c r="D93" s="743">
        <v>402167000</v>
      </c>
      <c r="E93" s="743">
        <v>402167000</v>
      </c>
      <c r="F93" s="743">
        <v>351232419</v>
      </c>
      <c r="G93" s="743"/>
      <c r="H93" s="743"/>
      <c r="I93" s="744">
        <f>C93+F93</f>
        <v>367742419</v>
      </c>
      <c r="J93" s="813"/>
    </row>
    <row r="94" spans="1:10" x14ac:dyDescent="0.2">
      <c r="A94" s="731" t="s">
        <v>93</v>
      </c>
      <c r="B94" s="754">
        <f>C94+E94+H94</f>
        <v>22860000</v>
      </c>
      <c r="C94" s="743"/>
      <c r="D94" s="743"/>
      <c r="E94" s="743">
        <v>22860000</v>
      </c>
      <c r="F94" s="743">
        <v>11655000</v>
      </c>
      <c r="G94" s="743"/>
      <c r="H94" s="743"/>
      <c r="I94" s="744">
        <f>C94+F94</f>
        <v>11655000</v>
      </c>
      <c r="J94" s="813"/>
    </row>
    <row r="95" spans="1:10" x14ac:dyDescent="0.2">
      <c r="A95" s="731" t="s">
        <v>94</v>
      </c>
      <c r="B95" s="754">
        <f>C95+E95+H95</f>
        <v>0</v>
      </c>
      <c r="C95" s="743"/>
      <c r="D95" s="743"/>
      <c r="E95" s="743"/>
      <c r="F95" s="743"/>
      <c r="G95" s="743"/>
      <c r="H95" s="743"/>
      <c r="I95" s="744">
        <f>C95+F95</f>
        <v>0</v>
      </c>
      <c r="J95" s="813"/>
    </row>
    <row r="96" spans="1:10" ht="13.5" thickBot="1" x14ac:dyDescent="0.25">
      <c r="A96" s="732"/>
      <c r="B96" s="756">
        <f>C96+E96+H96</f>
        <v>0</v>
      </c>
      <c r="C96" s="747"/>
      <c r="D96" s="747"/>
      <c r="E96" s="743"/>
      <c r="F96" s="747"/>
      <c r="G96" s="747"/>
      <c r="H96" s="743"/>
      <c r="I96" s="748">
        <f>C96+F96</f>
        <v>0</v>
      </c>
      <c r="J96" s="813"/>
    </row>
    <row r="97" spans="1:10" ht="13.5" thickBot="1" x14ac:dyDescent="0.25">
      <c r="A97" s="733" t="s">
        <v>74</v>
      </c>
      <c r="B97" s="755">
        <f t="shared" ref="B97:I97" si="15">SUM(B92:B96)</f>
        <v>441537000</v>
      </c>
      <c r="C97" s="745">
        <f t="shared" si="15"/>
        <v>16510000</v>
      </c>
      <c r="D97" s="745">
        <f t="shared" si="15"/>
        <v>402167000</v>
      </c>
      <c r="E97" s="745">
        <f t="shared" si="15"/>
        <v>425027000</v>
      </c>
      <c r="F97" s="745">
        <f t="shared" si="15"/>
        <v>362887419</v>
      </c>
      <c r="G97" s="745">
        <f t="shared" si="15"/>
        <v>0</v>
      </c>
      <c r="H97" s="745">
        <f t="shared" si="15"/>
        <v>0</v>
      </c>
      <c r="I97" s="746">
        <f t="shared" si="15"/>
        <v>379397419</v>
      </c>
      <c r="J97" s="813"/>
    </row>
    <row r="98" spans="1:10" x14ac:dyDescent="0.2">
      <c r="J98" s="813"/>
    </row>
    <row r="99" spans="1:10" x14ac:dyDescent="0.2">
      <c r="J99" s="813"/>
    </row>
    <row r="100" spans="1:10" ht="14.25" x14ac:dyDescent="0.2">
      <c r="A100" s="834" t="s">
        <v>861</v>
      </c>
      <c r="B100" s="834"/>
      <c r="C100" s="836" t="s">
        <v>930</v>
      </c>
      <c r="D100" s="835"/>
      <c r="E100" s="835"/>
      <c r="F100" s="835"/>
      <c r="G100" s="835"/>
      <c r="H100" s="835"/>
      <c r="I100" s="835"/>
      <c r="J100" s="813"/>
    </row>
    <row r="101" spans="1:10" ht="15.75" thickBot="1" x14ac:dyDescent="0.25">
      <c r="A101" s="718"/>
      <c r="B101" s="718"/>
      <c r="C101" s="718"/>
      <c r="D101" s="718"/>
      <c r="E101" s="718"/>
      <c r="F101" s="718"/>
      <c r="G101" s="718"/>
      <c r="H101" s="814" t="s">
        <v>846</v>
      </c>
      <c r="I101" s="814"/>
      <c r="J101" s="813"/>
    </row>
    <row r="102" spans="1:10" ht="13.5" customHeight="1" thickBot="1" x14ac:dyDescent="0.25">
      <c r="A102" s="815" t="s">
        <v>83</v>
      </c>
      <c r="B102" s="818" t="s">
        <v>443</v>
      </c>
      <c r="C102" s="819"/>
      <c r="D102" s="819"/>
      <c r="E102" s="819"/>
      <c r="F102" s="820"/>
      <c r="G102" s="820"/>
      <c r="H102" s="820"/>
      <c r="I102" s="821"/>
      <c r="J102" s="813"/>
    </row>
    <row r="103" spans="1:10" ht="13.5" customHeight="1" thickBot="1" x14ac:dyDescent="0.25">
      <c r="A103" s="816"/>
      <c r="B103" s="822" t="str">
        <f>B81</f>
        <v>Módosítás utáni összes forrás, kiadás</v>
      </c>
      <c r="C103" s="825" t="s">
        <v>859</v>
      </c>
      <c r="D103" s="826"/>
      <c r="E103" s="826"/>
      <c r="F103" s="826"/>
      <c r="G103" s="826"/>
      <c r="H103" s="826"/>
      <c r="I103" s="827"/>
      <c r="J103" s="813"/>
    </row>
    <row r="104" spans="1:10" ht="48.75" customHeight="1" thickBot="1" x14ac:dyDescent="0.25">
      <c r="A104" s="816"/>
      <c r="B104" s="823"/>
      <c r="C104" s="828" t="str">
        <f>CONCATENATE(Z_TARTALOMJEGYZÉK!$A$1,".  előtti forrás, kiadás")</f>
        <v>2020.  előtti forrás, kiadás</v>
      </c>
      <c r="D104" s="719" t="s">
        <v>445</v>
      </c>
      <c r="E104" s="719" t="s">
        <v>446</v>
      </c>
      <c r="F104" s="720" t="str">
        <f>CONCATENATE("Összes teljesítés ",Z_TARTALOMJEGYZÉK!$A$1,". XII.31 -ig")</f>
        <v>Összes teljesítés 2020. XII.31 -ig</v>
      </c>
      <c r="G104" s="720" t="s">
        <v>445</v>
      </c>
      <c r="H104" s="720" t="s">
        <v>446</v>
      </c>
      <c r="I104" s="720" t="str">
        <f>CONCATENATE("Összes teljesítés ",Z_TARTALOMJEGYZÉK!$A$1,". XII.31 -ig")</f>
        <v>Összes teljesítés 2020. XII.31 -ig</v>
      </c>
      <c r="J104" s="813"/>
    </row>
    <row r="105" spans="1:10" ht="13.5" thickBot="1" x14ac:dyDescent="0.25">
      <c r="A105" s="817"/>
      <c r="B105" s="824"/>
      <c r="C105" s="829"/>
      <c r="D105" s="830" t="str">
        <f>CONCATENATE(Z_TARTALOMJEGYZÉK!$A$1,". évi")</f>
        <v>2020. évi</v>
      </c>
      <c r="E105" s="831"/>
      <c r="F105" s="832"/>
      <c r="G105" s="830" t="str">
        <f>CONCATENATE(Z_TARTALOMJEGYZÉK!$A$1,". után")</f>
        <v>2020. után</v>
      </c>
      <c r="H105" s="833"/>
      <c r="I105" s="832"/>
      <c r="J105" s="813"/>
    </row>
    <row r="106" spans="1:10" ht="13.5" thickBot="1" x14ac:dyDescent="0.25">
      <c r="A106" s="721" t="s">
        <v>384</v>
      </c>
      <c r="B106" s="722" t="s">
        <v>864</v>
      </c>
      <c r="C106" s="723" t="s">
        <v>386</v>
      </c>
      <c r="D106" s="724" t="s">
        <v>388</v>
      </c>
      <c r="E106" s="724" t="s">
        <v>387</v>
      </c>
      <c r="F106" s="723" t="s">
        <v>389</v>
      </c>
      <c r="G106" s="723" t="s">
        <v>390</v>
      </c>
      <c r="H106" s="723" t="s">
        <v>391</v>
      </c>
      <c r="I106" s="725" t="s">
        <v>863</v>
      </c>
      <c r="J106" s="813"/>
    </row>
    <row r="107" spans="1:10" x14ac:dyDescent="0.2">
      <c r="A107" s="726" t="s">
        <v>84</v>
      </c>
      <c r="B107" s="752">
        <f t="shared" ref="B107:B112" si="16">C107+E107+H107</f>
        <v>7620000</v>
      </c>
      <c r="C107" s="738"/>
      <c r="D107" s="739">
        <v>7620000</v>
      </c>
      <c r="E107" s="739">
        <v>7620000</v>
      </c>
      <c r="F107" s="749"/>
      <c r="G107" s="739"/>
      <c r="H107" s="740"/>
      <c r="I107" s="741">
        <f t="shared" ref="I107:I112" si="17">C107+F107</f>
        <v>0</v>
      </c>
      <c r="J107" s="813"/>
    </row>
    <row r="108" spans="1:10" x14ac:dyDescent="0.2">
      <c r="A108" s="727" t="s">
        <v>95</v>
      </c>
      <c r="B108" s="753">
        <f t="shared" si="16"/>
        <v>0</v>
      </c>
      <c r="C108" s="742"/>
      <c r="D108" s="742"/>
      <c r="E108" s="743"/>
      <c r="F108" s="750"/>
      <c r="G108" s="742"/>
      <c r="H108" s="743"/>
      <c r="I108" s="744">
        <f t="shared" si="17"/>
        <v>0</v>
      </c>
      <c r="J108" s="813"/>
    </row>
    <row r="109" spans="1:10" x14ac:dyDescent="0.2">
      <c r="A109" s="728" t="s">
        <v>85</v>
      </c>
      <c r="B109" s="754">
        <f t="shared" si="16"/>
        <v>89663000</v>
      </c>
      <c r="C109" s="743"/>
      <c r="D109" s="743">
        <v>89663000</v>
      </c>
      <c r="E109" s="743">
        <v>89663000</v>
      </c>
      <c r="F109" s="751">
        <v>10801360</v>
      </c>
      <c r="G109" s="743"/>
      <c r="H109" s="743"/>
      <c r="I109" s="744">
        <f t="shared" si="17"/>
        <v>10801360</v>
      </c>
      <c r="J109" s="813"/>
    </row>
    <row r="110" spans="1:10" x14ac:dyDescent="0.2">
      <c r="A110" s="728" t="s">
        <v>96</v>
      </c>
      <c r="B110" s="754">
        <f t="shared" si="16"/>
        <v>0</v>
      </c>
      <c r="C110" s="743"/>
      <c r="D110" s="743"/>
      <c r="E110" s="743"/>
      <c r="F110" s="751"/>
      <c r="G110" s="743"/>
      <c r="H110" s="743"/>
      <c r="I110" s="744">
        <f t="shared" si="17"/>
        <v>0</v>
      </c>
      <c r="J110" s="813"/>
    </row>
    <row r="111" spans="1:10" x14ac:dyDescent="0.2">
      <c r="A111" s="728" t="s">
        <v>86</v>
      </c>
      <c r="B111" s="754">
        <f t="shared" si="16"/>
        <v>0</v>
      </c>
      <c r="C111" s="743"/>
      <c r="D111" s="743"/>
      <c r="E111" s="743"/>
      <c r="F111" s="751"/>
      <c r="G111" s="743"/>
      <c r="H111" s="743"/>
      <c r="I111" s="744">
        <f t="shared" si="17"/>
        <v>0</v>
      </c>
      <c r="J111" s="813"/>
    </row>
    <row r="112" spans="1:10" ht="13.5" thickBot="1" x14ac:dyDescent="0.25">
      <c r="A112" s="728" t="s">
        <v>87</v>
      </c>
      <c r="B112" s="754">
        <f t="shared" si="16"/>
        <v>0</v>
      </c>
      <c r="C112" s="743"/>
      <c r="D112" s="743"/>
      <c r="E112" s="743"/>
      <c r="F112" s="751"/>
      <c r="G112" s="743"/>
      <c r="H112" s="743"/>
      <c r="I112" s="744">
        <f t="shared" si="17"/>
        <v>0</v>
      </c>
      <c r="J112" s="813"/>
    </row>
    <row r="113" spans="1:10" ht="13.5" thickBot="1" x14ac:dyDescent="0.25">
      <c r="A113" s="729" t="s">
        <v>88</v>
      </c>
      <c r="B113" s="755">
        <f t="shared" ref="B113:I113" si="18">B107+SUM(B109:B112)</f>
        <v>97283000</v>
      </c>
      <c r="C113" s="745">
        <f t="shared" si="18"/>
        <v>0</v>
      </c>
      <c r="D113" s="745">
        <f t="shared" si="18"/>
        <v>97283000</v>
      </c>
      <c r="E113" s="745">
        <f t="shared" si="18"/>
        <v>97283000</v>
      </c>
      <c r="F113" s="745">
        <f t="shared" si="18"/>
        <v>10801360</v>
      </c>
      <c r="G113" s="745">
        <f t="shared" si="18"/>
        <v>0</v>
      </c>
      <c r="H113" s="745">
        <f t="shared" si="18"/>
        <v>0</v>
      </c>
      <c r="I113" s="746">
        <f t="shared" si="18"/>
        <v>10801360</v>
      </c>
      <c r="J113" s="813"/>
    </row>
    <row r="114" spans="1:10" x14ac:dyDescent="0.2">
      <c r="A114" s="730" t="s">
        <v>91</v>
      </c>
      <c r="B114" s="752">
        <f>C114+E114+H114</f>
        <v>0</v>
      </c>
      <c r="C114" s="739"/>
      <c r="D114" s="739"/>
      <c r="E114" s="739"/>
      <c r="F114" s="739"/>
      <c r="G114" s="739"/>
      <c r="H114" s="739"/>
      <c r="I114" s="741">
        <f>C114+F114</f>
        <v>0</v>
      </c>
      <c r="J114" s="813"/>
    </row>
    <row r="115" spans="1:10" x14ac:dyDescent="0.2">
      <c r="A115" s="731" t="s">
        <v>92</v>
      </c>
      <c r="B115" s="754">
        <f>C115+E115+H115</f>
        <v>97283000</v>
      </c>
      <c r="C115" s="743"/>
      <c r="D115" s="743">
        <v>97283000</v>
      </c>
      <c r="E115" s="743">
        <v>97283000</v>
      </c>
      <c r="F115" s="743">
        <v>7692400</v>
      </c>
      <c r="G115" s="743"/>
      <c r="H115" s="743"/>
      <c r="I115" s="744">
        <f>C115+F115</f>
        <v>7692400</v>
      </c>
      <c r="J115" s="813"/>
    </row>
    <row r="116" spans="1:10" x14ac:dyDescent="0.2">
      <c r="A116" s="731" t="s">
        <v>93</v>
      </c>
      <c r="B116" s="754">
        <f>C116+E116+H116</f>
        <v>0</v>
      </c>
      <c r="C116" s="743"/>
      <c r="D116" s="743"/>
      <c r="E116" s="743"/>
      <c r="F116" s="743">
        <v>3108960</v>
      </c>
      <c r="G116" s="743"/>
      <c r="H116" s="743"/>
      <c r="I116" s="744">
        <f>C116+F116</f>
        <v>3108960</v>
      </c>
      <c r="J116" s="813"/>
    </row>
    <row r="117" spans="1:10" x14ac:dyDescent="0.2">
      <c r="A117" s="731" t="s">
        <v>94</v>
      </c>
      <c r="B117" s="754">
        <f>C117+E117+H117</f>
        <v>0</v>
      </c>
      <c r="C117" s="743"/>
      <c r="D117" s="743"/>
      <c r="E117" s="743"/>
      <c r="F117" s="743"/>
      <c r="G117" s="743"/>
      <c r="H117" s="743"/>
      <c r="I117" s="744">
        <f>C117+F117</f>
        <v>0</v>
      </c>
      <c r="J117" s="813"/>
    </row>
    <row r="118" spans="1:10" ht="13.5" thickBot="1" x14ac:dyDescent="0.25">
      <c r="A118" s="732"/>
      <c r="B118" s="756">
        <f>C118+E118+H118</f>
        <v>0</v>
      </c>
      <c r="C118" s="747"/>
      <c r="D118" s="747"/>
      <c r="E118" s="743"/>
      <c r="F118" s="747"/>
      <c r="G118" s="747"/>
      <c r="H118" s="743"/>
      <c r="I118" s="748">
        <f>C118+F118</f>
        <v>0</v>
      </c>
      <c r="J118" s="813"/>
    </row>
    <row r="119" spans="1:10" ht="13.5" thickBot="1" x14ac:dyDescent="0.25">
      <c r="A119" s="733" t="s">
        <v>74</v>
      </c>
      <c r="B119" s="755">
        <f t="shared" ref="B119:I119" si="19">SUM(B114:B118)</f>
        <v>97283000</v>
      </c>
      <c r="C119" s="745">
        <f t="shared" si="19"/>
        <v>0</v>
      </c>
      <c r="D119" s="745">
        <f t="shared" si="19"/>
        <v>97283000</v>
      </c>
      <c r="E119" s="745">
        <f t="shared" si="19"/>
        <v>97283000</v>
      </c>
      <c r="F119" s="745">
        <f t="shared" si="19"/>
        <v>10801360</v>
      </c>
      <c r="G119" s="745">
        <f t="shared" si="19"/>
        <v>0</v>
      </c>
      <c r="H119" s="745">
        <f t="shared" si="19"/>
        <v>0</v>
      </c>
      <c r="I119" s="746">
        <f t="shared" si="19"/>
        <v>10801360</v>
      </c>
      <c r="J119" s="813"/>
    </row>
    <row r="120" spans="1:10" x14ac:dyDescent="0.2">
      <c r="J120" s="813"/>
    </row>
    <row r="121" spans="1:10" x14ac:dyDescent="0.2">
      <c r="J121" s="813"/>
    </row>
    <row r="122" spans="1:10" ht="14.25" x14ac:dyDescent="0.2">
      <c r="A122" s="834" t="s">
        <v>861</v>
      </c>
      <c r="B122" s="834"/>
      <c r="C122" s="836" t="s">
        <v>931</v>
      </c>
      <c r="D122" s="835"/>
      <c r="E122" s="835"/>
      <c r="F122" s="835"/>
      <c r="G122" s="835"/>
      <c r="H122" s="835"/>
      <c r="I122" s="835"/>
      <c r="J122" s="813"/>
    </row>
    <row r="123" spans="1:10" ht="15.75" thickBot="1" x14ac:dyDescent="0.25">
      <c r="A123" s="718"/>
      <c r="B123" s="718"/>
      <c r="C123" s="718"/>
      <c r="D123" s="718"/>
      <c r="E123" s="718"/>
      <c r="F123" s="718"/>
      <c r="G123" s="718"/>
      <c r="H123" s="814" t="s">
        <v>846</v>
      </c>
      <c r="I123" s="814"/>
      <c r="J123" s="813"/>
    </row>
    <row r="124" spans="1:10" ht="13.5" customHeight="1" thickBot="1" x14ac:dyDescent="0.25">
      <c r="A124" s="815" t="s">
        <v>83</v>
      </c>
      <c r="B124" s="818" t="s">
        <v>443</v>
      </c>
      <c r="C124" s="819"/>
      <c r="D124" s="819"/>
      <c r="E124" s="819"/>
      <c r="F124" s="820"/>
      <c r="G124" s="820"/>
      <c r="H124" s="820"/>
      <c r="I124" s="821"/>
      <c r="J124" s="813"/>
    </row>
    <row r="125" spans="1:10" ht="13.5" customHeight="1" thickBot="1" x14ac:dyDescent="0.25">
      <c r="A125" s="816"/>
      <c r="B125" s="822" t="str">
        <f>B103</f>
        <v>Módosítás utáni összes forrás, kiadás</v>
      </c>
      <c r="C125" s="825" t="s">
        <v>859</v>
      </c>
      <c r="D125" s="826"/>
      <c r="E125" s="826"/>
      <c r="F125" s="826"/>
      <c r="G125" s="826"/>
      <c r="H125" s="826"/>
      <c r="I125" s="827"/>
      <c r="J125" s="813"/>
    </row>
    <row r="126" spans="1:10" ht="48.75" thickBot="1" x14ac:dyDescent="0.25">
      <c r="A126" s="816"/>
      <c r="B126" s="823"/>
      <c r="C126" s="828" t="str">
        <f>CONCATENATE(Z_TARTALOMJEGYZÉK!$A$1,".  előtti forrás, kiadás")</f>
        <v>2020.  előtti forrás, kiadás</v>
      </c>
      <c r="D126" s="719" t="s">
        <v>445</v>
      </c>
      <c r="E126" s="719" t="s">
        <v>446</v>
      </c>
      <c r="F126" s="720" t="str">
        <f>CONCATENATE("Összes teljesítés ",Z_TARTALOMJEGYZÉK!$A$1,". XII.31 -ig")</f>
        <v>Összes teljesítés 2020. XII.31 -ig</v>
      </c>
      <c r="G126" s="720" t="s">
        <v>445</v>
      </c>
      <c r="H126" s="720" t="s">
        <v>446</v>
      </c>
      <c r="I126" s="720" t="str">
        <f>CONCATENATE("Összes teljesítés ",Z_TARTALOMJEGYZÉK!$A$1,". XII.31 -ig")</f>
        <v>Összes teljesítés 2020. XII.31 -ig</v>
      </c>
      <c r="J126" s="813"/>
    </row>
    <row r="127" spans="1:10" ht="13.5" thickBot="1" x14ac:dyDescent="0.25">
      <c r="A127" s="817"/>
      <c r="B127" s="824"/>
      <c r="C127" s="829"/>
      <c r="D127" s="830" t="str">
        <f>CONCATENATE(Z_TARTALOMJEGYZÉK!$A$1,". évi")</f>
        <v>2020. évi</v>
      </c>
      <c r="E127" s="831"/>
      <c r="F127" s="832"/>
      <c r="G127" s="830" t="str">
        <f>CONCATENATE(Z_TARTALOMJEGYZÉK!$A$1,". után")</f>
        <v>2020. után</v>
      </c>
      <c r="H127" s="833"/>
      <c r="I127" s="832"/>
      <c r="J127" s="813"/>
    </row>
    <row r="128" spans="1:10" ht="13.5" thickBot="1" x14ac:dyDescent="0.25">
      <c r="A128" s="721" t="s">
        <v>384</v>
      </c>
      <c r="B128" s="722" t="s">
        <v>864</v>
      </c>
      <c r="C128" s="723" t="s">
        <v>386</v>
      </c>
      <c r="D128" s="724" t="s">
        <v>388</v>
      </c>
      <c r="E128" s="724" t="s">
        <v>387</v>
      </c>
      <c r="F128" s="723" t="s">
        <v>389</v>
      </c>
      <c r="G128" s="723" t="s">
        <v>390</v>
      </c>
      <c r="H128" s="723" t="s">
        <v>391</v>
      </c>
      <c r="I128" s="725" t="s">
        <v>863</v>
      </c>
      <c r="J128" s="813"/>
    </row>
    <row r="129" spans="1:10" x14ac:dyDescent="0.2">
      <c r="A129" s="726" t="s">
        <v>84</v>
      </c>
      <c r="B129" s="752">
        <f t="shared" ref="B129:B134" si="20">C129+E129+H129</f>
        <v>0</v>
      </c>
      <c r="C129" s="738"/>
      <c r="D129" s="739"/>
      <c r="E129" s="739"/>
      <c r="F129" s="749"/>
      <c r="G129" s="739"/>
      <c r="H129" s="740"/>
      <c r="I129" s="741">
        <f t="shared" ref="I129:I134" si="21">C129+F129</f>
        <v>0</v>
      </c>
      <c r="J129" s="813"/>
    </row>
    <row r="130" spans="1:10" x14ac:dyDescent="0.2">
      <c r="A130" s="727" t="s">
        <v>95</v>
      </c>
      <c r="B130" s="753">
        <f t="shared" si="20"/>
        <v>0</v>
      </c>
      <c r="C130" s="742"/>
      <c r="D130" s="742"/>
      <c r="E130" s="743"/>
      <c r="F130" s="750"/>
      <c r="G130" s="742"/>
      <c r="H130" s="743"/>
      <c r="I130" s="744">
        <f t="shared" si="21"/>
        <v>0</v>
      </c>
      <c r="J130" s="813"/>
    </row>
    <row r="131" spans="1:10" x14ac:dyDescent="0.2">
      <c r="A131" s="728" t="s">
        <v>85</v>
      </c>
      <c r="B131" s="754">
        <f t="shared" si="20"/>
        <v>13745000</v>
      </c>
      <c r="C131" s="743"/>
      <c r="D131" s="743">
        <v>13745000</v>
      </c>
      <c r="E131" s="743">
        <v>13745000</v>
      </c>
      <c r="F131" s="751">
        <v>2990708</v>
      </c>
      <c r="G131" s="743"/>
      <c r="H131" s="743"/>
      <c r="I131" s="744">
        <f t="shared" si="21"/>
        <v>2990708</v>
      </c>
      <c r="J131" s="813"/>
    </row>
    <row r="132" spans="1:10" x14ac:dyDescent="0.2">
      <c r="A132" s="728" t="s">
        <v>96</v>
      </c>
      <c r="B132" s="754">
        <f t="shared" si="20"/>
        <v>0</v>
      </c>
      <c r="C132" s="743"/>
      <c r="D132" s="743"/>
      <c r="E132" s="743"/>
      <c r="F132" s="751"/>
      <c r="G132" s="743"/>
      <c r="H132" s="743"/>
      <c r="I132" s="744">
        <f t="shared" si="21"/>
        <v>0</v>
      </c>
      <c r="J132" s="813"/>
    </row>
    <row r="133" spans="1:10" x14ac:dyDescent="0.2">
      <c r="A133" s="728" t="s">
        <v>86</v>
      </c>
      <c r="B133" s="754">
        <f t="shared" si="20"/>
        <v>0</v>
      </c>
      <c r="C133" s="743"/>
      <c r="D133" s="743"/>
      <c r="E133" s="743"/>
      <c r="F133" s="751"/>
      <c r="G133" s="743"/>
      <c r="H133" s="743"/>
      <c r="I133" s="744">
        <f t="shared" si="21"/>
        <v>0</v>
      </c>
      <c r="J133" s="813"/>
    </row>
    <row r="134" spans="1:10" ht="13.5" thickBot="1" x14ac:dyDescent="0.25">
      <c r="A134" s="728" t="s">
        <v>87</v>
      </c>
      <c r="B134" s="754">
        <f t="shared" si="20"/>
        <v>0</v>
      </c>
      <c r="C134" s="743"/>
      <c r="D134" s="743"/>
      <c r="E134" s="743"/>
      <c r="F134" s="751"/>
      <c r="G134" s="743"/>
      <c r="H134" s="743"/>
      <c r="I134" s="744">
        <f t="shared" si="21"/>
        <v>0</v>
      </c>
      <c r="J134" s="813"/>
    </row>
    <row r="135" spans="1:10" ht="13.5" thickBot="1" x14ac:dyDescent="0.25">
      <c r="A135" s="729" t="s">
        <v>88</v>
      </c>
      <c r="B135" s="755">
        <f t="shared" ref="B135:I135" si="22">B129+SUM(B131:B134)</f>
        <v>13745000</v>
      </c>
      <c r="C135" s="745">
        <f t="shared" si="22"/>
        <v>0</v>
      </c>
      <c r="D135" s="745">
        <f t="shared" si="22"/>
        <v>13745000</v>
      </c>
      <c r="E135" s="745">
        <f t="shared" si="22"/>
        <v>13745000</v>
      </c>
      <c r="F135" s="745">
        <f t="shared" si="22"/>
        <v>2990708</v>
      </c>
      <c r="G135" s="745">
        <f t="shared" si="22"/>
        <v>0</v>
      </c>
      <c r="H135" s="745">
        <f t="shared" si="22"/>
        <v>0</v>
      </c>
      <c r="I135" s="746">
        <f t="shared" si="22"/>
        <v>2990708</v>
      </c>
      <c r="J135" s="813"/>
    </row>
    <row r="136" spans="1:10" x14ac:dyDescent="0.2">
      <c r="A136" s="730" t="s">
        <v>91</v>
      </c>
      <c r="B136" s="752">
        <f>C136+E136+H136</f>
        <v>2256000</v>
      </c>
      <c r="C136" s="739"/>
      <c r="D136" s="739">
        <v>2256000</v>
      </c>
      <c r="E136" s="739">
        <v>2256000</v>
      </c>
      <c r="F136" s="739">
        <v>2507400</v>
      </c>
      <c r="G136" s="739"/>
      <c r="H136" s="739"/>
      <c r="I136" s="741">
        <f>C136+F136</f>
        <v>2507400</v>
      </c>
      <c r="J136" s="813"/>
    </row>
    <row r="137" spans="1:10" x14ac:dyDescent="0.2">
      <c r="A137" s="731" t="s">
        <v>92</v>
      </c>
      <c r="B137" s="754">
        <f>C137+E137+H137</f>
        <v>0</v>
      </c>
      <c r="C137" s="743"/>
      <c r="D137" s="743"/>
      <c r="E137" s="743"/>
      <c r="F137" s="743"/>
      <c r="G137" s="743"/>
      <c r="H137" s="743"/>
      <c r="I137" s="744">
        <f>C137+F137</f>
        <v>0</v>
      </c>
      <c r="J137" s="813"/>
    </row>
    <row r="138" spans="1:10" x14ac:dyDescent="0.2">
      <c r="A138" s="731" t="s">
        <v>93</v>
      </c>
      <c r="B138" s="754">
        <f>C138+E138+H138</f>
        <v>11489000</v>
      </c>
      <c r="C138" s="743"/>
      <c r="D138" s="743">
        <v>11489000</v>
      </c>
      <c r="E138" s="743">
        <v>11489000</v>
      </c>
      <c r="F138" s="743">
        <v>483308</v>
      </c>
      <c r="G138" s="743"/>
      <c r="H138" s="743"/>
      <c r="I138" s="744">
        <f>C138+F138</f>
        <v>483308</v>
      </c>
      <c r="J138" s="813"/>
    </row>
    <row r="139" spans="1:10" x14ac:dyDescent="0.2">
      <c r="A139" s="731" t="s">
        <v>94</v>
      </c>
      <c r="B139" s="754">
        <f>C139+E139+H139</f>
        <v>0</v>
      </c>
      <c r="C139" s="743"/>
      <c r="D139" s="743"/>
      <c r="E139" s="743"/>
      <c r="F139" s="743"/>
      <c r="G139" s="743"/>
      <c r="H139" s="743"/>
      <c r="I139" s="744">
        <f>C139+F139</f>
        <v>0</v>
      </c>
      <c r="J139" s="813"/>
    </row>
    <row r="140" spans="1:10" ht="13.5" thickBot="1" x14ac:dyDescent="0.25">
      <c r="A140" s="732"/>
      <c r="B140" s="756">
        <f>C140+E140+H140</f>
        <v>0</v>
      </c>
      <c r="C140" s="747"/>
      <c r="D140" s="747"/>
      <c r="E140" s="743"/>
      <c r="F140" s="747"/>
      <c r="G140" s="747"/>
      <c r="H140" s="743"/>
      <c r="I140" s="748">
        <f>C140+F140</f>
        <v>0</v>
      </c>
      <c r="J140" s="813"/>
    </row>
    <row r="141" spans="1:10" ht="13.5" thickBot="1" x14ac:dyDescent="0.25">
      <c r="A141" s="733" t="s">
        <v>74</v>
      </c>
      <c r="B141" s="755">
        <f t="shared" ref="B141:I141" si="23">SUM(B136:B140)</f>
        <v>13745000</v>
      </c>
      <c r="C141" s="745">
        <f t="shared" si="23"/>
        <v>0</v>
      </c>
      <c r="D141" s="745">
        <f t="shared" si="23"/>
        <v>13745000</v>
      </c>
      <c r="E141" s="745">
        <f t="shared" si="23"/>
        <v>13745000</v>
      </c>
      <c r="F141" s="745">
        <f t="shared" si="23"/>
        <v>2990708</v>
      </c>
      <c r="G141" s="745">
        <f t="shared" si="23"/>
        <v>0</v>
      </c>
      <c r="H141" s="745">
        <f t="shared" si="23"/>
        <v>0</v>
      </c>
      <c r="I141" s="746">
        <f t="shared" si="23"/>
        <v>2990708</v>
      </c>
      <c r="J141" s="813"/>
    </row>
    <row r="142" spans="1:10" x14ac:dyDescent="0.2">
      <c r="J142" s="813"/>
    </row>
    <row r="143" spans="1:10" x14ac:dyDescent="0.2">
      <c r="J143" s="813"/>
    </row>
    <row r="144" spans="1:10" ht="14.25" x14ac:dyDescent="0.2">
      <c r="A144" s="834" t="s">
        <v>861</v>
      </c>
      <c r="B144" s="834"/>
      <c r="C144" s="835"/>
      <c r="D144" s="835"/>
      <c r="E144" s="835"/>
      <c r="F144" s="835"/>
      <c r="G144" s="835"/>
      <c r="H144" s="835"/>
      <c r="I144" s="835"/>
      <c r="J144" s="813"/>
    </row>
    <row r="145" spans="1:10" ht="15.75" thickBot="1" x14ac:dyDescent="0.25">
      <c r="A145" s="718"/>
      <c r="B145" s="718"/>
      <c r="C145" s="718"/>
      <c r="D145" s="718"/>
      <c r="E145" s="718"/>
      <c r="F145" s="718"/>
      <c r="G145" s="718"/>
      <c r="H145" s="814" t="s">
        <v>846</v>
      </c>
      <c r="I145" s="814"/>
      <c r="J145" s="813"/>
    </row>
    <row r="146" spans="1:10" ht="13.5" customHeight="1" thickBot="1" x14ac:dyDescent="0.25">
      <c r="A146" s="815" t="s">
        <v>83</v>
      </c>
      <c r="B146" s="818" t="s">
        <v>443</v>
      </c>
      <c r="C146" s="819"/>
      <c r="D146" s="819"/>
      <c r="E146" s="819"/>
      <c r="F146" s="820"/>
      <c r="G146" s="820"/>
      <c r="H146" s="820"/>
      <c r="I146" s="821"/>
      <c r="J146" s="813"/>
    </row>
    <row r="147" spans="1:10" ht="13.5" customHeight="1" thickBot="1" x14ac:dyDescent="0.25">
      <c r="A147" s="816"/>
      <c r="B147" s="822" t="str">
        <f>B125</f>
        <v>Módosítás utáni összes forrás, kiadás</v>
      </c>
      <c r="C147" s="825" t="s">
        <v>859</v>
      </c>
      <c r="D147" s="826"/>
      <c r="E147" s="826"/>
      <c r="F147" s="826"/>
      <c r="G147" s="826"/>
      <c r="H147" s="826"/>
      <c r="I147" s="827"/>
      <c r="J147" s="813"/>
    </row>
    <row r="148" spans="1:10" ht="48.75" thickBot="1" x14ac:dyDescent="0.25">
      <c r="A148" s="816"/>
      <c r="B148" s="823"/>
      <c r="C148" s="828" t="str">
        <f>CONCATENATE(Z_TARTALOMJEGYZÉK!$A$1,".  előtti forrás, kiadás")</f>
        <v>2020.  előtti forrás, kiadás</v>
      </c>
      <c r="D148" s="719" t="s">
        <v>445</v>
      </c>
      <c r="E148" s="719" t="s">
        <v>446</v>
      </c>
      <c r="F148" s="720" t="str">
        <f>CONCATENATE("Összes teljesítés ",Z_TARTALOMJEGYZÉK!$A$1,". XII.31 -ig")</f>
        <v>Összes teljesítés 2020. XII.31 -ig</v>
      </c>
      <c r="G148" s="720" t="s">
        <v>445</v>
      </c>
      <c r="H148" s="720" t="s">
        <v>446</v>
      </c>
      <c r="I148" s="720" t="str">
        <f>CONCATENATE("Összes teljesítés ",Z_TARTALOMJEGYZÉK!$A$1,". XII.31 -ig")</f>
        <v>Összes teljesítés 2020. XII.31 -ig</v>
      </c>
      <c r="J148" s="813"/>
    </row>
    <row r="149" spans="1:10" ht="13.5" thickBot="1" x14ac:dyDescent="0.25">
      <c r="A149" s="817"/>
      <c r="B149" s="824"/>
      <c r="C149" s="829"/>
      <c r="D149" s="830" t="str">
        <f>CONCATENATE(Z_TARTALOMJEGYZÉK!$A$1,". évi")</f>
        <v>2020. évi</v>
      </c>
      <c r="E149" s="831"/>
      <c r="F149" s="832"/>
      <c r="G149" s="830" t="str">
        <f>CONCATENATE(Z_TARTALOMJEGYZÉK!$A$1,". után")</f>
        <v>2020. után</v>
      </c>
      <c r="H149" s="833"/>
      <c r="I149" s="832"/>
      <c r="J149" s="813"/>
    </row>
    <row r="150" spans="1:10" ht="13.5" thickBot="1" x14ac:dyDescent="0.25">
      <c r="A150" s="721" t="s">
        <v>384</v>
      </c>
      <c r="B150" s="722" t="s">
        <v>864</v>
      </c>
      <c r="C150" s="723" t="s">
        <v>386</v>
      </c>
      <c r="D150" s="724" t="s">
        <v>388</v>
      </c>
      <c r="E150" s="724" t="s">
        <v>387</v>
      </c>
      <c r="F150" s="723" t="s">
        <v>389</v>
      </c>
      <c r="G150" s="723" t="s">
        <v>390</v>
      </c>
      <c r="H150" s="723" t="s">
        <v>391</v>
      </c>
      <c r="I150" s="725" t="s">
        <v>863</v>
      </c>
      <c r="J150" s="813"/>
    </row>
    <row r="151" spans="1:10" x14ac:dyDescent="0.2">
      <c r="A151" s="726" t="s">
        <v>84</v>
      </c>
      <c r="B151" s="752">
        <f t="shared" ref="B151:B156" si="24">C151+E151+H151</f>
        <v>0</v>
      </c>
      <c r="C151" s="738"/>
      <c r="D151" s="739"/>
      <c r="E151" s="739"/>
      <c r="F151" s="749"/>
      <c r="G151" s="739"/>
      <c r="H151" s="740"/>
      <c r="I151" s="741">
        <f t="shared" ref="I151:I156" si="25">C151+F151</f>
        <v>0</v>
      </c>
      <c r="J151" s="813"/>
    </row>
    <row r="152" spans="1:10" x14ac:dyDescent="0.2">
      <c r="A152" s="727" t="s">
        <v>95</v>
      </c>
      <c r="B152" s="753">
        <f t="shared" si="24"/>
        <v>0</v>
      </c>
      <c r="C152" s="742"/>
      <c r="D152" s="742"/>
      <c r="E152" s="743"/>
      <c r="F152" s="750"/>
      <c r="G152" s="742"/>
      <c r="H152" s="743"/>
      <c r="I152" s="744">
        <f t="shared" si="25"/>
        <v>0</v>
      </c>
      <c r="J152" s="813"/>
    </row>
    <row r="153" spans="1:10" x14ac:dyDescent="0.2">
      <c r="A153" s="728" t="s">
        <v>85</v>
      </c>
      <c r="B153" s="754">
        <f t="shared" si="24"/>
        <v>0</v>
      </c>
      <c r="C153" s="743"/>
      <c r="D153" s="743"/>
      <c r="E153" s="743"/>
      <c r="F153" s="751"/>
      <c r="G153" s="743"/>
      <c r="H153" s="743"/>
      <c r="I153" s="744">
        <f t="shared" si="25"/>
        <v>0</v>
      </c>
      <c r="J153" s="813"/>
    </row>
    <row r="154" spans="1:10" x14ac:dyDescent="0.2">
      <c r="A154" s="728" t="s">
        <v>96</v>
      </c>
      <c r="B154" s="754">
        <f t="shared" si="24"/>
        <v>0</v>
      </c>
      <c r="C154" s="743"/>
      <c r="D154" s="743"/>
      <c r="E154" s="743"/>
      <c r="F154" s="751"/>
      <c r="G154" s="743"/>
      <c r="H154" s="743"/>
      <c r="I154" s="744">
        <f t="shared" si="25"/>
        <v>0</v>
      </c>
      <c r="J154" s="813"/>
    </row>
    <row r="155" spans="1:10" x14ac:dyDescent="0.2">
      <c r="A155" s="728" t="s">
        <v>86</v>
      </c>
      <c r="B155" s="754">
        <f t="shared" si="24"/>
        <v>0</v>
      </c>
      <c r="C155" s="743"/>
      <c r="D155" s="743"/>
      <c r="E155" s="743"/>
      <c r="F155" s="751"/>
      <c r="G155" s="743"/>
      <c r="H155" s="743"/>
      <c r="I155" s="744">
        <f t="shared" si="25"/>
        <v>0</v>
      </c>
      <c r="J155" s="813"/>
    </row>
    <row r="156" spans="1:10" ht="13.5" thickBot="1" x14ac:dyDescent="0.25">
      <c r="A156" s="728" t="s">
        <v>87</v>
      </c>
      <c r="B156" s="754">
        <f t="shared" si="24"/>
        <v>0</v>
      </c>
      <c r="C156" s="743"/>
      <c r="D156" s="743"/>
      <c r="E156" s="743"/>
      <c r="F156" s="751"/>
      <c r="G156" s="743"/>
      <c r="H156" s="743"/>
      <c r="I156" s="744">
        <f t="shared" si="25"/>
        <v>0</v>
      </c>
      <c r="J156" s="813"/>
    </row>
    <row r="157" spans="1:10" ht="13.5" thickBot="1" x14ac:dyDescent="0.25">
      <c r="A157" s="729" t="s">
        <v>88</v>
      </c>
      <c r="B157" s="755">
        <f t="shared" ref="B157:I157" si="26">B151+SUM(B153:B156)</f>
        <v>0</v>
      </c>
      <c r="C157" s="745">
        <f t="shared" si="26"/>
        <v>0</v>
      </c>
      <c r="D157" s="745">
        <f t="shared" si="26"/>
        <v>0</v>
      </c>
      <c r="E157" s="745">
        <f t="shared" si="26"/>
        <v>0</v>
      </c>
      <c r="F157" s="745">
        <f t="shared" si="26"/>
        <v>0</v>
      </c>
      <c r="G157" s="745">
        <f t="shared" si="26"/>
        <v>0</v>
      </c>
      <c r="H157" s="745">
        <f t="shared" si="26"/>
        <v>0</v>
      </c>
      <c r="I157" s="746">
        <f t="shared" si="26"/>
        <v>0</v>
      </c>
      <c r="J157" s="813"/>
    </row>
    <row r="158" spans="1:10" x14ac:dyDescent="0.2">
      <c r="A158" s="730" t="s">
        <v>91</v>
      </c>
      <c r="B158" s="752">
        <f>C158+E158+H158</f>
        <v>0</v>
      </c>
      <c r="C158" s="739"/>
      <c r="D158" s="739"/>
      <c r="E158" s="739"/>
      <c r="F158" s="739"/>
      <c r="G158" s="739"/>
      <c r="H158" s="739"/>
      <c r="I158" s="741">
        <f>C158+F158</f>
        <v>0</v>
      </c>
      <c r="J158" s="813"/>
    </row>
    <row r="159" spans="1:10" x14ac:dyDescent="0.2">
      <c r="A159" s="731" t="s">
        <v>92</v>
      </c>
      <c r="B159" s="754">
        <f>C159+E159+H159</f>
        <v>0</v>
      </c>
      <c r="C159" s="743"/>
      <c r="D159" s="743"/>
      <c r="E159" s="743"/>
      <c r="F159" s="743"/>
      <c r="G159" s="743"/>
      <c r="H159" s="743"/>
      <c r="I159" s="744">
        <f>C159+F159</f>
        <v>0</v>
      </c>
      <c r="J159" s="813"/>
    </row>
    <row r="160" spans="1:10" x14ac:dyDescent="0.2">
      <c r="A160" s="731" t="s">
        <v>93</v>
      </c>
      <c r="B160" s="754">
        <f>C160+E160+H160</f>
        <v>0</v>
      </c>
      <c r="C160" s="743"/>
      <c r="D160" s="743"/>
      <c r="E160" s="743"/>
      <c r="F160" s="743"/>
      <c r="G160" s="743"/>
      <c r="H160" s="743"/>
      <c r="I160" s="744">
        <f>C160+F160</f>
        <v>0</v>
      </c>
      <c r="J160" s="813"/>
    </row>
    <row r="161" spans="1:10" x14ac:dyDescent="0.2">
      <c r="A161" s="731" t="s">
        <v>94</v>
      </c>
      <c r="B161" s="754">
        <f>C161+E161+H161</f>
        <v>0</v>
      </c>
      <c r="C161" s="743"/>
      <c r="D161" s="743"/>
      <c r="E161" s="743"/>
      <c r="F161" s="743"/>
      <c r="G161" s="743"/>
      <c r="H161" s="743"/>
      <c r="I161" s="744">
        <f>C161+F161</f>
        <v>0</v>
      </c>
      <c r="J161" s="813"/>
    </row>
    <row r="162" spans="1:10" ht="13.5" thickBot="1" x14ac:dyDescent="0.25">
      <c r="A162" s="732"/>
      <c r="B162" s="756">
        <f>C162+E162+H162</f>
        <v>0</v>
      </c>
      <c r="C162" s="747"/>
      <c r="D162" s="747"/>
      <c r="E162" s="743"/>
      <c r="F162" s="747"/>
      <c r="G162" s="747"/>
      <c r="H162" s="743"/>
      <c r="I162" s="748">
        <f>C162+F162</f>
        <v>0</v>
      </c>
      <c r="J162" s="813"/>
    </row>
    <row r="163" spans="1:10" ht="13.5" thickBot="1" x14ac:dyDescent="0.25">
      <c r="A163" s="733" t="s">
        <v>74</v>
      </c>
      <c r="B163" s="755">
        <f t="shared" ref="B163:I163" si="27">SUM(B158:B162)</f>
        <v>0</v>
      </c>
      <c r="C163" s="745">
        <f t="shared" si="27"/>
        <v>0</v>
      </c>
      <c r="D163" s="745">
        <f t="shared" si="27"/>
        <v>0</v>
      </c>
      <c r="E163" s="745">
        <f t="shared" si="27"/>
        <v>0</v>
      </c>
      <c r="F163" s="745">
        <f t="shared" si="27"/>
        <v>0</v>
      </c>
      <c r="G163" s="745">
        <f t="shared" si="27"/>
        <v>0</v>
      </c>
      <c r="H163" s="745">
        <f t="shared" si="27"/>
        <v>0</v>
      </c>
      <c r="I163" s="746">
        <f t="shared" si="27"/>
        <v>0</v>
      </c>
      <c r="J163" s="813"/>
    </row>
    <row r="164" spans="1:10" x14ac:dyDescent="0.2">
      <c r="J164" s="813"/>
    </row>
    <row r="165" spans="1:10" x14ac:dyDescent="0.2">
      <c r="J165" s="813"/>
    </row>
    <row r="166" spans="1:10" ht="14.25" x14ac:dyDescent="0.2">
      <c r="A166" s="834" t="s">
        <v>861</v>
      </c>
      <c r="B166" s="834"/>
      <c r="C166" s="835"/>
      <c r="D166" s="835"/>
      <c r="E166" s="835"/>
      <c r="F166" s="835"/>
      <c r="G166" s="835"/>
      <c r="H166" s="835"/>
      <c r="I166" s="835"/>
      <c r="J166" s="813"/>
    </row>
    <row r="167" spans="1:10" ht="15.75" thickBot="1" x14ac:dyDescent="0.25">
      <c r="A167" s="718"/>
      <c r="B167" s="718"/>
      <c r="C167" s="718"/>
      <c r="D167" s="718"/>
      <c r="E167" s="718"/>
      <c r="F167" s="718"/>
      <c r="G167" s="718"/>
      <c r="H167" s="814" t="s">
        <v>846</v>
      </c>
      <c r="I167" s="814"/>
      <c r="J167" s="813"/>
    </row>
    <row r="168" spans="1:10" ht="13.5" customHeight="1" thickBot="1" x14ac:dyDescent="0.25">
      <c r="A168" s="815" t="s">
        <v>83</v>
      </c>
      <c r="B168" s="818" t="s">
        <v>443</v>
      </c>
      <c r="C168" s="819"/>
      <c r="D168" s="819"/>
      <c r="E168" s="819"/>
      <c r="F168" s="820"/>
      <c r="G168" s="820"/>
      <c r="H168" s="820"/>
      <c r="I168" s="821"/>
      <c r="J168" s="813"/>
    </row>
    <row r="169" spans="1:10" ht="13.5" customHeight="1" thickBot="1" x14ac:dyDescent="0.25">
      <c r="A169" s="816"/>
      <c r="B169" s="822" t="str">
        <f>B147</f>
        <v>Módosítás utáni összes forrás, kiadás</v>
      </c>
      <c r="C169" s="825" t="s">
        <v>859</v>
      </c>
      <c r="D169" s="826"/>
      <c r="E169" s="826"/>
      <c r="F169" s="826"/>
      <c r="G169" s="826"/>
      <c r="H169" s="826"/>
      <c r="I169" s="827"/>
      <c r="J169" s="813"/>
    </row>
    <row r="170" spans="1:10" ht="48.75" thickBot="1" x14ac:dyDescent="0.25">
      <c r="A170" s="816"/>
      <c r="B170" s="823"/>
      <c r="C170" s="828" t="str">
        <f>CONCATENATE(Z_TARTALOMJEGYZÉK!$A$1,".  előtti forrás, kiadás")</f>
        <v>2020.  előtti forrás, kiadás</v>
      </c>
      <c r="D170" s="719" t="s">
        <v>445</v>
      </c>
      <c r="E170" s="719" t="s">
        <v>446</v>
      </c>
      <c r="F170" s="720" t="str">
        <f>CONCATENATE("Összes teljesítés ",Z_TARTALOMJEGYZÉK!$A$1,". XII.31 -ig")</f>
        <v>Összes teljesítés 2020. XII.31 -ig</v>
      </c>
      <c r="G170" s="720" t="s">
        <v>445</v>
      </c>
      <c r="H170" s="720" t="s">
        <v>446</v>
      </c>
      <c r="I170" s="720" t="str">
        <f>CONCATENATE("Összes teljesítés ",Z_TARTALOMJEGYZÉK!$A$1,". XII.31 -ig")</f>
        <v>Összes teljesítés 2020. XII.31 -ig</v>
      </c>
      <c r="J170" s="813"/>
    </row>
    <row r="171" spans="1:10" ht="13.5" thickBot="1" x14ac:dyDescent="0.25">
      <c r="A171" s="817"/>
      <c r="B171" s="824"/>
      <c r="C171" s="829"/>
      <c r="D171" s="830" t="str">
        <f>CONCATENATE(Z_TARTALOMJEGYZÉK!$A$1,". évi")</f>
        <v>2020. évi</v>
      </c>
      <c r="E171" s="831"/>
      <c r="F171" s="832"/>
      <c r="G171" s="830" t="str">
        <f>CONCATENATE(Z_TARTALOMJEGYZÉK!$A$1,". után")</f>
        <v>2020. után</v>
      </c>
      <c r="H171" s="833"/>
      <c r="I171" s="832"/>
      <c r="J171" s="813"/>
    </row>
    <row r="172" spans="1:10" ht="13.5" thickBot="1" x14ac:dyDescent="0.25">
      <c r="A172" s="721" t="s">
        <v>384</v>
      </c>
      <c r="B172" s="722" t="s">
        <v>864</v>
      </c>
      <c r="C172" s="723" t="s">
        <v>386</v>
      </c>
      <c r="D172" s="724" t="s">
        <v>388</v>
      </c>
      <c r="E172" s="724" t="s">
        <v>387</v>
      </c>
      <c r="F172" s="723" t="s">
        <v>389</v>
      </c>
      <c r="G172" s="723" t="s">
        <v>390</v>
      </c>
      <c r="H172" s="723" t="s">
        <v>391</v>
      </c>
      <c r="I172" s="725" t="s">
        <v>863</v>
      </c>
      <c r="J172" s="813"/>
    </row>
    <row r="173" spans="1:10" x14ac:dyDescent="0.2">
      <c r="A173" s="726" t="s">
        <v>84</v>
      </c>
      <c r="B173" s="752">
        <f t="shared" ref="B173:B178" si="28">C173+E173+H173</f>
        <v>0</v>
      </c>
      <c r="C173" s="738"/>
      <c r="D173" s="739"/>
      <c r="E173" s="739"/>
      <c r="F173" s="749"/>
      <c r="G173" s="739"/>
      <c r="H173" s="740"/>
      <c r="I173" s="741">
        <f t="shared" ref="I173:I178" si="29">C173+F173</f>
        <v>0</v>
      </c>
      <c r="J173" s="813"/>
    </row>
    <row r="174" spans="1:10" x14ac:dyDescent="0.2">
      <c r="A174" s="727" t="s">
        <v>95</v>
      </c>
      <c r="B174" s="753">
        <f t="shared" si="28"/>
        <v>0</v>
      </c>
      <c r="C174" s="742"/>
      <c r="D174" s="742"/>
      <c r="E174" s="743"/>
      <c r="F174" s="750"/>
      <c r="G174" s="742"/>
      <c r="H174" s="743"/>
      <c r="I174" s="744">
        <f t="shared" si="29"/>
        <v>0</v>
      </c>
      <c r="J174" s="813"/>
    </row>
    <row r="175" spans="1:10" x14ac:dyDescent="0.2">
      <c r="A175" s="728" t="s">
        <v>85</v>
      </c>
      <c r="B175" s="754">
        <f t="shared" si="28"/>
        <v>0</v>
      </c>
      <c r="C175" s="743"/>
      <c r="D175" s="743"/>
      <c r="E175" s="743"/>
      <c r="F175" s="751"/>
      <c r="G175" s="743"/>
      <c r="H175" s="743"/>
      <c r="I175" s="744">
        <f t="shared" si="29"/>
        <v>0</v>
      </c>
      <c r="J175" s="813"/>
    </row>
    <row r="176" spans="1:10" x14ac:dyDescent="0.2">
      <c r="A176" s="728" t="s">
        <v>96</v>
      </c>
      <c r="B176" s="754">
        <f t="shared" si="28"/>
        <v>0</v>
      </c>
      <c r="C176" s="743"/>
      <c r="D176" s="743"/>
      <c r="E176" s="743"/>
      <c r="F176" s="751"/>
      <c r="G176" s="743"/>
      <c r="H176" s="743"/>
      <c r="I176" s="744">
        <f t="shared" si="29"/>
        <v>0</v>
      </c>
      <c r="J176" s="813"/>
    </row>
    <row r="177" spans="1:10" x14ac:dyDescent="0.2">
      <c r="A177" s="728" t="s">
        <v>86</v>
      </c>
      <c r="B177" s="754">
        <f t="shared" si="28"/>
        <v>0</v>
      </c>
      <c r="C177" s="743"/>
      <c r="D177" s="743"/>
      <c r="E177" s="743"/>
      <c r="F177" s="751"/>
      <c r="G177" s="743"/>
      <c r="H177" s="743"/>
      <c r="I177" s="744">
        <f t="shared" si="29"/>
        <v>0</v>
      </c>
      <c r="J177" s="813"/>
    </row>
    <row r="178" spans="1:10" ht="13.5" thickBot="1" x14ac:dyDescent="0.25">
      <c r="A178" s="728" t="s">
        <v>87</v>
      </c>
      <c r="B178" s="754">
        <f t="shared" si="28"/>
        <v>0</v>
      </c>
      <c r="C178" s="743"/>
      <c r="D178" s="743"/>
      <c r="E178" s="743"/>
      <c r="F178" s="751"/>
      <c r="G178" s="743"/>
      <c r="H178" s="743"/>
      <c r="I178" s="744">
        <f t="shared" si="29"/>
        <v>0</v>
      </c>
      <c r="J178" s="813"/>
    </row>
    <row r="179" spans="1:10" ht="13.5" thickBot="1" x14ac:dyDescent="0.25">
      <c r="A179" s="729" t="s">
        <v>88</v>
      </c>
      <c r="B179" s="755">
        <f t="shared" ref="B179:I179" si="30">B173+SUM(B175:B178)</f>
        <v>0</v>
      </c>
      <c r="C179" s="745">
        <f t="shared" si="30"/>
        <v>0</v>
      </c>
      <c r="D179" s="745">
        <f t="shared" si="30"/>
        <v>0</v>
      </c>
      <c r="E179" s="745">
        <f t="shared" si="30"/>
        <v>0</v>
      </c>
      <c r="F179" s="745">
        <f t="shared" si="30"/>
        <v>0</v>
      </c>
      <c r="G179" s="745">
        <f t="shared" si="30"/>
        <v>0</v>
      </c>
      <c r="H179" s="745">
        <f t="shared" si="30"/>
        <v>0</v>
      </c>
      <c r="I179" s="746">
        <f t="shared" si="30"/>
        <v>0</v>
      </c>
      <c r="J179" s="813"/>
    </row>
    <row r="180" spans="1:10" x14ac:dyDescent="0.2">
      <c r="A180" s="730" t="s">
        <v>91</v>
      </c>
      <c r="B180" s="752">
        <f>C180+E180+H180</f>
        <v>0</v>
      </c>
      <c r="C180" s="739"/>
      <c r="D180" s="739"/>
      <c r="E180" s="739"/>
      <c r="F180" s="739"/>
      <c r="G180" s="739"/>
      <c r="H180" s="739"/>
      <c r="I180" s="741">
        <f>C180+F180</f>
        <v>0</v>
      </c>
      <c r="J180" s="813"/>
    </row>
    <row r="181" spans="1:10" x14ac:dyDescent="0.2">
      <c r="A181" s="731" t="s">
        <v>92</v>
      </c>
      <c r="B181" s="754">
        <f>C181+E181+H181</f>
        <v>0</v>
      </c>
      <c r="C181" s="743"/>
      <c r="D181" s="743"/>
      <c r="E181" s="743"/>
      <c r="F181" s="743"/>
      <c r="G181" s="743"/>
      <c r="H181" s="743"/>
      <c r="I181" s="744">
        <f>C181+F181</f>
        <v>0</v>
      </c>
      <c r="J181" s="813"/>
    </row>
    <row r="182" spans="1:10" x14ac:dyDescent="0.2">
      <c r="A182" s="731" t="s">
        <v>93</v>
      </c>
      <c r="B182" s="754">
        <f>C182+E182+H182</f>
        <v>0</v>
      </c>
      <c r="C182" s="743"/>
      <c r="D182" s="743"/>
      <c r="E182" s="743"/>
      <c r="F182" s="743"/>
      <c r="G182" s="743"/>
      <c r="H182" s="743"/>
      <c r="I182" s="744">
        <f>C182+F182</f>
        <v>0</v>
      </c>
      <c r="J182" s="813"/>
    </row>
    <row r="183" spans="1:10" x14ac:dyDescent="0.2">
      <c r="A183" s="731" t="s">
        <v>94</v>
      </c>
      <c r="B183" s="754">
        <f>C183+E183+H183</f>
        <v>0</v>
      </c>
      <c r="C183" s="743"/>
      <c r="D183" s="743"/>
      <c r="E183" s="743"/>
      <c r="F183" s="743"/>
      <c r="G183" s="743"/>
      <c r="H183" s="743"/>
      <c r="I183" s="744">
        <f>C183+F183</f>
        <v>0</v>
      </c>
      <c r="J183" s="813"/>
    </row>
    <row r="184" spans="1:10" ht="13.5" thickBot="1" x14ac:dyDescent="0.25">
      <c r="A184" s="732"/>
      <c r="B184" s="756">
        <f>C184+E184+H184</f>
        <v>0</v>
      </c>
      <c r="C184" s="747"/>
      <c r="D184" s="747"/>
      <c r="E184" s="743"/>
      <c r="F184" s="747"/>
      <c r="G184" s="747"/>
      <c r="H184" s="743"/>
      <c r="I184" s="748">
        <f>C184+F184</f>
        <v>0</v>
      </c>
      <c r="J184" s="813"/>
    </row>
    <row r="185" spans="1:10" ht="13.5" thickBot="1" x14ac:dyDescent="0.25">
      <c r="A185" s="733" t="s">
        <v>74</v>
      </c>
      <c r="B185" s="755">
        <f t="shared" ref="B185:I185" si="31">SUM(B180:B184)</f>
        <v>0</v>
      </c>
      <c r="C185" s="745">
        <f t="shared" si="31"/>
        <v>0</v>
      </c>
      <c r="D185" s="745">
        <f t="shared" si="31"/>
        <v>0</v>
      </c>
      <c r="E185" s="745">
        <f t="shared" si="31"/>
        <v>0</v>
      </c>
      <c r="F185" s="745">
        <f t="shared" si="31"/>
        <v>0</v>
      </c>
      <c r="G185" s="745">
        <f t="shared" si="31"/>
        <v>0</v>
      </c>
      <c r="H185" s="745">
        <f t="shared" si="31"/>
        <v>0</v>
      </c>
      <c r="I185" s="746">
        <f t="shared" si="31"/>
        <v>0</v>
      </c>
      <c r="J185" s="813"/>
    </row>
    <row r="186" spans="1:10" x14ac:dyDescent="0.2">
      <c r="J186" s="813"/>
    </row>
    <row r="187" spans="1:10" x14ac:dyDescent="0.2">
      <c r="J187" s="813"/>
    </row>
    <row r="188" spans="1:10" ht="14.25" x14ac:dyDescent="0.2">
      <c r="A188" s="834" t="s">
        <v>861</v>
      </c>
      <c r="B188" s="834"/>
      <c r="C188" s="835"/>
      <c r="D188" s="835"/>
      <c r="E188" s="835"/>
      <c r="F188" s="835"/>
      <c r="G188" s="835"/>
      <c r="H188" s="835"/>
      <c r="I188" s="835"/>
      <c r="J188" s="813"/>
    </row>
    <row r="189" spans="1:10" ht="15.75" thickBot="1" x14ac:dyDescent="0.25">
      <c r="A189" s="718"/>
      <c r="B189" s="718"/>
      <c r="C189" s="718"/>
      <c r="D189" s="718"/>
      <c r="E189" s="718"/>
      <c r="F189" s="718"/>
      <c r="G189" s="718"/>
      <c r="H189" s="814" t="s">
        <v>846</v>
      </c>
      <c r="I189" s="814"/>
      <c r="J189" s="813"/>
    </row>
    <row r="190" spans="1:10" ht="13.5" customHeight="1" thickBot="1" x14ac:dyDescent="0.25">
      <c r="A190" s="815" t="s">
        <v>83</v>
      </c>
      <c r="B190" s="818" t="s">
        <v>443</v>
      </c>
      <c r="C190" s="819"/>
      <c r="D190" s="819"/>
      <c r="E190" s="819"/>
      <c r="F190" s="820"/>
      <c r="G190" s="820"/>
      <c r="H190" s="820"/>
      <c r="I190" s="821"/>
      <c r="J190" s="813"/>
    </row>
    <row r="191" spans="1:10" ht="13.5" customHeight="1" thickBot="1" x14ac:dyDescent="0.25">
      <c r="A191" s="816"/>
      <c r="B191" s="822" t="str">
        <f>B169</f>
        <v>Módosítás utáni összes forrás, kiadás</v>
      </c>
      <c r="C191" s="825" t="s">
        <v>859</v>
      </c>
      <c r="D191" s="826"/>
      <c r="E191" s="826"/>
      <c r="F191" s="826"/>
      <c r="G191" s="826"/>
      <c r="H191" s="826"/>
      <c r="I191" s="827"/>
      <c r="J191" s="813"/>
    </row>
    <row r="192" spans="1:10" ht="48.75" thickBot="1" x14ac:dyDescent="0.25">
      <c r="A192" s="816"/>
      <c r="B192" s="823"/>
      <c r="C192" s="828" t="str">
        <f>CONCATENATE(Z_TARTALOMJEGYZÉK!$A$1,".  előtti forrás, kiadás")</f>
        <v>2020.  előtti forrás, kiadás</v>
      </c>
      <c r="D192" s="719" t="s">
        <v>445</v>
      </c>
      <c r="E192" s="719" t="s">
        <v>446</v>
      </c>
      <c r="F192" s="720" t="str">
        <f>CONCATENATE("Összes teljesítés ",Z_TARTALOMJEGYZÉK!$A$1,". XII.31 -ig")</f>
        <v>Összes teljesítés 2020. XII.31 -ig</v>
      </c>
      <c r="G192" s="720" t="s">
        <v>445</v>
      </c>
      <c r="H192" s="720" t="s">
        <v>446</v>
      </c>
      <c r="I192" s="720" t="str">
        <f>CONCATENATE("Összes teljesítés ",Z_TARTALOMJEGYZÉK!$A$1,". XII.31 -ig")</f>
        <v>Összes teljesítés 2020. XII.31 -ig</v>
      </c>
      <c r="J192" s="813"/>
    </row>
    <row r="193" spans="1:10" ht="13.5" thickBot="1" x14ac:dyDescent="0.25">
      <c r="A193" s="817"/>
      <c r="B193" s="824"/>
      <c r="C193" s="829"/>
      <c r="D193" s="830" t="str">
        <f>CONCATENATE(Z_TARTALOMJEGYZÉK!$A$1,". évi")</f>
        <v>2020. évi</v>
      </c>
      <c r="E193" s="831"/>
      <c r="F193" s="832"/>
      <c r="G193" s="830" t="str">
        <f>CONCATENATE(Z_TARTALOMJEGYZÉK!$A$1,". után")</f>
        <v>2020. után</v>
      </c>
      <c r="H193" s="833"/>
      <c r="I193" s="832"/>
      <c r="J193" s="813"/>
    </row>
    <row r="194" spans="1:10" ht="13.5" thickBot="1" x14ac:dyDescent="0.25">
      <c r="A194" s="721" t="s">
        <v>384</v>
      </c>
      <c r="B194" s="722" t="s">
        <v>864</v>
      </c>
      <c r="C194" s="723" t="s">
        <v>386</v>
      </c>
      <c r="D194" s="724" t="s">
        <v>388</v>
      </c>
      <c r="E194" s="724" t="s">
        <v>387</v>
      </c>
      <c r="F194" s="723" t="s">
        <v>389</v>
      </c>
      <c r="G194" s="723" t="s">
        <v>390</v>
      </c>
      <c r="H194" s="723" t="s">
        <v>391</v>
      </c>
      <c r="I194" s="725" t="s">
        <v>863</v>
      </c>
      <c r="J194" s="813"/>
    </row>
    <row r="195" spans="1:10" x14ac:dyDescent="0.2">
      <c r="A195" s="726" t="s">
        <v>84</v>
      </c>
      <c r="B195" s="752">
        <f t="shared" ref="B195:B200" si="32">C195+E195+H195</f>
        <v>0</v>
      </c>
      <c r="C195" s="738"/>
      <c r="D195" s="739"/>
      <c r="E195" s="739"/>
      <c r="F195" s="749"/>
      <c r="G195" s="739"/>
      <c r="H195" s="740"/>
      <c r="I195" s="741">
        <f t="shared" ref="I195:I200" si="33">C195+F195</f>
        <v>0</v>
      </c>
      <c r="J195" s="813"/>
    </row>
    <row r="196" spans="1:10" x14ac:dyDescent="0.2">
      <c r="A196" s="727" t="s">
        <v>95</v>
      </c>
      <c r="B196" s="753">
        <f t="shared" si="32"/>
        <v>0</v>
      </c>
      <c r="C196" s="742"/>
      <c r="D196" s="742"/>
      <c r="E196" s="743"/>
      <c r="F196" s="750"/>
      <c r="G196" s="742"/>
      <c r="H196" s="743"/>
      <c r="I196" s="744">
        <f t="shared" si="33"/>
        <v>0</v>
      </c>
      <c r="J196" s="813"/>
    </row>
    <row r="197" spans="1:10" x14ac:dyDescent="0.2">
      <c r="A197" s="728" t="s">
        <v>85</v>
      </c>
      <c r="B197" s="754">
        <f t="shared" si="32"/>
        <v>0</v>
      </c>
      <c r="C197" s="743"/>
      <c r="D197" s="743"/>
      <c r="E197" s="743"/>
      <c r="F197" s="751"/>
      <c r="G197" s="743"/>
      <c r="H197" s="743"/>
      <c r="I197" s="744">
        <f t="shared" si="33"/>
        <v>0</v>
      </c>
      <c r="J197" s="813"/>
    </row>
    <row r="198" spans="1:10" x14ac:dyDescent="0.2">
      <c r="A198" s="728" t="s">
        <v>96</v>
      </c>
      <c r="B198" s="754">
        <f t="shared" si="32"/>
        <v>0</v>
      </c>
      <c r="C198" s="743"/>
      <c r="D198" s="743"/>
      <c r="E198" s="743"/>
      <c r="F198" s="751"/>
      <c r="G198" s="743"/>
      <c r="H198" s="743"/>
      <c r="I198" s="744">
        <f t="shared" si="33"/>
        <v>0</v>
      </c>
      <c r="J198" s="813"/>
    </row>
    <row r="199" spans="1:10" x14ac:dyDescent="0.2">
      <c r="A199" s="728" t="s">
        <v>86</v>
      </c>
      <c r="B199" s="754">
        <f t="shared" si="32"/>
        <v>0</v>
      </c>
      <c r="C199" s="743"/>
      <c r="D199" s="743"/>
      <c r="E199" s="743"/>
      <c r="F199" s="751"/>
      <c r="G199" s="743"/>
      <c r="H199" s="743"/>
      <c r="I199" s="744">
        <f t="shared" si="33"/>
        <v>0</v>
      </c>
      <c r="J199" s="813"/>
    </row>
    <row r="200" spans="1:10" ht="13.5" thickBot="1" x14ac:dyDescent="0.25">
      <c r="A200" s="728" t="s">
        <v>87</v>
      </c>
      <c r="B200" s="754">
        <f t="shared" si="32"/>
        <v>0</v>
      </c>
      <c r="C200" s="743"/>
      <c r="D200" s="743"/>
      <c r="E200" s="743"/>
      <c r="F200" s="751"/>
      <c r="G200" s="743"/>
      <c r="H200" s="743"/>
      <c r="I200" s="744">
        <f t="shared" si="33"/>
        <v>0</v>
      </c>
      <c r="J200" s="813"/>
    </row>
    <row r="201" spans="1:10" ht="13.5" thickBot="1" x14ac:dyDescent="0.25">
      <c r="A201" s="729" t="s">
        <v>88</v>
      </c>
      <c r="B201" s="755">
        <f t="shared" ref="B201:I201" si="34">B195+SUM(B197:B200)</f>
        <v>0</v>
      </c>
      <c r="C201" s="745">
        <f t="shared" si="34"/>
        <v>0</v>
      </c>
      <c r="D201" s="745">
        <f t="shared" si="34"/>
        <v>0</v>
      </c>
      <c r="E201" s="745">
        <f t="shared" si="34"/>
        <v>0</v>
      </c>
      <c r="F201" s="745">
        <f t="shared" si="34"/>
        <v>0</v>
      </c>
      <c r="G201" s="745">
        <f t="shared" si="34"/>
        <v>0</v>
      </c>
      <c r="H201" s="745">
        <f t="shared" si="34"/>
        <v>0</v>
      </c>
      <c r="I201" s="746">
        <f t="shared" si="34"/>
        <v>0</v>
      </c>
      <c r="J201" s="813"/>
    </row>
    <row r="202" spans="1:10" x14ac:dyDescent="0.2">
      <c r="A202" s="730" t="s">
        <v>91</v>
      </c>
      <c r="B202" s="752">
        <f>C202+E202+H202</f>
        <v>0</v>
      </c>
      <c r="C202" s="739"/>
      <c r="D202" s="739"/>
      <c r="E202" s="739"/>
      <c r="F202" s="739"/>
      <c r="G202" s="739"/>
      <c r="H202" s="739"/>
      <c r="I202" s="741">
        <f>C202+F202</f>
        <v>0</v>
      </c>
      <c r="J202" s="813"/>
    </row>
    <row r="203" spans="1:10" x14ac:dyDescent="0.2">
      <c r="A203" s="731" t="s">
        <v>92</v>
      </c>
      <c r="B203" s="754">
        <f>C203+E203+H203</f>
        <v>0</v>
      </c>
      <c r="C203" s="743"/>
      <c r="D203" s="743"/>
      <c r="E203" s="743"/>
      <c r="F203" s="743"/>
      <c r="G203" s="743"/>
      <c r="H203" s="743"/>
      <c r="I203" s="744">
        <f>C203+F203</f>
        <v>0</v>
      </c>
      <c r="J203" s="813"/>
    </row>
    <row r="204" spans="1:10" x14ac:dyDescent="0.2">
      <c r="A204" s="731" t="s">
        <v>93</v>
      </c>
      <c r="B204" s="754">
        <f>C204+E204+H204</f>
        <v>0</v>
      </c>
      <c r="C204" s="743"/>
      <c r="D204" s="743"/>
      <c r="E204" s="743"/>
      <c r="F204" s="743"/>
      <c r="G204" s="743"/>
      <c r="H204" s="743"/>
      <c r="I204" s="744">
        <f>C204+F204</f>
        <v>0</v>
      </c>
      <c r="J204" s="813"/>
    </row>
    <row r="205" spans="1:10" x14ac:dyDescent="0.2">
      <c r="A205" s="731" t="s">
        <v>94</v>
      </c>
      <c r="B205" s="754">
        <f>C205+E205+H205</f>
        <v>0</v>
      </c>
      <c r="C205" s="743"/>
      <c r="D205" s="743"/>
      <c r="E205" s="743"/>
      <c r="F205" s="743"/>
      <c r="G205" s="743"/>
      <c r="H205" s="743"/>
      <c r="I205" s="744">
        <f>C205+F205</f>
        <v>0</v>
      </c>
      <c r="J205" s="813"/>
    </row>
    <row r="206" spans="1:10" ht="13.5" thickBot="1" x14ac:dyDescent="0.25">
      <c r="A206" s="732"/>
      <c r="B206" s="756">
        <f>C206+E206+H206</f>
        <v>0</v>
      </c>
      <c r="C206" s="747"/>
      <c r="D206" s="747"/>
      <c r="E206" s="743"/>
      <c r="F206" s="747"/>
      <c r="G206" s="747"/>
      <c r="H206" s="743"/>
      <c r="I206" s="748">
        <f>C206+F206</f>
        <v>0</v>
      </c>
      <c r="J206" s="813"/>
    </row>
    <row r="207" spans="1:10" ht="13.5" thickBot="1" x14ac:dyDescent="0.25">
      <c r="A207" s="733" t="s">
        <v>74</v>
      </c>
      <c r="B207" s="755">
        <f t="shared" ref="B207:I207" si="35">SUM(B202:B206)</f>
        <v>0</v>
      </c>
      <c r="C207" s="745">
        <f t="shared" si="35"/>
        <v>0</v>
      </c>
      <c r="D207" s="745">
        <f t="shared" si="35"/>
        <v>0</v>
      </c>
      <c r="E207" s="745">
        <f t="shared" si="35"/>
        <v>0</v>
      </c>
      <c r="F207" s="745">
        <f t="shared" si="35"/>
        <v>0</v>
      </c>
      <c r="G207" s="745">
        <f t="shared" si="35"/>
        <v>0</v>
      </c>
      <c r="H207" s="745">
        <f t="shared" si="35"/>
        <v>0</v>
      </c>
      <c r="I207" s="746">
        <f t="shared" si="35"/>
        <v>0</v>
      </c>
      <c r="J207" s="813"/>
    </row>
    <row r="208" spans="1:10" x14ac:dyDescent="0.2">
      <c r="J208" s="813"/>
    </row>
    <row r="209" spans="1:10" x14ac:dyDescent="0.2">
      <c r="J209" s="813"/>
    </row>
    <row r="210" spans="1:10" ht="14.25" x14ac:dyDescent="0.2">
      <c r="A210" s="834" t="s">
        <v>861</v>
      </c>
      <c r="B210" s="834"/>
      <c r="C210" s="835"/>
      <c r="D210" s="835"/>
      <c r="E210" s="835"/>
      <c r="F210" s="835"/>
      <c r="G210" s="835"/>
      <c r="H210" s="835"/>
      <c r="I210" s="835"/>
      <c r="J210" s="813"/>
    </row>
    <row r="211" spans="1:10" ht="15.75" thickBot="1" x14ac:dyDescent="0.25">
      <c r="A211" s="718"/>
      <c r="B211" s="718"/>
      <c r="C211" s="718"/>
      <c r="D211" s="718"/>
      <c r="E211" s="718"/>
      <c r="F211" s="718"/>
      <c r="G211" s="718"/>
      <c r="H211" s="814" t="s">
        <v>846</v>
      </c>
      <c r="I211" s="814"/>
      <c r="J211" s="813"/>
    </row>
    <row r="212" spans="1:10" ht="13.5" customHeight="1" thickBot="1" x14ac:dyDescent="0.25">
      <c r="A212" s="815" t="s">
        <v>83</v>
      </c>
      <c r="B212" s="818" t="s">
        <v>443</v>
      </c>
      <c r="C212" s="819"/>
      <c r="D212" s="819"/>
      <c r="E212" s="819"/>
      <c r="F212" s="820"/>
      <c r="G212" s="820"/>
      <c r="H212" s="820"/>
      <c r="I212" s="821"/>
      <c r="J212" s="813"/>
    </row>
    <row r="213" spans="1:10" ht="13.5" customHeight="1" thickBot="1" x14ac:dyDescent="0.25">
      <c r="A213" s="816"/>
      <c r="B213" s="822" t="str">
        <f>B191</f>
        <v>Módosítás utáni összes forrás, kiadás</v>
      </c>
      <c r="C213" s="825" t="s">
        <v>859</v>
      </c>
      <c r="D213" s="826"/>
      <c r="E213" s="826"/>
      <c r="F213" s="826"/>
      <c r="G213" s="826"/>
      <c r="H213" s="826"/>
      <c r="I213" s="827"/>
      <c r="J213" s="813"/>
    </row>
    <row r="214" spans="1:10" ht="48.75" thickBot="1" x14ac:dyDescent="0.25">
      <c r="A214" s="816"/>
      <c r="B214" s="823"/>
      <c r="C214" s="828" t="str">
        <f>CONCATENATE(Z_TARTALOMJEGYZÉK!$A$1,".  előtti forrás, kiadás")</f>
        <v>2020.  előtti forrás, kiadás</v>
      </c>
      <c r="D214" s="719" t="s">
        <v>445</v>
      </c>
      <c r="E214" s="719" t="s">
        <v>446</v>
      </c>
      <c r="F214" s="720" t="str">
        <f>CONCATENATE("Összes teljesítés ",Z_TARTALOMJEGYZÉK!$A$1,". XII.31 -ig")</f>
        <v>Összes teljesítés 2020. XII.31 -ig</v>
      </c>
      <c r="G214" s="720" t="s">
        <v>445</v>
      </c>
      <c r="H214" s="720" t="s">
        <v>446</v>
      </c>
      <c r="I214" s="720" t="str">
        <f>CONCATENATE("Összes teljesítés ",Z_TARTALOMJEGYZÉK!$A$1,". XII.31 -ig")</f>
        <v>Összes teljesítés 2020. XII.31 -ig</v>
      </c>
      <c r="J214" s="813"/>
    </row>
    <row r="215" spans="1:10" ht="13.5" thickBot="1" x14ac:dyDescent="0.25">
      <c r="A215" s="817"/>
      <c r="B215" s="824"/>
      <c r="C215" s="829"/>
      <c r="D215" s="830" t="str">
        <f>CONCATENATE(Z_TARTALOMJEGYZÉK!$A$1,". évi")</f>
        <v>2020. évi</v>
      </c>
      <c r="E215" s="831"/>
      <c r="F215" s="832"/>
      <c r="G215" s="830" t="str">
        <f>CONCATENATE(Z_TARTALOMJEGYZÉK!$A$1,". után")</f>
        <v>2020. után</v>
      </c>
      <c r="H215" s="833"/>
      <c r="I215" s="832"/>
      <c r="J215" s="813"/>
    </row>
    <row r="216" spans="1:10" ht="13.5" thickBot="1" x14ac:dyDescent="0.25">
      <c r="A216" s="721" t="s">
        <v>384</v>
      </c>
      <c r="B216" s="722" t="s">
        <v>864</v>
      </c>
      <c r="C216" s="723" t="s">
        <v>386</v>
      </c>
      <c r="D216" s="724" t="s">
        <v>388</v>
      </c>
      <c r="E216" s="724" t="s">
        <v>387</v>
      </c>
      <c r="F216" s="723" t="s">
        <v>389</v>
      </c>
      <c r="G216" s="723" t="s">
        <v>390</v>
      </c>
      <c r="H216" s="723" t="s">
        <v>391</v>
      </c>
      <c r="I216" s="725" t="s">
        <v>863</v>
      </c>
      <c r="J216" s="813"/>
    </row>
    <row r="217" spans="1:10" x14ac:dyDescent="0.2">
      <c r="A217" s="726" t="s">
        <v>84</v>
      </c>
      <c r="B217" s="752">
        <f t="shared" ref="B217:B222" si="36">C217+E217+H217</f>
        <v>0</v>
      </c>
      <c r="C217" s="738"/>
      <c r="D217" s="739"/>
      <c r="E217" s="739"/>
      <c r="F217" s="749"/>
      <c r="G217" s="739"/>
      <c r="H217" s="740"/>
      <c r="I217" s="741">
        <f t="shared" ref="I217:I222" si="37">C217+F217</f>
        <v>0</v>
      </c>
      <c r="J217" s="813"/>
    </row>
    <row r="218" spans="1:10" x14ac:dyDescent="0.2">
      <c r="A218" s="727" t="s">
        <v>95</v>
      </c>
      <c r="B218" s="753">
        <f t="shared" si="36"/>
        <v>0</v>
      </c>
      <c r="C218" s="742"/>
      <c r="D218" s="742"/>
      <c r="E218" s="743"/>
      <c r="F218" s="750"/>
      <c r="G218" s="742"/>
      <c r="H218" s="743"/>
      <c r="I218" s="744">
        <f t="shared" si="37"/>
        <v>0</v>
      </c>
      <c r="J218" s="813"/>
    </row>
    <row r="219" spans="1:10" x14ac:dyDescent="0.2">
      <c r="A219" s="728" t="s">
        <v>85</v>
      </c>
      <c r="B219" s="754">
        <f t="shared" si="36"/>
        <v>0</v>
      </c>
      <c r="C219" s="743"/>
      <c r="D219" s="743"/>
      <c r="E219" s="743"/>
      <c r="F219" s="751"/>
      <c r="G219" s="743"/>
      <c r="H219" s="743"/>
      <c r="I219" s="744">
        <f t="shared" si="37"/>
        <v>0</v>
      </c>
      <c r="J219" s="813"/>
    </row>
    <row r="220" spans="1:10" x14ac:dyDescent="0.2">
      <c r="A220" s="728" t="s">
        <v>96</v>
      </c>
      <c r="B220" s="754">
        <f t="shared" si="36"/>
        <v>0</v>
      </c>
      <c r="C220" s="743"/>
      <c r="D220" s="743"/>
      <c r="E220" s="743"/>
      <c r="F220" s="751"/>
      <c r="G220" s="743"/>
      <c r="H220" s="743"/>
      <c r="I220" s="744">
        <f t="shared" si="37"/>
        <v>0</v>
      </c>
      <c r="J220" s="813"/>
    </row>
    <row r="221" spans="1:10" x14ac:dyDescent="0.2">
      <c r="A221" s="728" t="s">
        <v>86</v>
      </c>
      <c r="B221" s="754">
        <f t="shared" si="36"/>
        <v>0</v>
      </c>
      <c r="C221" s="743"/>
      <c r="D221" s="743"/>
      <c r="E221" s="743"/>
      <c r="F221" s="751"/>
      <c r="G221" s="743"/>
      <c r="H221" s="743"/>
      <c r="I221" s="744">
        <f t="shared" si="37"/>
        <v>0</v>
      </c>
      <c r="J221" s="813"/>
    </row>
    <row r="222" spans="1:10" ht="13.5" thickBot="1" x14ac:dyDescent="0.25">
      <c r="A222" s="728" t="s">
        <v>87</v>
      </c>
      <c r="B222" s="754">
        <f t="shared" si="36"/>
        <v>0</v>
      </c>
      <c r="C222" s="743"/>
      <c r="D222" s="743"/>
      <c r="E222" s="743"/>
      <c r="F222" s="751"/>
      <c r="G222" s="743"/>
      <c r="H222" s="743"/>
      <c r="I222" s="744">
        <f t="shared" si="37"/>
        <v>0</v>
      </c>
      <c r="J222" s="813"/>
    </row>
    <row r="223" spans="1:10" ht="13.5" thickBot="1" x14ac:dyDescent="0.25">
      <c r="A223" s="729" t="s">
        <v>88</v>
      </c>
      <c r="B223" s="755">
        <f t="shared" ref="B223:I223" si="38">B217+SUM(B219:B222)</f>
        <v>0</v>
      </c>
      <c r="C223" s="745">
        <f t="shared" si="38"/>
        <v>0</v>
      </c>
      <c r="D223" s="745">
        <f t="shared" si="38"/>
        <v>0</v>
      </c>
      <c r="E223" s="745">
        <f t="shared" si="38"/>
        <v>0</v>
      </c>
      <c r="F223" s="745">
        <f t="shared" si="38"/>
        <v>0</v>
      </c>
      <c r="G223" s="745">
        <f t="shared" si="38"/>
        <v>0</v>
      </c>
      <c r="H223" s="745">
        <f t="shared" si="38"/>
        <v>0</v>
      </c>
      <c r="I223" s="746">
        <f t="shared" si="38"/>
        <v>0</v>
      </c>
      <c r="J223" s="813"/>
    </row>
    <row r="224" spans="1:10" x14ac:dyDescent="0.2">
      <c r="A224" s="730" t="s">
        <v>91</v>
      </c>
      <c r="B224" s="752">
        <f>C224+E224+H224</f>
        <v>0</v>
      </c>
      <c r="C224" s="739"/>
      <c r="D224" s="739"/>
      <c r="E224" s="739"/>
      <c r="F224" s="739"/>
      <c r="G224" s="739"/>
      <c r="H224" s="739"/>
      <c r="I224" s="741">
        <f>C224+F224</f>
        <v>0</v>
      </c>
      <c r="J224" s="813"/>
    </row>
    <row r="225" spans="1:10" x14ac:dyDescent="0.2">
      <c r="A225" s="731" t="s">
        <v>92</v>
      </c>
      <c r="B225" s="754">
        <f>C225+E225+H225</f>
        <v>0</v>
      </c>
      <c r="C225" s="743"/>
      <c r="D225" s="743"/>
      <c r="E225" s="743"/>
      <c r="F225" s="743"/>
      <c r="G225" s="743"/>
      <c r="H225" s="743"/>
      <c r="I225" s="744">
        <f>C225+F225</f>
        <v>0</v>
      </c>
      <c r="J225" s="813"/>
    </row>
    <row r="226" spans="1:10" x14ac:dyDescent="0.2">
      <c r="A226" s="731" t="s">
        <v>93</v>
      </c>
      <c r="B226" s="754">
        <f>C226+E226+H226</f>
        <v>0</v>
      </c>
      <c r="C226" s="743"/>
      <c r="D226" s="743"/>
      <c r="E226" s="743"/>
      <c r="F226" s="743"/>
      <c r="G226" s="743"/>
      <c r="H226" s="743"/>
      <c r="I226" s="744">
        <f>C226+F226</f>
        <v>0</v>
      </c>
      <c r="J226" s="813"/>
    </row>
    <row r="227" spans="1:10" x14ac:dyDescent="0.2">
      <c r="A227" s="731" t="s">
        <v>94</v>
      </c>
      <c r="B227" s="754">
        <f>C227+E227+H227</f>
        <v>0</v>
      </c>
      <c r="C227" s="743"/>
      <c r="D227" s="743"/>
      <c r="E227" s="743"/>
      <c r="F227" s="743"/>
      <c r="G227" s="743"/>
      <c r="H227" s="743"/>
      <c r="I227" s="744">
        <f>C227+F227</f>
        <v>0</v>
      </c>
      <c r="J227" s="813"/>
    </row>
    <row r="228" spans="1:10" ht="13.5" thickBot="1" x14ac:dyDescent="0.25">
      <c r="A228" s="732"/>
      <c r="B228" s="756">
        <f>C228+E228+H228</f>
        <v>0</v>
      </c>
      <c r="C228" s="747"/>
      <c r="D228" s="747"/>
      <c r="E228" s="743"/>
      <c r="F228" s="747"/>
      <c r="G228" s="747"/>
      <c r="H228" s="743"/>
      <c r="I228" s="748">
        <f>C228+F228</f>
        <v>0</v>
      </c>
      <c r="J228" s="813"/>
    </row>
    <row r="229" spans="1:10" ht="13.5" thickBot="1" x14ac:dyDescent="0.25">
      <c r="A229" s="733" t="s">
        <v>74</v>
      </c>
      <c r="B229" s="755">
        <f t="shared" ref="B229:I229" si="39">SUM(B224:B228)</f>
        <v>0</v>
      </c>
      <c r="C229" s="745">
        <f t="shared" si="39"/>
        <v>0</v>
      </c>
      <c r="D229" s="745">
        <f t="shared" si="39"/>
        <v>0</v>
      </c>
      <c r="E229" s="745">
        <f t="shared" si="39"/>
        <v>0</v>
      </c>
      <c r="F229" s="745">
        <f t="shared" si="39"/>
        <v>0</v>
      </c>
      <c r="G229" s="745">
        <f t="shared" si="39"/>
        <v>0</v>
      </c>
      <c r="H229" s="745">
        <f t="shared" si="39"/>
        <v>0</v>
      </c>
      <c r="I229" s="746">
        <f t="shared" si="39"/>
        <v>0</v>
      </c>
      <c r="J229" s="813"/>
    </row>
    <row r="230" spans="1:10" x14ac:dyDescent="0.2">
      <c r="J230" s="813"/>
    </row>
    <row r="231" spans="1:10" x14ac:dyDescent="0.2">
      <c r="J231" s="813"/>
    </row>
  </sheetData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">
    <tabColor rgb="FF92D050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9" t="s">
        <v>943</v>
      </c>
      <c r="C1" s="860"/>
      <c r="D1" s="860"/>
      <c r="E1" s="860"/>
    </row>
    <row r="2" spans="1:5" s="51" customFormat="1" ht="21.2" customHeight="1" thickBot="1" x14ac:dyDescent="0.25">
      <c r="A2" s="337" t="s">
        <v>44</v>
      </c>
      <c r="B2" s="858" t="str">
        <f>CONCATENATE(Z_ALAPADATOK!A3)</f>
        <v>Gönc Város Önkormányzata</v>
      </c>
      <c r="C2" s="858"/>
      <c r="D2" s="858"/>
      <c r="E2" s="338" t="s">
        <v>38</v>
      </c>
    </row>
    <row r="3" spans="1:5" s="51" customFormat="1" ht="24.75" thickBot="1" x14ac:dyDescent="0.25">
      <c r="A3" s="337" t="s">
        <v>135</v>
      </c>
      <c r="B3" s="858" t="s">
        <v>302</v>
      </c>
      <c r="C3" s="858"/>
      <c r="D3" s="858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384</v>
      </c>
      <c r="B6" s="78" t="s">
        <v>385</v>
      </c>
      <c r="C6" s="78" t="s">
        <v>386</v>
      </c>
      <c r="D6" s="290" t="s">
        <v>388</v>
      </c>
      <c r="E6" s="79" t="s">
        <v>387</v>
      </c>
    </row>
    <row r="7" spans="1:5" s="47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441095000</v>
      </c>
      <c r="D8" s="257">
        <f>+D9+D10+D11+D12+D13+D14</f>
        <v>430196850</v>
      </c>
      <c r="E8" s="105">
        <f>+E9+E10+E11+E12+E13+E14</f>
        <v>430196850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148052716</v>
      </c>
      <c r="D9" s="258">
        <v>170383149</v>
      </c>
      <c r="E9" s="107">
        <v>170383149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51074150</v>
      </c>
      <c r="D10" s="259">
        <v>55594125</v>
      </c>
      <c r="E10" s="106">
        <v>55594125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156765192</v>
      </c>
      <c r="D11" s="259">
        <v>183082621</v>
      </c>
      <c r="E11" s="106">
        <v>183082621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2542032</v>
      </c>
      <c r="D12" s="259">
        <v>4021434</v>
      </c>
      <c r="E12" s="106">
        <v>4021434</v>
      </c>
    </row>
    <row r="13" spans="1:5" s="54" customFormat="1" ht="12" customHeight="1" x14ac:dyDescent="0.2">
      <c r="A13" s="200" t="s">
        <v>97</v>
      </c>
      <c r="B13" s="183" t="s">
        <v>392</v>
      </c>
      <c r="C13" s="170">
        <v>82660910</v>
      </c>
      <c r="D13" s="259">
        <v>17115521</v>
      </c>
      <c r="E13" s="106">
        <v>17115521</v>
      </c>
    </row>
    <row r="14" spans="1:5" s="53" customFormat="1" ht="12" customHeight="1" thickBot="1" x14ac:dyDescent="0.25">
      <c r="A14" s="201" t="s">
        <v>67</v>
      </c>
      <c r="B14" s="184" t="s">
        <v>333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153680000</v>
      </c>
      <c r="D15" s="257">
        <f>+D16+D17+D18+D19+D20</f>
        <v>372133363</v>
      </c>
      <c r="E15" s="105">
        <f>+E16+E17+E18+E19+E20</f>
        <v>208683714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324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325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153680000</v>
      </c>
      <c r="D20" s="259">
        <v>372133363</v>
      </c>
      <c r="E20" s="106">
        <v>208683714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120071000</v>
      </c>
      <c r="D22" s="257">
        <f>+D23+D24+D25+D26+D27</f>
        <v>222199546</v>
      </c>
      <c r="E22" s="105">
        <f>+E23+E24+E25+E26+E27</f>
        <v>124448510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326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327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120071000</v>
      </c>
      <c r="D27" s="259">
        <v>222199546</v>
      </c>
      <c r="E27" s="106">
        <v>124448510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475</v>
      </c>
      <c r="C29" s="175">
        <f>SUM(C30:C36)</f>
        <v>40050000</v>
      </c>
      <c r="D29" s="175">
        <f>SUM(D30:D36)</f>
        <v>40050000</v>
      </c>
      <c r="E29" s="211">
        <f>SUM(E30:E36)</f>
        <v>37274492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>
        <v>50000</v>
      </c>
      <c r="D31" s="170">
        <v>50000</v>
      </c>
      <c r="E31" s="106">
        <v>7700</v>
      </c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28000000</v>
      </c>
      <c r="D32" s="170">
        <v>28000000</v>
      </c>
      <c r="E32" s="106">
        <v>25822837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479</v>
      </c>
      <c r="B34" s="182" t="str">
        <f>'Z_1.1.sz.mell.'!B37</f>
        <v>Gépjárműadó</v>
      </c>
      <c r="C34" s="170">
        <v>4000000</v>
      </c>
      <c r="D34" s="170">
        <v>4000000</v>
      </c>
      <c r="E34" s="106"/>
    </row>
    <row r="35" spans="1:5" s="54" customFormat="1" ht="12" customHeight="1" x14ac:dyDescent="0.2">
      <c r="A35" s="200" t="s">
        <v>480</v>
      </c>
      <c r="B35" s="182" t="str">
        <f>'Z_1.1.sz.mell.'!B38</f>
        <v>Egyéb közhatalmi bevétel</v>
      </c>
      <c r="C35" s="170"/>
      <c r="D35" s="170"/>
      <c r="E35" s="106">
        <v>2344121</v>
      </c>
    </row>
    <row r="36" spans="1:5" s="54" customFormat="1" ht="12" customHeight="1" thickBot="1" x14ac:dyDescent="0.25">
      <c r="A36" s="201" t="s">
        <v>481</v>
      </c>
      <c r="B36" s="182" t="str">
        <f>'Z_1.1.sz.mell.'!B39</f>
        <v>Kommunális adó</v>
      </c>
      <c r="C36" s="172">
        <v>8000000</v>
      </c>
      <c r="D36" s="172">
        <v>8000000</v>
      </c>
      <c r="E36" s="108">
        <v>9099834</v>
      </c>
    </row>
    <row r="37" spans="1:5" s="54" customFormat="1" ht="12" customHeight="1" thickBot="1" x14ac:dyDescent="0.25">
      <c r="A37" s="25" t="s">
        <v>10</v>
      </c>
      <c r="B37" s="19" t="s">
        <v>334</v>
      </c>
      <c r="C37" s="169">
        <f>SUM(C38:C48)</f>
        <v>15968000</v>
      </c>
      <c r="D37" s="257">
        <f>SUM(D38:D48)</f>
        <v>15968000</v>
      </c>
      <c r="E37" s="105">
        <f>SUM(E38:E48)</f>
        <v>17935549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>
        <v>579500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4170000</v>
      </c>
      <c r="D39" s="259">
        <v>4170000</v>
      </c>
      <c r="E39" s="106">
        <v>6377232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4045000</v>
      </c>
      <c r="D40" s="259">
        <v>4045000</v>
      </c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>
        <v>5085000</v>
      </c>
      <c r="D42" s="259">
        <v>5085000</v>
      </c>
      <c r="E42" s="106">
        <v>5545550</v>
      </c>
    </row>
    <row r="43" spans="1:5" s="54" customFormat="1" ht="12" customHeight="1" x14ac:dyDescent="0.2">
      <c r="A43" s="200" t="s">
        <v>116</v>
      </c>
      <c r="B43" s="183" t="s">
        <v>189</v>
      </c>
      <c r="C43" s="170">
        <v>2668000</v>
      </c>
      <c r="D43" s="259">
        <v>2668000</v>
      </c>
      <c r="E43" s="106">
        <v>3688989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482</v>
      </c>
      <c r="C45" s="170"/>
      <c r="D45" s="259"/>
      <c r="E45" s="106">
        <v>128034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336</v>
      </c>
      <c r="C47" s="174"/>
      <c r="D47" s="292"/>
      <c r="E47" s="110">
        <v>677818</v>
      </c>
    </row>
    <row r="48" spans="1:5" s="54" customFormat="1" ht="12" customHeight="1" thickBot="1" x14ac:dyDescent="0.25">
      <c r="A48" s="201" t="s">
        <v>335</v>
      </c>
      <c r="B48" s="184" t="s">
        <v>193</v>
      </c>
      <c r="C48" s="174"/>
      <c r="D48" s="292"/>
      <c r="E48" s="110">
        <v>938426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5939370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5839370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>
        <v>100000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71418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328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>
        <v>71418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2035000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329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>
        <v>2035000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770864000</v>
      </c>
      <c r="D65" s="261">
        <f>+D8+D15+D22+D29+D37+D49+D55+D60</f>
        <v>1080547759</v>
      </c>
      <c r="E65" s="211">
        <f>+E8+E15+E22+E29+E37+E49+E55+E60</f>
        <v>826584903</v>
      </c>
    </row>
    <row r="66" spans="1:5" s="54" customFormat="1" ht="12" customHeight="1" thickBot="1" x14ac:dyDescent="0.2">
      <c r="A66" s="202" t="s">
        <v>298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361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489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490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913076000</v>
      </c>
      <c r="D75" s="169">
        <f>SUM(D76:D77)</f>
        <v>948487967</v>
      </c>
      <c r="E75" s="105">
        <f>SUM(E76:E77)</f>
        <v>999277314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913076000</v>
      </c>
      <c r="D76" s="173">
        <v>948487967</v>
      </c>
      <c r="E76" s="109">
        <v>999277314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16034856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16034856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491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375</v>
      </c>
      <c r="C87" s="225"/>
      <c r="D87" s="225"/>
      <c r="E87" s="226"/>
    </row>
    <row r="88" spans="1:5" s="53" customFormat="1" ht="12" customHeight="1" thickBot="1" x14ac:dyDescent="0.2">
      <c r="A88" s="202" t="s">
        <v>393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394</v>
      </c>
      <c r="B89" s="189" t="s">
        <v>378</v>
      </c>
      <c r="C89" s="175">
        <f>+C66+C70+C75+C78+C82+C88+C87</f>
        <v>913076000</v>
      </c>
      <c r="D89" s="175">
        <f>+D66+D70+D75+D78+D82+D88+D87</f>
        <v>948487967</v>
      </c>
      <c r="E89" s="211">
        <f>+E66+E70+E75+E78+E82+E88+E87</f>
        <v>1015312170</v>
      </c>
    </row>
    <row r="90" spans="1:5" s="53" customFormat="1" ht="12" customHeight="1" thickBot="1" x14ac:dyDescent="0.2">
      <c r="A90" s="206" t="s">
        <v>395</v>
      </c>
      <c r="B90" s="190" t="s">
        <v>396</v>
      </c>
      <c r="C90" s="175">
        <f>+C65+C89</f>
        <v>1683940000</v>
      </c>
      <c r="D90" s="175">
        <f>+D65+D89</f>
        <v>2029035726</v>
      </c>
      <c r="E90" s="211">
        <f>+E65+E89</f>
        <v>1841897073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5" t="s">
        <v>40</v>
      </c>
      <c r="B92" s="856"/>
      <c r="C92" s="856"/>
      <c r="D92" s="856"/>
      <c r="E92" s="857"/>
    </row>
    <row r="93" spans="1:5" s="55" customFormat="1" ht="12" customHeight="1" thickBot="1" x14ac:dyDescent="0.25">
      <c r="A93" s="176" t="s">
        <v>6</v>
      </c>
      <c r="B93" s="24" t="s">
        <v>400</v>
      </c>
      <c r="C93" s="168">
        <f>+C94+C95+C96+C97+C98+C111</f>
        <v>391227000</v>
      </c>
      <c r="D93" s="168">
        <f>+D94+D95+D96+D97+D98+D111</f>
        <v>643990598</v>
      </c>
      <c r="E93" s="240">
        <f>+E94+E95+E96+E97+E98+E111</f>
        <v>525712197</v>
      </c>
    </row>
    <row r="94" spans="1:5" ht="12" customHeight="1" x14ac:dyDescent="0.2">
      <c r="A94" s="207" t="s">
        <v>63</v>
      </c>
      <c r="B94" s="8" t="s">
        <v>35</v>
      </c>
      <c r="C94" s="247">
        <v>119101000</v>
      </c>
      <c r="D94" s="247">
        <v>181171000</v>
      </c>
      <c r="E94" s="241">
        <v>147270260</v>
      </c>
    </row>
    <row r="95" spans="1:5" ht="12" customHeight="1" x14ac:dyDescent="0.2">
      <c r="A95" s="200" t="s">
        <v>64</v>
      </c>
      <c r="B95" s="6" t="s">
        <v>122</v>
      </c>
      <c r="C95" s="170">
        <v>14602000</v>
      </c>
      <c r="D95" s="170">
        <v>23102000</v>
      </c>
      <c r="E95" s="106">
        <v>14455125</v>
      </c>
    </row>
    <row r="96" spans="1:5" ht="12" customHeight="1" x14ac:dyDescent="0.2">
      <c r="A96" s="200" t="s">
        <v>65</v>
      </c>
      <c r="B96" s="6" t="s">
        <v>90</v>
      </c>
      <c r="C96" s="172">
        <v>171515000</v>
      </c>
      <c r="D96" s="170">
        <v>246832767</v>
      </c>
      <c r="E96" s="108">
        <v>207331087</v>
      </c>
    </row>
    <row r="97" spans="1:5" ht="12" customHeight="1" x14ac:dyDescent="0.2">
      <c r="A97" s="200" t="s">
        <v>66</v>
      </c>
      <c r="B97" s="9" t="s">
        <v>123</v>
      </c>
      <c r="C97" s="172">
        <v>5155000</v>
      </c>
      <c r="D97" s="260">
        <v>14197000</v>
      </c>
      <c r="E97" s="108">
        <v>2542400</v>
      </c>
    </row>
    <row r="98" spans="1:5" ht="12" customHeight="1" x14ac:dyDescent="0.2">
      <c r="A98" s="200" t="s">
        <v>75</v>
      </c>
      <c r="B98" s="17" t="s">
        <v>124</v>
      </c>
      <c r="C98" s="172">
        <v>80854000</v>
      </c>
      <c r="D98" s="260">
        <v>178687831</v>
      </c>
      <c r="E98" s="108">
        <v>154113325</v>
      </c>
    </row>
    <row r="99" spans="1:5" ht="12" customHeight="1" x14ac:dyDescent="0.2">
      <c r="A99" s="200" t="s">
        <v>67</v>
      </c>
      <c r="B99" s="6" t="s">
        <v>397</v>
      </c>
      <c r="C99" s="172"/>
      <c r="D99" s="260">
        <v>4272678</v>
      </c>
      <c r="E99" s="108">
        <v>4272678</v>
      </c>
    </row>
    <row r="100" spans="1:5" ht="12" customHeight="1" x14ac:dyDescent="0.2">
      <c r="A100" s="200" t="s">
        <v>68</v>
      </c>
      <c r="B100" s="65" t="s">
        <v>341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340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80854000</v>
      </c>
      <c r="D105" s="260">
        <v>172634713</v>
      </c>
      <c r="E105" s="108">
        <v>148060207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338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339</v>
      </c>
      <c r="B110" s="66" t="s">
        <v>266</v>
      </c>
      <c r="C110" s="170"/>
      <c r="D110" s="259">
        <v>1780440</v>
      </c>
      <c r="E110" s="106">
        <v>1780440</v>
      </c>
    </row>
    <row r="111" spans="1:5" ht="12" customHeight="1" x14ac:dyDescent="0.2">
      <c r="A111" s="200" t="s">
        <v>343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344</v>
      </c>
      <c r="B112" s="6" t="s">
        <v>398</v>
      </c>
      <c r="C112" s="172"/>
      <c r="D112" s="260"/>
      <c r="E112" s="108"/>
    </row>
    <row r="113" spans="1:5" ht="12" customHeight="1" thickBot="1" x14ac:dyDescent="0.25">
      <c r="A113" s="209" t="s">
        <v>345</v>
      </c>
      <c r="B113" s="68" t="s">
        <v>399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1019041000</v>
      </c>
      <c r="D114" s="257">
        <f>+D115+D117+D119</f>
        <v>1069338675</v>
      </c>
      <c r="E114" s="105">
        <f>+E115+E117+E119</f>
        <v>684927153</v>
      </c>
    </row>
    <row r="115" spans="1:5" ht="12" customHeight="1" x14ac:dyDescent="0.2">
      <c r="A115" s="199" t="s">
        <v>69</v>
      </c>
      <c r="B115" s="6" t="s">
        <v>143</v>
      </c>
      <c r="C115" s="171">
        <v>884935000</v>
      </c>
      <c r="D115" s="258">
        <v>871325926</v>
      </c>
      <c r="E115" s="107">
        <v>505652593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134106000</v>
      </c>
      <c r="D117" s="259">
        <v>198012749</v>
      </c>
      <c r="E117" s="106">
        <v>179274560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330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348</v>
      </c>
      <c r="C128" s="169">
        <f>+C93+C114</f>
        <v>1410268000</v>
      </c>
      <c r="D128" s="257">
        <f>+D93+D114</f>
        <v>1713329273</v>
      </c>
      <c r="E128" s="105">
        <f>+E93+E114</f>
        <v>1210639350</v>
      </c>
    </row>
    <row r="129" spans="1:11" ht="12" customHeight="1" thickBot="1" x14ac:dyDescent="0.25">
      <c r="A129" s="25" t="s">
        <v>9</v>
      </c>
      <c r="B129" s="59" t="s">
        <v>349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403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357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402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350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359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351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352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401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354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355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416</v>
      </c>
      <c r="C140" s="175">
        <f>+C141+C142+C144+C145+C143</f>
        <v>273672000</v>
      </c>
      <c r="D140" s="261">
        <f>+D141+D142+D144+D145+D143</f>
        <v>315706453</v>
      </c>
      <c r="E140" s="211">
        <f>+E141+E142+E144+E145+E143</f>
        <v>257709583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>
        <v>14337363</v>
      </c>
      <c r="E142" s="106">
        <v>14337363</v>
      </c>
    </row>
    <row r="143" spans="1:11" ht="12" customHeight="1" x14ac:dyDescent="0.2">
      <c r="A143" s="199" t="s">
        <v>195</v>
      </c>
      <c r="B143" s="7" t="s">
        <v>415</v>
      </c>
      <c r="C143" s="170">
        <v>273672000</v>
      </c>
      <c r="D143" s="259">
        <v>301369090</v>
      </c>
      <c r="E143" s="106">
        <v>243372220</v>
      </c>
    </row>
    <row r="144" spans="1:11" s="55" customFormat="1" ht="12" customHeight="1" x14ac:dyDescent="0.2">
      <c r="A144" s="199" t="s">
        <v>196</v>
      </c>
      <c r="B144" s="7" t="s">
        <v>364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294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365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360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367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362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404</v>
      </c>
      <c r="C150" s="170"/>
      <c r="D150" s="259"/>
      <c r="E150" s="106"/>
    </row>
    <row r="151" spans="1:5" ht="12.75" customHeight="1" thickBot="1" x14ac:dyDescent="0.25">
      <c r="A151" s="208" t="s">
        <v>366</v>
      </c>
      <c r="B151" s="5" t="s">
        <v>369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370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371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373</v>
      </c>
      <c r="C154" s="252">
        <f>+C129+C133+C140+C146+C152+C153</f>
        <v>273672000</v>
      </c>
      <c r="D154" s="264">
        <f>+D129+D133+D140+D146+D152+D153</f>
        <v>315706453</v>
      </c>
      <c r="E154" s="246">
        <f>+E129+E133+E140+E146+E152+E153</f>
        <v>257709583</v>
      </c>
    </row>
    <row r="155" spans="1:5" ht="15.2" customHeight="1" thickBot="1" x14ac:dyDescent="0.25">
      <c r="A155" s="210" t="s">
        <v>16</v>
      </c>
      <c r="B155" s="156" t="s">
        <v>372</v>
      </c>
      <c r="C155" s="252">
        <f>+C128+C154</f>
        <v>1683940000</v>
      </c>
      <c r="D155" s="264">
        <f>+D128+D154</f>
        <v>2029035726</v>
      </c>
      <c r="E155" s="246">
        <f>+E128+E154</f>
        <v>1468348933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96" t="s">
        <v>484</v>
      </c>
      <c r="B157" s="97"/>
      <c r="C157" s="296">
        <v>3</v>
      </c>
      <c r="D157" s="296">
        <v>3</v>
      </c>
      <c r="E157" s="295">
        <v>11</v>
      </c>
    </row>
    <row r="158" spans="1:5" ht="14.45" customHeight="1" thickBot="1" x14ac:dyDescent="0.25">
      <c r="A158" s="96" t="s">
        <v>485</v>
      </c>
      <c r="B158" s="97"/>
      <c r="C158" s="296">
        <v>95</v>
      </c>
      <c r="D158" s="296">
        <v>95</v>
      </c>
      <c r="E158" s="295">
        <v>95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9" t="s">
        <v>944</v>
      </c>
      <c r="C1" s="860"/>
      <c r="D1" s="860"/>
      <c r="E1" s="860"/>
    </row>
    <row r="2" spans="1:5" s="51" customFormat="1" ht="21.2" customHeight="1" thickBot="1" x14ac:dyDescent="0.25">
      <c r="A2" s="337" t="s">
        <v>44</v>
      </c>
      <c r="B2" s="858" t="str">
        <f>CONCATENATE(Z_ALAPADATOK!A3)</f>
        <v>Gönc Város Önkormányzata</v>
      </c>
      <c r="C2" s="858"/>
      <c r="D2" s="858"/>
      <c r="E2" s="338" t="s">
        <v>38</v>
      </c>
    </row>
    <row r="3" spans="1:5" s="51" customFormat="1" ht="24.75" thickBot="1" x14ac:dyDescent="0.25">
      <c r="A3" s="337" t="s">
        <v>135</v>
      </c>
      <c r="B3" s="858" t="s">
        <v>321</v>
      </c>
      <c r="C3" s="858"/>
      <c r="D3" s="858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384</v>
      </c>
      <c r="B6" s="78" t="s">
        <v>385</v>
      </c>
      <c r="C6" s="78" t="s">
        <v>386</v>
      </c>
      <c r="D6" s="290" t="s">
        <v>388</v>
      </c>
      <c r="E6" s="79" t="s">
        <v>387</v>
      </c>
    </row>
    <row r="7" spans="1:5" s="47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441095000</v>
      </c>
      <c r="D8" s="257">
        <f>+D9+D10+D11+D12+D13+D14</f>
        <v>430196850</v>
      </c>
      <c r="E8" s="105">
        <f>+E9+E10+E11+E12+E13+E14</f>
        <v>430196850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148052716</v>
      </c>
      <c r="D9" s="258">
        <v>170383149</v>
      </c>
      <c r="E9" s="107">
        <v>170383149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51074150</v>
      </c>
      <c r="D10" s="259">
        <v>55594125</v>
      </c>
      <c r="E10" s="106">
        <v>55594125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156765192</v>
      </c>
      <c r="D11" s="259">
        <v>183082621</v>
      </c>
      <c r="E11" s="106">
        <v>183082621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2542032</v>
      </c>
      <c r="D12" s="259">
        <v>4021434</v>
      </c>
      <c r="E12" s="106">
        <v>4021434</v>
      </c>
    </row>
    <row r="13" spans="1:5" s="54" customFormat="1" ht="12" customHeight="1" x14ac:dyDescent="0.2">
      <c r="A13" s="200" t="s">
        <v>97</v>
      </c>
      <c r="B13" s="183" t="s">
        <v>392</v>
      </c>
      <c r="C13" s="170">
        <v>82660910</v>
      </c>
      <c r="D13" s="259">
        <v>17115521</v>
      </c>
      <c r="E13" s="106">
        <v>17115521</v>
      </c>
    </row>
    <row r="14" spans="1:5" s="53" customFormat="1" ht="12" customHeight="1" thickBot="1" x14ac:dyDescent="0.25">
      <c r="A14" s="201" t="s">
        <v>67</v>
      </c>
      <c r="B14" s="184" t="s">
        <v>333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153680000</v>
      </c>
      <c r="D15" s="257">
        <f>+D16+D17+D18+D19+D20</f>
        <v>372133363</v>
      </c>
      <c r="E15" s="105">
        <f>+E16+E17+E18+E19+E20</f>
        <v>208683714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324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325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153680000</v>
      </c>
      <c r="D20" s="259">
        <v>372133363</v>
      </c>
      <c r="E20" s="106">
        <v>208683714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>
        <v>9247341</v>
      </c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120071000</v>
      </c>
      <c r="D22" s="257">
        <f>+D23+D24+D25+D26+D27</f>
        <v>222199546</v>
      </c>
      <c r="E22" s="105">
        <f>+E23+E24+E25+E26+E27</f>
        <v>124448510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326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327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120071000</v>
      </c>
      <c r="D27" s="259">
        <v>222199546</v>
      </c>
      <c r="E27" s="106">
        <v>124448510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>
        <v>51337760</v>
      </c>
    </row>
    <row r="29" spans="1:5" s="54" customFormat="1" ht="12" customHeight="1" thickBot="1" x14ac:dyDescent="0.25">
      <c r="A29" s="25" t="s">
        <v>112</v>
      </c>
      <c r="B29" s="19" t="s">
        <v>475</v>
      </c>
      <c r="C29" s="175">
        <f>SUM(C30:C36)</f>
        <v>40050000</v>
      </c>
      <c r="D29" s="175">
        <f>SUM(D30:D36)</f>
        <v>40050000</v>
      </c>
      <c r="E29" s="211">
        <f>SUM(E30:E36)</f>
        <v>37274492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>
        <v>50000</v>
      </c>
      <c r="D31" s="170">
        <v>50000</v>
      </c>
      <c r="E31" s="106">
        <v>7700</v>
      </c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28000000</v>
      </c>
      <c r="D32" s="170">
        <v>28000000</v>
      </c>
      <c r="E32" s="106">
        <v>25822837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479</v>
      </c>
      <c r="B34" s="182" t="str">
        <f>'Z_1.1.sz.mell.'!B37</f>
        <v>Gépjárműadó</v>
      </c>
      <c r="C34" s="170">
        <v>4000000</v>
      </c>
      <c r="D34" s="170">
        <v>4000000</v>
      </c>
      <c r="E34" s="106"/>
    </row>
    <row r="35" spans="1:5" s="54" customFormat="1" ht="12" customHeight="1" x14ac:dyDescent="0.2">
      <c r="A35" s="200" t="s">
        <v>480</v>
      </c>
      <c r="B35" s="182" t="str">
        <f>'Z_1.1.sz.mell.'!B38</f>
        <v>Egyéb közhatalmi bevétel</v>
      </c>
      <c r="C35" s="170"/>
      <c r="D35" s="170"/>
      <c r="E35" s="106">
        <v>2344121</v>
      </c>
    </row>
    <row r="36" spans="1:5" s="54" customFormat="1" ht="12" customHeight="1" thickBot="1" x14ac:dyDescent="0.25">
      <c r="A36" s="201" t="s">
        <v>481</v>
      </c>
      <c r="B36" s="182" t="str">
        <f>'Z_1.1.sz.mell.'!B39</f>
        <v>Kommunális adó</v>
      </c>
      <c r="C36" s="172">
        <v>8000000</v>
      </c>
      <c r="D36" s="172">
        <v>8000000</v>
      </c>
      <c r="E36" s="108">
        <v>9099834</v>
      </c>
    </row>
    <row r="37" spans="1:5" s="54" customFormat="1" ht="12" customHeight="1" thickBot="1" x14ac:dyDescent="0.25">
      <c r="A37" s="25" t="s">
        <v>10</v>
      </c>
      <c r="B37" s="19" t="s">
        <v>334</v>
      </c>
      <c r="C37" s="169">
        <f>SUM(C38:C48)</f>
        <v>15968000</v>
      </c>
      <c r="D37" s="257">
        <f>SUM(D38:D48)</f>
        <v>15968000</v>
      </c>
      <c r="E37" s="105">
        <f>SUM(E38:E48)</f>
        <v>17935549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>
        <v>579500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4170000</v>
      </c>
      <c r="D39" s="259">
        <v>4170000</v>
      </c>
      <c r="E39" s="106">
        <v>6377232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4045000</v>
      </c>
      <c r="D40" s="259">
        <v>4045000</v>
      </c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>
        <v>5085000</v>
      </c>
      <c r="D42" s="259">
        <v>5085000</v>
      </c>
      <c r="E42" s="106">
        <v>5545550</v>
      </c>
    </row>
    <row r="43" spans="1:5" s="54" customFormat="1" ht="12" customHeight="1" x14ac:dyDescent="0.2">
      <c r="A43" s="200" t="s">
        <v>116</v>
      </c>
      <c r="B43" s="183" t="s">
        <v>189</v>
      </c>
      <c r="C43" s="170">
        <v>2668000</v>
      </c>
      <c r="D43" s="259">
        <v>2668000</v>
      </c>
      <c r="E43" s="106">
        <v>3688989</v>
      </c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482</v>
      </c>
      <c r="C45" s="170"/>
      <c r="D45" s="259"/>
      <c r="E45" s="106">
        <v>128034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336</v>
      </c>
      <c r="C47" s="174"/>
      <c r="D47" s="292"/>
      <c r="E47" s="110">
        <v>677818</v>
      </c>
    </row>
    <row r="48" spans="1:5" s="54" customFormat="1" ht="12" customHeight="1" thickBot="1" x14ac:dyDescent="0.25">
      <c r="A48" s="201" t="s">
        <v>335</v>
      </c>
      <c r="B48" s="184" t="s">
        <v>193</v>
      </c>
      <c r="C48" s="174"/>
      <c r="D48" s="292"/>
      <c r="E48" s="110">
        <v>938426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5939370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>
        <v>5839370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>
        <v>100000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71418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328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>
        <v>71418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2035000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329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>
        <v>2035000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770864000</v>
      </c>
      <c r="D65" s="261">
        <f>+D8+D15+D22+D29+D37+D49+D55+D60</f>
        <v>1080547759</v>
      </c>
      <c r="E65" s="211">
        <f>+E8+E15+E22+E29+E37+E49+E55+E60</f>
        <v>826584903</v>
      </c>
    </row>
    <row r="66" spans="1:5" s="54" customFormat="1" ht="12" customHeight="1" thickBot="1" x14ac:dyDescent="0.2">
      <c r="A66" s="202" t="s">
        <v>298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489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490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913076000</v>
      </c>
      <c r="D75" s="169">
        <f>SUM(D76:D77)</f>
        <v>948487967</v>
      </c>
      <c r="E75" s="105">
        <f>SUM(E76:E77)</f>
        <v>999277314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913076000</v>
      </c>
      <c r="D76" s="173">
        <v>948487967</v>
      </c>
      <c r="E76" s="109">
        <v>999277314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16034856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16034856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491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375</v>
      </c>
      <c r="C87" s="225"/>
      <c r="D87" s="225"/>
      <c r="E87" s="226"/>
    </row>
    <row r="88" spans="1:5" s="53" customFormat="1" ht="12" customHeight="1" thickBot="1" x14ac:dyDescent="0.2">
      <c r="A88" s="202" t="s">
        <v>393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394</v>
      </c>
      <c r="B89" s="189" t="s">
        <v>378</v>
      </c>
      <c r="C89" s="175">
        <f>+C66+C70+C75+C78+C82+C88+C87</f>
        <v>913076000</v>
      </c>
      <c r="D89" s="175">
        <f>+D66+D70+D75+D78+D82+D88+D87</f>
        <v>948487967</v>
      </c>
      <c r="E89" s="211">
        <f>+E66+E70+E75+E78+E82+E88+E87</f>
        <v>1015312170</v>
      </c>
    </row>
    <row r="90" spans="1:5" s="53" customFormat="1" ht="12" customHeight="1" thickBot="1" x14ac:dyDescent="0.2">
      <c r="A90" s="206" t="s">
        <v>395</v>
      </c>
      <c r="B90" s="190" t="s">
        <v>396</v>
      </c>
      <c r="C90" s="175">
        <f>+C65+C89</f>
        <v>1683940000</v>
      </c>
      <c r="D90" s="175">
        <f>+D65+D89</f>
        <v>2029035726</v>
      </c>
      <c r="E90" s="211">
        <f>+E65+E89</f>
        <v>1841897073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5" t="s">
        <v>40</v>
      </c>
      <c r="B92" s="856"/>
      <c r="C92" s="856"/>
      <c r="D92" s="856"/>
      <c r="E92" s="857"/>
    </row>
    <row r="93" spans="1:5" s="55" customFormat="1" ht="12" customHeight="1" thickBot="1" x14ac:dyDescent="0.25">
      <c r="A93" s="176" t="s">
        <v>6</v>
      </c>
      <c r="B93" s="24" t="s">
        <v>400</v>
      </c>
      <c r="C93" s="168">
        <f>+C94+C95+C96+C97+C98+C111</f>
        <v>391227000</v>
      </c>
      <c r="D93" s="168">
        <f>+D94+D95+D96+D97+D98+D111</f>
        <v>643990598</v>
      </c>
      <c r="E93" s="240">
        <f>+E94+E95+E96+E97+E98+E111</f>
        <v>525712197</v>
      </c>
    </row>
    <row r="94" spans="1:5" ht="12" customHeight="1" x14ac:dyDescent="0.2">
      <c r="A94" s="207" t="s">
        <v>63</v>
      </c>
      <c r="B94" s="8" t="s">
        <v>35</v>
      </c>
      <c r="C94" s="247">
        <v>119101000</v>
      </c>
      <c r="D94" s="247">
        <v>181171000</v>
      </c>
      <c r="E94" s="241">
        <v>147270260</v>
      </c>
    </row>
    <row r="95" spans="1:5" ht="12" customHeight="1" x14ac:dyDescent="0.2">
      <c r="A95" s="200" t="s">
        <v>64</v>
      </c>
      <c r="B95" s="6" t="s">
        <v>122</v>
      </c>
      <c r="C95" s="170">
        <v>14602000</v>
      </c>
      <c r="D95" s="170">
        <v>23102000</v>
      </c>
      <c r="E95" s="106">
        <v>14455125</v>
      </c>
    </row>
    <row r="96" spans="1:5" ht="12" customHeight="1" x14ac:dyDescent="0.2">
      <c r="A96" s="200" t="s">
        <v>65</v>
      </c>
      <c r="B96" s="6" t="s">
        <v>90</v>
      </c>
      <c r="C96" s="172">
        <v>171515000</v>
      </c>
      <c r="D96" s="170">
        <v>246832767</v>
      </c>
      <c r="E96" s="108">
        <v>207331087</v>
      </c>
    </row>
    <row r="97" spans="1:5" ht="12" customHeight="1" x14ac:dyDescent="0.2">
      <c r="A97" s="200" t="s">
        <v>66</v>
      </c>
      <c r="B97" s="9" t="s">
        <v>123</v>
      </c>
      <c r="C97" s="172">
        <v>5155000</v>
      </c>
      <c r="D97" s="260">
        <v>14197000</v>
      </c>
      <c r="E97" s="108">
        <v>2542400</v>
      </c>
    </row>
    <row r="98" spans="1:5" ht="12" customHeight="1" x14ac:dyDescent="0.2">
      <c r="A98" s="200" t="s">
        <v>75</v>
      </c>
      <c r="B98" s="17" t="s">
        <v>124</v>
      </c>
      <c r="C98" s="172">
        <v>80854000</v>
      </c>
      <c r="D98" s="260">
        <v>178687831</v>
      </c>
      <c r="E98" s="108">
        <v>154113325</v>
      </c>
    </row>
    <row r="99" spans="1:5" ht="12" customHeight="1" x14ac:dyDescent="0.2">
      <c r="A99" s="200" t="s">
        <v>67</v>
      </c>
      <c r="B99" s="6" t="s">
        <v>397</v>
      </c>
      <c r="C99" s="172"/>
      <c r="D99" s="260">
        <v>4272678</v>
      </c>
      <c r="E99" s="108">
        <v>4272678</v>
      </c>
    </row>
    <row r="100" spans="1:5" ht="12" customHeight="1" x14ac:dyDescent="0.2">
      <c r="A100" s="200" t="s">
        <v>68</v>
      </c>
      <c r="B100" s="65" t="s">
        <v>341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340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80854000</v>
      </c>
      <c r="D105" s="260">
        <v>172634713</v>
      </c>
      <c r="E105" s="108">
        <v>148060207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338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339</v>
      </c>
      <c r="B110" s="66" t="s">
        <v>266</v>
      </c>
      <c r="C110" s="170"/>
      <c r="D110" s="259">
        <v>1780440</v>
      </c>
      <c r="E110" s="106">
        <v>1780440</v>
      </c>
    </row>
    <row r="111" spans="1:5" ht="12" customHeight="1" x14ac:dyDescent="0.2">
      <c r="A111" s="200" t="s">
        <v>343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344</v>
      </c>
      <c r="B112" s="6" t="s">
        <v>398</v>
      </c>
      <c r="C112" s="172"/>
      <c r="D112" s="260"/>
      <c r="E112" s="108"/>
    </row>
    <row r="113" spans="1:5" ht="12" customHeight="1" thickBot="1" x14ac:dyDescent="0.25">
      <c r="A113" s="209" t="s">
        <v>345</v>
      </c>
      <c r="B113" s="68" t="s">
        <v>399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1019041000</v>
      </c>
      <c r="D114" s="257">
        <f>+D115+D117+D119</f>
        <v>1069338675</v>
      </c>
      <c r="E114" s="105">
        <f>+E115+E117+E119</f>
        <v>684927153</v>
      </c>
    </row>
    <row r="115" spans="1:5" ht="12" customHeight="1" x14ac:dyDescent="0.2">
      <c r="A115" s="199" t="s">
        <v>69</v>
      </c>
      <c r="B115" s="6" t="s">
        <v>143</v>
      </c>
      <c r="C115" s="171">
        <v>884935000</v>
      </c>
      <c r="D115" s="258">
        <v>871325926</v>
      </c>
      <c r="E115" s="107">
        <v>505652593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134106000</v>
      </c>
      <c r="D117" s="259">
        <v>198012749</v>
      </c>
      <c r="E117" s="106">
        <v>179274560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330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348</v>
      </c>
      <c r="C128" s="169">
        <f>+C93+C114</f>
        <v>1410268000</v>
      </c>
      <c r="D128" s="257">
        <f>+D93+D114</f>
        <v>1713329273</v>
      </c>
      <c r="E128" s="105">
        <f>+E93+E114</f>
        <v>1210639350</v>
      </c>
    </row>
    <row r="129" spans="1:11" ht="12" customHeight="1" thickBot="1" x14ac:dyDescent="0.25">
      <c r="A129" s="25" t="s">
        <v>9</v>
      </c>
      <c r="B129" s="59" t="s">
        <v>349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403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357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402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350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359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351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352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401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354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355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416</v>
      </c>
      <c r="C140" s="175">
        <f>+C141+C142+C144+C145+C143</f>
        <v>273672000</v>
      </c>
      <c r="D140" s="261">
        <f>+D141+D142+D144+D145+D143</f>
        <v>315706453</v>
      </c>
      <c r="E140" s="211">
        <f>+E141+E142+E144+E145+E143</f>
        <v>257709583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>
        <v>14337363</v>
      </c>
      <c r="E142" s="106">
        <v>14337363</v>
      </c>
    </row>
    <row r="143" spans="1:11" ht="12" customHeight="1" x14ac:dyDescent="0.2">
      <c r="A143" s="199" t="s">
        <v>195</v>
      </c>
      <c r="B143" s="7" t="s">
        <v>415</v>
      </c>
      <c r="C143" s="170">
        <v>273672000</v>
      </c>
      <c r="D143" s="259">
        <v>301369090</v>
      </c>
      <c r="E143" s="106">
        <v>243372220</v>
      </c>
    </row>
    <row r="144" spans="1:11" s="55" customFormat="1" ht="12" customHeight="1" x14ac:dyDescent="0.2">
      <c r="A144" s="199" t="s">
        <v>196</v>
      </c>
      <c r="B144" s="7" t="s">
        <v>364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294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365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360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367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362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404</v>
      </c>
      <c r="C150" s="170"/>
      <c r="D150" s="259"/>
      <c r="E150" s="106"/>
    </row>
    <row r="151" spans="1:5" ht="12.75" customHeight="1" thickBot="1" x14ac:dyDescent="0.25">
      <c r="A151" s="208" t="s">
        <v>366</v>
      </c>
      <c r="B151" s="5" t="s">
        <v>369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370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371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373</v>
      </c>
      <c r="C154" s="252">
        <f>+C129+C133+C140+C146+C152+C153</f>
        <v>273672000</v>
      </c>
      <c r="D154" s="264">
        <f>+D129+D133+D140+D146+D152+D153</f>
        <v>315706453</v>
      </c>
      <c r="E154" s="246">
        <f>+E129+E133+E140+E146+E152+E153</f>
        <v>257709583</v>
      </c>
    </row>
    <row r="155" spans="1:5" ht="15.2" customHeight="1" thickBot="1" x14ac:dyDescent="0.25">
      <c r="A155" s="210" t="s">
        <v>16</v>
      </c>
      <c r="B155" s="156" t="s">
        <v>372</v>
      </c>
      <c r="C155" s="252">
        <f>+C128+C154</f>
        <v>1683940000</v>
      </c>
      <c r="D155" s="264">
        <f>+D128+D154</f>
        <v>2029035726</v>
      </c>
      <c r="E155" s="246">
        <f>+E128+E154</f>
        <v>1468348933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484</v>
      </c>
      <c r="B157" s="307"/>
      <c r="C157" s="296">
        <v>3</v>
      </c>
      <c r="D157" s="296">
        <v>3</v>
      </c>
      <c r="E157" s="295">
        <v>11</v>
      </c>
    </row>
    <row r="158" spans="1:5" ht="14.45" customHeight="1" thickBot="1" x14ac:dyDescent="0.25">
      <c r="A158" s="308" t="s">
        <v>485</v>
      </c>
      <c r="B158" s="309"/>
      <c r="C158" s="296">
        <v>95</v>
      </c>
      <c r="D158" s="296">
        <v>95</v>
      </c>
      <c r="E158" s="295">
        <v>95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8"/>
  <sheetViews>
    <sheetView zoomScale="120" zoomScaleNormal="120" zoomScaleSheetLayoutView="100" workbookViewId="0">
      <selection activeCell="E1" sqref="E1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6" t="s">
        <v>945</v>
      </c>
    </row>
    <row r="2" spans="1:5" s="51" customFormat="1" ht="21.2" customHeight="1" thickBot="1" x14ac:dyDescent="0.25">
      <c r="A2" s="337" t="s">
        <v>44</v>
      </c>
      <c r="B2" s="858" t="str">
        <f>CONCATENATE(Z_ALAPADATOK!A3)</f>
        <v>Gönc Város Önkormányzata</v>
      </c>
      <c r="C2" s="858"/>
      <c r="D2" s="858"/>
      <c r="E2" s="338" t="s">
        <v>38</v>
      </c>
    </row>
    <row r="3" spans="1:5" s="51" customFormat="1" ht="24.75" thickBot="1" x14ac:dyDescent="0.25">
      <c r="A3" s="337" t="s">
        <v>135</v>
      </c>
      <c r="B3" s="858" t="s">
        <v>322</v>
      </c>
      <c r="C3" s="858"/>
      <c r="D3" s="858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384</v>
      </c>
      <c r="B6" s="78" t="s">
        <v>385</v>
      </c>
      <c r="C6" s="78" t="s">
        <v>386</v>
      </c>
      <c r="D6" s="290" t="s">
        <v>388</v>
      </c>
      <c r="E6" s="79" t="s">
        <v>387</v>
      </c>
    </row>
    <row r="7" spans="1:5" s="47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392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324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325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326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327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475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479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480</v>
      </c>
      <c r="B35" s="182" t="str">
        <f>'Z_1.1.sz.mell.'!B38</f>
        <v>Egyéb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481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334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482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336</v>
      </c>
      <c r="C47" s="174"/>
      <c r="D47" s="292"/>
      <c r="E47" s="110"/>
    </row>
    <row r="48" spans="1:5" s="54" customFormat="1" ht="12" customHeight="1" thickBot="1" x14ac:dyDescent="0.25">
      <c r="A48" s="201" t="s">
        <v>335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328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329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298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489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490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491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375</v>
      </c>
      <c r="C87" s="225"/>
      <c r="D87" s="225"/>
      <c r="E87" s="226"/>
    </row>
    <row r="88" spans="1:5" s="53" customFormat="1" ht="12" customHeight="1" thickBot="1" x14ac:dyDescent="0.2">
      <c r="A88" s="202" t="s">
        <v>393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394</v>
      </c>
      <c r="B89" s="189" t="s">
        <v>378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395</v>
      </c>
      <c r="B90" s="190" t="s">
        <v>396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5" t="s">
        <v>40</v>
      </c>
      <c r="B92" s="856"/>
      <c r="C92" s="856"/>
      <c r="D92" s="856"/>
      <c r="E92" s="857"/>
    </row>
    <row r="93" spans="1:5" s="55" customFormat="1" ht="12" customHeight="1" thickBot="1" x14ac:dyDescent="0.25">
      <c r="A93" s="176" t="s">
        <v>6</v>
      </c>
      <c r="B93" s="24" t="s">
        <v>400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397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341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340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338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339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343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344</v>
      </c>
      <c r="B112" s="6" t="s">
        <v>398</v>
      </c>
      <c r="C112" s="172"/>
      <c r="D112" s="260"/>
      <c r="E112" s="108"/>
    </row>
    <row r="113" spans="1:5" ht="12" customHeight="1" thickBot="1" x14ac:dyDescent="0.25">
      <c r="A113" s="209" t="s">
        <v>345</v>
      </c>
      <c r="B113" s="68" t="s">
        <v>399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330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348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349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403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357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402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350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359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351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352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401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354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355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416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415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364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294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365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360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367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362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404</v>
      </c>
      <c r="C150" s="170"/>
      <c r="D150" s="259"/>
      <c r="E150" s="106"/>
    </row>
    <row r="151" spans="1:5" ht="12.75" customHeight="1" thickBot="1" x14ac:dyDescent="0.25">
      <c r="A151" s="208" t="s">
        <v>366</v>
      </c>
      <c r="B151" s="5" t="s">
        <v>369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370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371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373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372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484</v>
      </c>
      <c r="B157" s="307"/>
      <c r="C157" s="296"/>
      <c r="D157" s="296"/>
      <c r="E157" s="295"/>
    </row>
    <row r="158" spans="1:5" ht="14.45" customHeight="1" thickBot="1" x14ac:dyDescent="0.25">
      <c r="A158" s="308" t="s">
        <v>485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9" t="s">
        <v>946</v>
      </c>
      <c r="C1" s="860"/>
      <c r="D1" s="860"/>
      <c r="E1" s="860"/>
    </row>
    <row r="2" spans="1:5" s="51" customFormat="1" ht="21.2" customHeight="1" thickBot="1" x14ac:dyDescent="0.25">
      <c r="A2" s="337" t="s">
        <v>44</v>
      </c>
      <c r="B2" s="858" t="str">
        <f>CONCATENATE(Z_ALAPADATOK!A3)</f>
        <v>Gönc Város Önkormányzata</v>
      </c>
      <c r="C2" s="858"/>
      <c r="D2" s="858"/>
      <c r="E2" s="338" t="s">
        <v>38</v>
      </c>
    </row>
    <row r="3" spans="1:5" s="51" customFormat="1" ht="24.75" thickBot="1" x14ac:dyDescent="0.25">
      <c r="A3" s="337" t="s">
        <v>135</v>
      </c>
      <c r="B3" s="858" t="s">
        <v>414</v>
      </c>
      <c r="C3" s="858"/>
      <c r="D3" s="858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384</v>
      </c>
      <c r="B6" s="78" t="s">
        <v>385</v>
      </c>
      <c r="C6" s="78" t="s">
        <v>386</v>
      </c>
      <c r="D6" s="290" t="s">
        <v>388</v>
      </c>
      <c r="E6" s="79" t="s">
        <v>387</v>
      </c>
    </row>
    <row r="7" spans="1:5" s="47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392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333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324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325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326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327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475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479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480</v>
      </c>
      <c r="B35" s="182" t="str">
        <f>'Z_1.1.sz.mell.'!B38</f>
        <v>Egyéb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481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334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482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336</v>
      </c>
      <c r="C47" s="174"/>
      <c r="D47" s="292"/>
      <c r="E47" s="110"/>
    </row>
    <row r="48" spans="1:5" s="54" customFormat="1" ht="12" customHeight="1" thickBot="1" x14ac:dyDescent="0.25">
      <c r="A48" s="201" t="s">
        <v>335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328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329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298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489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490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491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375</v>
      </c>
      <c r="C87" s="225"/>
      <c r="D87" s="225"/>
      <c r="E87" s="226"/>
    </row>
    <row r="88" spans="1:5" s="53" customFormat="1" ht="12" customHeight="1" thickBot="1" x14ac:dyDescent="0.2">
      <c r="A88" s="202" t="s">
        <v>393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394</v>
      </c>
      <c r="B89" s="189" t="s">
        <v>378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395</v>
      </c>
      <c r="B90" s="190" t="s">
        <v>396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5" t="s">
        <v>40</v>
      </c>
      <c r="B92" s="856"/>
      <c r="C92" s="856"/>
      <c r="D92" s="856"/>
      <c r="E92" s="857"/>
    </row>
    <row r="93" spans="1:5" s="55" customFormat="1" ht="12" customHeight="1" thickBot="1" x14ac:dyDescent="0.25">
      <c r="A93" s="176" t="s">
        <v>6</v>
      </c>
      <c r="B93" s="24" t="s">
        <v>400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397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341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340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338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339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343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344</v>
      </c>
      <c r="B112" s="6" t="s">
        <v>398</v>
      </c>
      <c r="C112" s="172"/>
      <c r="D112" s="260"/>
      <c r="E112" s="108"/>
    </row>
    <row r="113" spans="1:5" ht="12" customHeight="1" thickBot="1" x14ac:dyDescent="0.25">
      <c r="A113" s="209" t="s">
        <v>345</v>
      </c>
      <c r="B113" s="68" t="s">
        <v>399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330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348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349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403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357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402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350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359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351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352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401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354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355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416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415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364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294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365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360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367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362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404</v>
      </c>
      <c r="C150" s="170"/>
      <c r="D150" s="259"/>
      <c r="E150" s="106"/>
    </row>
    <row r="151" spans="1:5" ht="12.75" customHeight="1" thickBot="1" x14ac:dyDescent="0.25">
      <c r="A151" s="208" t="s">
        <v>366</v>
      </c>
      <c r="B151" s="5" t="s">
        <v>369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370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371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373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372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484</v>
      </c>
      <c r="B157" s="307"/>
      <c r="C157" s="296"/>
      <c r="D157" s="296"/>
      <c r="E157" s="295"/>
    </row>
    <row r="158" spans="1:5" ht="14.45" customHeight="1" thickBot="1" x14ac:dyDescent="0.25">
      <c r="A158" s="308" t="s">
        <v>485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">
        <v>947</v>
      </c>
      <c r="C1" s="860"/>
      <c r="D1" s="860"/>
      <c r="E1" s="860"/>
    </row>
    <row r="2" spans="1:5" s="217" customFormat="1" ht="24.75" thickBot="1" x14ac:dyDescent="0.25">
      <c r="A2" s="329" t="s">
        <v>452</v>
      </c>
      <c r="B2" s="861" t="s">
        <v>877</v>
      </c>
      <c r="C2" s="862"/>
      <c r="D2" s="863"/>
      <c r="E2" s="330" t="s">
        <v>42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1648000</v>
      </c>
      <c r="D8" s="122">
        <f>SUM(D9:D19)</f>
        <v>1648000</v>
      </c>
      <c r="E8" s="150">
        <f>SUM(E9:E19)</f>
        <v>243127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>
        <v>96627</v>
      </c>
    </row>
    <row r="11" spans="1:5" s="155" customFormat="1" ht="12" customHeight="1" x14ac:dyDescent="0.2">
      <c r="A11" s="213" t="s">
        <v>65</v>
      </c>
      <c r="B11" s="6" t="s">
        <v>186</v>
      </c>
      <c r="C11" s="119">
        <v>1298000</v>
      </c>
      <c r="D11" s="119">
        <v>1298000</v>
      </c>
      <c r="E11" s="271">
        <v>11027</v>
      </c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>
        <v>350000</v>
      </c>
      <c r="D14" s="119">
        <v>350000</v>
      </c>
      <c r="E14" s="271">
        <v>24031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>
        <v>104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>
        <v>111338</v>
      </c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9556000</v>
      </c>
      <c r="D20" s="122">
        <f>SUM(D21:D23)</f>
        <v>9556000</v>
      </c>
      <c r="E20" s="150">
        <f>SUM(E21:E23)</f>
        <v>10398831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>
        <v>9556000</v>
      </c>
      <c r="D23" s="119">
        <v>9556000</v>
      </c>
      <c r="E23" s="271">
        <v>10398831</v>
      </c>
    </row>
    <row r="24" spans="1:5" s="220" customFormat="1" ht="12" customHeight="1" thickBot="1" x14ac:dyDescent="0.25">
      <c r="A24" s="213" t="s">
        <v>72</v>
      </c>
      <c r="B24" s="6" t="s">
        <v>406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407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306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309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408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310</v>
      </c>
      <c r="C31" s="122">
        <f>+C32+C33+C34</f>
        <v>0</v>
      </c>
      <c r="D31" s="122">
        <f>+D32+D33+D34</f>
        <v>0</v>
      </c>
      <c r="E31" s="150">
        <f>+E32+E33+E34</f>
        <v>175000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>
        <v>175000</v>
      </c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311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312</v>
      </c>
      <c r="C37" s="122">
        <f>+C8+C20+C25+C26+C31+C35+C36</f>
        <v>11204000</v>
      </c>
      <c r="D37" s="122">
        <f>+D8+D20+D25+D26+D31+D35+D36</f>
        <v>11204000</v>
      </c>
      <c r="E37" s="150">
        <f>+E8+E20+E25+E26+E31+E35+E36</f>
        <v>10816958</v>
      </c>
    </row>
    <row r="38" spans="1:5" s="155" customFormat="1" ht="12" customHeight="1" thickBot="1" x14ac:dyDescent="0.25">
      <c r="A38" s="87" t="s">
        <v>14</v>
      </c>
      <c r="B38" s="59" t="s">
        <v>313</v>
      </c>
      <c r="C38" s="122">
        <f>+C39+C40+C41</f>
        <v>145651000</v>
      </c>
      <c r="D38" s="122">
        <f>+D39+D40+D41</f>
        <v>175623000</v>
      </c>
      <c r="E38" s="150">
        <f>+E39+E40+E41</f>
        <v>143597625</v>
      </c>
    </row>
    <row r="39" spans="1:5" s="155" customFormat="1" ht="12" customHeight="1" x14ac:dyDescent="0.2">
      <c r="A39" s="214" t="s">
        <v>314</v>
      </c>
      <c r="B39" s="215" t="s">
        <v>150</v>
      </c>
      <c r="C39" s="278"/>
      <c r="D39" s="278">
        <v>16832000</v>
      </c>
      <c r="E39" s="276">
        <v>5560877</v>
      </c>
    </row>
    <row r="40" spans="1:5" s="155" customFormat="1" ht="12" customHeight="1" x14ac:dyDescent="0.2">
      <c r="A40" s="214" t="s">
        <v>315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316</v>
      </c>
      <c r="B41" s="64" t="s">
        <v>317</v>
      </c>
      <c r="C41" s="50">
        <v>145651000</v>
      </c>
      <c r="D41" s="50">
        <v>158791000</v>
      </c>
      <c r="E41" s="300">
        <v>138036748</v>
      </c>
    </row>
    <row r="42" spans="1:5" s="220" customFormat="1" ht="15.2" customHeight="1" thickBot="1" x14ac:dyDescent="0.25">
      <c r="A42" s="87" t="s">
        <v>15</v>
      </c>
      <c r="B42" s="88" t="s">
        <v>318</v>
      </c>
      <c r="C42" s="302">
        <f>+C37+C38</f>
        <v>156855000</v>
      </c>
      <c r="D42" s="302">
        <f>+D37+D38</f>
        <v>186827000</v>
      </c>
      <c r="E42" s="153">
        <f>+E37+E38</f>
        <v>154414583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5" t="s">
        <v>40</v>
      </c>
      <c r="B45" s="856"/>
      <c r="C45" s="856"/>
      <c r="D45" s="856"/>
      <c r="E45" s="857"/>
    </row>
    <row r="46" spans="1:5" s="221" customFormat="1" ht="12" customHeight="1" thickBot="1" x14ac:dyDescent="0.25">
      <c r="A46" s="81" t="s">
        <v>6</v>
      </c>
      <c r="B46" s="59" t="s">
        <v>319</v>
      </c>
      <c r="C46" s="122">
        <f>SUM(C47:C51)</f>
        <v>156855000</v>
      </c>
      <c r="D46" s="122">
        <f>SUM(D47:D51)</f>
        <v>186577000</v>
      </c>
      <c r="E46" s="150">
        <f>SUM(E47:E51)</f>
        <v>151781344</v>
      </c>
    </row>
    <row r="47" spans="1:5" ht="12" customHeight="1" x14ac:dyDescent="0.2">
      <c r="A47" s="213" t="s">
        <v>63</v>
      </c>
      <c r="B47" s="7" t="s">
        <v>35</v>
      </c>
      <c r="C47" s="278">
        <v>115699000</v>
      </c>
      <c r="D47" s="278">
        <v>136691000</v>
      </c>
      <c r="E47" s="276">
        <v>117946759</v>
      </c>
    </row>
    <row r="48" spans="1:5" ht="12" customHeight="1" x14ac:dyDescent="0.2">
      <c r="A48" s="213" t="s">
        <v>64</v>
      </c>
      <c r="B48" s="6" t="s">
        <v>122</v>
      </c>
      <c r="C48" s="49">
        <v>21474000</v>
      </c>
      <c r="D48" s="49">
        <v>29774000</v>
      </c>
      <c r="E48" s="274">
        <v>19225708</v>
      </c>
    </row>
    <row r="49" spans="1:5" ht="12" customHeight="1" x14ac:dyDescent="0.2">
      <c r="A49" s="213" t="s">
        <v>65</v>
      </c>
      <c r="B49" s="6" t="s">
        <v>90</v>
      </c>
      <c r="C49" s="49">
        <v>19682000</v>
      </c>
      <c r="D49" s="49">
        <v>20112000</v>
      </c>
      <c r="E49" s="274">
        <v>14608877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320</v>
      </c>
      <c r="C52" s="122">
        <f>SUM(C53:C55)</f>
        <v>0</v>
      </c>
      <c r="D52" s="122">
        <f>SUM(D53:D55)</f>
        <v>250000</v>
      </c>
      <c r="E52" s="150">
        <f>SUM(E53:E55)</f>
        <v>76601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>
        <v>250000</v>
      </c>
      <c r="E53" s="276">
        <v>76601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409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413</v>
      </c>
      <c r="C58" s="302">
        <f>+C46+C52+C57</f>
        <v>156855000</v>
      </c>
      <c r="D58" s="302">
        <f>+D46+D52+D57</f>
        <v>186827000</v>
      </c>
      <c r="E58" s="153">
        <f>+E46+E52+E57</f>
        <v>151857945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484</v>
      </c>
      <c r="B60" s="307"/>
      <c r="C60" s="296">
        <v>21</v>
      </c>
      <c r="D60" s="296">
        <v>21</v>
      </c>
      <c r="E60" s="295">
        <v>17</v>
      </c>
    </row>
    <row r="61" spans="1:5" ht="14.45" customHeight="1" thickBot="1" x14ac:dyDescent="0.25">
      <c r="A61" s="308" t="s">
        <v>485</v>
      </c>
      <c r="B61" s="309"/>
      <c r="C61" s="296">
        <v>6</v>
      </c>
      <c r="D61" s="296">
        <v>6</v>
      </c>
      <c r="E61" s="295">
        <v>6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">
        <v>948</v>
      </c>
      <c r="C1" s="860"/>
      <c r="D1" s="860"/>
      <c r="E1" s="860"/>
    </row>
    <row r="2" spans="1:5" s="217" customFormat="1" ht="24.75" thickBot="1" x14ac:dyDescent="0.25">
      <c r="A2" s="329" t="s">
        <v>452</v>
      </c>
      <c r="B2" s="861" t="str">
        <f>CONCATENATE('Z_6.2.sz.mell'!B2:D2)</f>
        <v>Gönci Közös Önkormányzati Hivatal</v>
      </c>
      <c r="C2" s="862"/>
      <c r="D2" s="863"/>
      <c r="E2" s="330" t="s">
        <v>42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406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407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306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309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408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310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311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312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313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314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315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316</v>
      </c>
      <c r="B41" s="64" t="s">
        <v>317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318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5" t="s">
        <v>40</v>
      </c>
      <c r="B45" s="856"/>
      <c r="C45" s="856"/>
      <c r="D45" s="856"/>
      <c r="E45" s="857"/>
    </row>
    <row r="46" spans="1:5" s="221" customFormat="1" ht="12" customHeight="1" thickBot="1" x14ac:dyDescent="0.25">
      <c r="A46" s="81" t="s">
        <v>6</v>
      </c>
      <c r="B46" s="59" t="s">
        <v>319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320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409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413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484</v>
      </c>
      <c r="B60" s="307"/>
      <c r="C60" s="296"/>
      <c r="D60" s="296"/>
      <c r="E60" s="295"/>
    </row>
    <row r="61" spans="1:5" ht="14.45" customHeight="1" thickBot="1" x14ac:dyDescent="0.25">
      <c r="A61" s="308" t="s">
        <v>485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120" zoomScaleNormal="120" workbookViewId="0">
      <selection activeCell="B16" sqref="B16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48"/>
      <c r="B1" s="761">
        <f>Z_TARTALOMJEGYZÉK!A1</f>
        <v>2020</v>
      </c>
      <c r="C1" s="761" t="s">
        <v>845</v>
      </c>
      <c r="D1" s="761"/>
      <c r="E1" s="648"/>
      <c r="F1" s="648"/>
      <c r="G1" s="648"/>
      <c r="H1" s="648"/>
      <c r="I1" s="648"/>
    </row>
    <row r="2" spans="1:13" ht="15.75" x14ac:dyDescent="0.25">
      <c r="A2" s="782" t="s">
        <v>492</v>
      </c>
      <c r="B2" s="782"/>
      <c r="C2" s="782"/>
      <c r="D2" s="782"/>
      <c r="E2" s="782"/>
      <c r="F2" s="782"/>
      <c r="G2" s="648"/>
      <c r="H2" s="648"/>
      <c r="I2" s="648"/>
    </row>
    <row r="3" spans="1:13" ht="15.75" x14ac:dyDescent="0.25">
      <c r="A3" s="785" t="s">
        <v>875</v>
      </c>
      <c r="B3" s="785"/>
      <c r="C3" s="785"/>
      <c r="D3" s="785"/>
      <c r="E3" s="785"/>
      <c r="F3" s="785"/>
      <c r="G3" s="785"/>
      <c r="H3" s="648"/>
      <c r="I3" s="648"/>
    </row>
    <row r="4" spans="1:13" x14ac:dyDescent="0.2">
      <c r="A4" s="648"/>
      <c r="B4" s="648"/>
      <c r="C4" s="648"/>
      <c r="D4" s="648"/>
      <c r="E4" s="648"/>
      <c r="F4" s="648"/>
      <c r="G4" s="648"/>
      <c r="H4" s="648"/>
      <c r="I4" s="648"/>
    </row>
    <row r="5" spans="1:13" x14ac:dyDescent="0.2">
      <c r="A5" s="648"/>
      <c r="B5" s="648"/>
      <c r="C5" s="648"/>
      <c r="D5" s="648"/>
      <c r="E5" s="648"/>
      <c r="F5" s="648"/>
      <c r="G5" s="648"/>
      <c r="H5" s="648"/>
      <c r="I5" s="648"/>
    </row>
    <row r="6" spans="1:13" ht="15" x14ac:dyDescent="0.25">
      <c r="A6" s="762" t="s">
        <v>828</v>
      </c>
      <c r="B6" s="648"/>
      <c r="C6" s="648"/>
      <c r="D6" s="648"/>
      <c r="E6" s="648"/>
      <c r="F6" s="648"/>
      <c r="G6" s="648"/>
      <c r="H6" s="648"/>
      <c r="I6" s="648"/>
    </row>
    <row r="7" spans="1:13" x14ac:dyDescent="0.2">
      <c r="A7" s="763" t="s">
        <v>821</v>
      </c>
      <c r="B7" s="704" t="s">
        <v>822</v>
      </c>
      <c r="C7" s="648" t="s">
        <v>823</v>
      </c>
      <c r="D7" s="648" t="str">
        <f>CONCATENATE(Z_TARTALOMJEGYZÉK!A1+1,".")</f>
        <v>2021.</v>
      </c>
      <c r="E7" s="648" t="s">
        <v>824</v>
      </c>
      <c r="F7" s="704" t="s">
        <v>876</v>
      </c>
      <c r="G7" s="648" t="s">
        <v>825</v>
      </c>
      <c r="H7" s="648" t="s">
        <v>826</v>
      </c>
      <c r="I7" s="648"/>
    </row>
    <row r="8" spans="1:13" x14ac:dyDescent="0.2">
      <c r="A8" s="763"/>
      <c r="B8" s="764"/>
      <c r="C8" s="648"/>
      <c r="D8" s="648"/>
      <c r="E8" s="648"/>
      <c r="F8" s="764"/>
      <c r="G8" s="648"/>
      <c r="H8" s="648"/>
      <c r="I8" s="648"/>
    </row>
    <row r="9" spans="1:13" x14ac:dyDescent="0.2">
      <c r="A9" s="763"/>
      <c r="B9" s="764"/>
      <c r="C9" s="648"/>
      <c r="D9" s="648"/>
      <c r="E9" s="648"/>
      <c r="F9" s="764"/>
      <c r="G9" s="648"/>
      <c r="H9" s="648"/>
      <c r="I9" s="648"/>
    </row>
    <row r="10" spans="1:13" ht="13.5" thickBot="1" x14ac:dyDescent="0.25">
      <c r="A10" s="648"/>
      <c r="B10" s="648"/>
      <c r="C10" s="648"/>
      <c r="D10" s="648"/>
      <c r="E10" s="648"/>
      <c r="F10" s="648"/>
      <c r="G10" s="648"/>
      <c r="H10" s="707" t="s">
        <v>855</v>
      </c>
      <c r="I10" s="648"/>
    </row>
    <row r="11" spans="1:13" ht="17.25" thickTop="1" thickBot="1" x14ac:dyDescent="0.3">
      <c r="A11" s="783" t="s">
        <v>877</v>
      </c>
      <c r="B11" s="784"/>
      <c r="C11" s="784"/>
      <c r="D11" s="784"/>
      <c r="E11" s="784"/>
      <c r="F11" s="784"/>
      <c r="G11" s="784"/>
      <c r="H11" s="765" t="s">
        <v>862</v>
      </c>
      <c r="I11" s="648"/>
      <c r="J11" s="708" t="s">
        <v>11</v>
      </c>
      <c r="K11">
        <f>IF($H$11="Nem","",2)</f>
        <v>2</v>
      </c>
      <c r="L11" t="s">
        <v>856</v>
      </c>
      <c r="M11" t="str">
        <f>CONCATENATE(J11,K11,L11)</f>
        <v>6.2.</v>
      </c>
    </row>
    <row r="12" spans="1:13" ht="13.5" thickTop="1" x14ac:dyDescent="0.2">
      <c r="A12" s="648"/>
      <c r="B12" s="648"/>
      <c r="C12" s="648"/>
      <c r="D12" s="648"/>
      <c r="E12" s="648"/>
      <c r="F12" s="648"/>
      <c r="G12" s="648"/>
      <c r="H12" s="648"/>
      <c r="I12" s="648"/>
    </row>
    <row r="13" spans="1:13" ht="14.25" x14ac:dyDescent="0.2">
      <c r="A13" s="766" t="s">
        <v>493</v>
      </c>
      <c r="B13" s="786" t="s">
        <v>878</v>
      </c>
      <c r="C13" s="787"/>
      <c r="D13" s="787"/>
      <c r="E13" s="787"/>
      <c r="F13" s="787"/>
      <c r="G13" s="787"/>
      <c r="H13" s="648"/>
      <c r="I13" s="648"/>
      <c r="J13" s="708" t="s">
        <v>11</v>
      </c>
      <c r="K13">
        <f>IF(H11="Nem",2,3)</f>
        <v>3</v>
      </c>
      <c r="L13" t="s">
        <v>856</v>
      </c>
      <c r="M13" t="str">
        <f>CONCATENATE(J13,K13,L13)</f>
        <v>6.3.</v>
      </c>
    </row>
    <row r="14" spans="1:13" ht="14.25" x14ac:dyDescent="0.2">
      <c r="A14" s="648"/>
      <c r="B14" s="705"/>
      <c r="C14" s="648"/>
      <c r="D14" s="648"/>
      <c r="E14" s="648"/>
      <c r="F14" s="648"/>
      <c r="G14" s="648"/>
      <c r="H14" s="648"/>
      <c r="I14" s="648"/>
    </row>
    <row r="15" spans="1:13" ht="14.25" x14ac:dyDescent="0.2">
      <c r="A15" s="766" t="s">
        <v>494</v>
      </c>
      <c r="B15" s="786" t="s">
        <v>879</v>
      </c>
      <c r="C15" s="787"/>
      <c r="D15" s="787"/>
      <c r="E15" s="787"/>
      <c r="F15" s="787"/>
      <c r="G15" s="787"/>
      <c r="H15" s="648"/>
      <c r="I15" s="648"/>
      <c r="J15" s="708" t="s">
        <v>11</v>
      </c>
      <c r="K15">
        <f>K13+1</f>
        <v>4</v>
      </c>
      <c r="L15" t="s">
        <v>856</v>
      </c>
      <c r="M15" t="str">
        <f>CONCATENATE(J15,K15,L15)</f>
        <v>6.4.</v>
      </c>
    </row>
    <row r="16" spans="1:13" ht="14.25" x14ac:dyDescent="0.2">
      <c r="A16" s="648"/>
      <c r="B16" s="705"/>
      <c r="C16" s="648"/>
      <c r="D16" s="648"/>
      <c r="E16" s="648"/>
      <c r="F16" s="648"/>
      <c r="G16" s="648"/>
      <c r="H16" s="648"/>
      <c r="I16" s="648"/>
    </row>
    <row r="17" spans="1:13" ht="14.25" x14ac:dyDescent="0.2">
      <c r="A17" s="766" t="s">
        <v>495</v>
      </c>
      <c r="B17" s="786" t="s">
        <v>496</v>
      </c>
      <c r="C17" s="787"/>
      <c r="D17" s="787"/>
      <c r="E17" s="787"/>
      <c r="F17" s="787"/>
      <c r="G17" s="787"/>
      <c r="H17" s="648"/>
      <c r="I17" s="648"/>
      <c r="J17" s="708" t="s">
        <v>11</v>
      </c>
      <c r="K17">
        <f>K15+1</f>
        <v>5</v>
      </c>
      <c r="L17" t="s">
        <v>856</v>
      </c>
      <c r="M17" t="str">
        <f>CONCATENATE(J17,K17,L17)</f>
        <v>6.5.</v>
      </c>
    </row>
    <row r="18" spans="1:13" ht="14.25" x14ac:dyDescent="0.2">
      <c r="A18" s="648"/>
      <c r="B18" s="705"/>
      <c r="C18" s="648"/>
      <c r="D18" s="648"/>
      <c r="E18" s="648"/>
      <c r="F18" s="648"/>
      <c r="G18" s="648"/>
      <c r="H18" s="648"/>
      <c r="I18" s="648"/>
    </row>
    <row r="19" spans="1:13" ht="14.25" x14ac:dyDescent="0.2">
      <c r="A19" s="766" t="s">
        <v>497</v>
      </c>
      <c r="B19" s="786" t="s">
        <v>498</v>
      </c>
      <c r="C19" s="787"/>
      <c r="D19" s="787"/>
      <c r="E19" s="787"/>
      <c r="F19" s="787"/>
      <c r="G19" s="787"/>
      <c r="H19" s="648"/>
      <c r="I19" s="648"/>
      <c r="J19" s="708" t="s">
        <v>11</v>
      </c>
      <c r="K19">
        <f>K17+1</f>
        <v>6</v>
      </c>
      <c r="L19" t="s">
        <v>856</v>
      </c>
      <c r="M19" t="str">
        <f>CONCATENATE(J19,K19,L19)</f>
        <v>6.6.</v>
      </c>
    </row>
    <row r="20" spans="1:13" ht="14.25" x14ac:dyDescent="0.2">
      <c r="A20" s="648"/>
      <c r="B20" s="705"/>
      <c r="C20" s="648"/>
      <c r="D20" s="648"/>
      <c r="E20" s="648"/>
      <c r="F20" s="648"/>
      <c r="G20" s="648"/>
      <c r="H20" s="648"/>
      <c r="I20" s="648"/>
    </row>
    <row r="21" spans="1:13" ht="14.25" x14ac:dyDescent="0.2">
      <c r="A21" s="766" t="s">
        <v>499</v>
      </c>
      <c r="B21" s="786" t="s">
        <v>500</v>
      </c>
      <c r="C21" s="787"/>
      <c r="D21" s="787"/>
      <c r="E21" s="787"/>
      <c r="F21" s="787"/>
      <c r="G21" s="787"/>
      <c r="H21" s="648"/>
      <c r="I21" s="648"/>
      <c r="J21" s="708" t="s">
        <v>11</v>
      </c>
      <c r="K21">
        <f>K19+1</f>
        <v>7</v>
      </c>
      <c r="L21" t="s">
        <v>856</v>
      </c>
      <c r="M21" t="str">
        <f>CONCATENATE(J21,K21,L21)</f>
        <v>6.7.</v>
      </c>
    </row>
    <row r="22" spans="1:13" ht="14.25" x14ac:dyDescent="0.2">
      <c r="A22" s="648"/>
      <c r="B22" s="705"/>
      <c r="C22" s="648"/>
      <c r="D22" s="648"/>
      <c r="E22" s="648"/>
      <c r="F22" s="648"/>
      <c r="G22" s="648"/>
      <c r="H22" s="648"/>
      <c r="I22" s="648"/>
    </row>
    <row r="23" spans="1:13" ht="14.25" x14ac:dyDescent="0.2">
      <c r="A23" s="766" t="s">
        <v>501</v>
      </c>
      <c r="B23" s="786" t="s">
        <v>502</v>
      </c>
      <c r="C23" s="787"/>
      <c r="D23" s="787"/>
      <c r="E23" s="787"/>
      <c r="F23" s="787"/>
      <c r="G23" s="787"/>
      <c r="H23" s="648"/>
      <c r="I23" s="648"/>
      <c r="J23" s="708" t="s">
        <v>11</v>
      </c>
      <c r="K23">
        <f>K21+1</f>
        <v>8</v>
      </c>
      <c r="L23" t="s">
        <v>856</v>
      </c>
      <c r="M23" t="str">
        <f>CONCATENATE(J23,K23,L23)</f>
        <v>6.8.</v>
      </c>
    </row>
    <row r="24" spans="1:13" ht="14.25" x14ac:dyDescent="0.2">
      <c r="A24" s="648"/>
      <c r="B24" s="705"/>
      <c r="C24" s="648"/>
      <c r="D24" s="648"/>
      <c r="E24" s="648"/>
      <c r="F24" s="648"/>
      <c r="G24" s="648"/>
      <c r="H24" s="648"/>
      <c r="I24" s="648"/>
    </row>
    <row r="25" spans="1:13" ht="14.25" x14ac:dyDescent="0.2">
      <c r="A25" s="766" t="s">
        <v>503</v>
      </c>
      <c r="B25" s="786" t="s">
        <v>504</v>
      </c>
      <c r="C25" s="787"/>
      <c r="D25" s="787"/>
      <c r="E25" s="787"/>
      <c r="F25" s="787"/>
      <c r="G25" s="787"/>
      <c r="H25" s="648"/>
      <c r="I25" s="648"/>
      <c r="J25" s="708" t="s">
        <v>11</v>
      </c>
      <c r="K25">
        <f>K23+1</f>
        <v>9</v>
      </c>
      <c r="L25" t="s">
        <v>856</v>
      </c>
      <c r="M25" t="str">
        <f>CONCATENATE(J25,K25,L25)</f>
        <v>6.9.</v>
      </c>
    </row>
    <row r="26" spans="1:13" ht="14.25" x14ac:dyDescent="0.2">
      <c r="A26" s="648"/>
      <c r="B26" s="705"/>
      <c r="C26" s="648"/>
      <c r="D26" s="648"/>
      <c r="E26" s="648"/>
      <c r="F26" s="648"/>
      <c r="G26" s="648"/>
      <c r="H26" s="648"/>
      <c r="I26" s="648"/>
    </row>
    <row r="27" spans="1:13" ht="14.25" x14ac:dyDescent="0.2">
      <c r="A27" s="766" t="s">
        <v>505</v>
      </c>
      <c r="B27" s="786" t="s">
        <v>506</v>
      </c>
      <c r="C27" s="787"/>
      <c r="D27" s="787"/>
      <c r="E27" s="787"/>
      <c r="F27" s="787"/>
      <c r="G27" s="787"/>
      <c r="H27" s="648"/>
      <c r="I27" s="648"/>
      <c r="J27" s="708" t="s">
        <v>11</v>
      </c>
      <c r="K27">
        <f>K25+1</f>
        <v>10</v>
      </c>
      <c r="L27" t="s">
        <v>856</v>
      </c>
      <c r="M27" t="str">
        <f>CONCATENATE(J27,K27,L27)</f>
        <v>6.10.</v>
      </c>
    </row>
    <row r="28" spans="1:13" ht="14.25" x14ac:dyDescent="0.2">
      <c r="A28" s="648"/>
      <c r="B28" s="705"/>
      <c r="C28" s="648"/>
      <c r="D28" s="648"/>
      <c r="E28" s="648"/>
      <c r="F28" s="648"/>
      <c r="G28" s="648"/>
      <c r="H28" s="648"/>
      <c r="I28" s="648"/>
    </row>
    <row r="29" spans="1:13" ht="14.25" x14ac:dyDescent="0.2">
      <c r="A29" s="766" t="s">
        <v>505</v>
      </c>
      <c r="B29" s="786" t="s">
        <v>507</v>
      </c>
      <c r="C29" s="787"/>
      <c r="D29" s="787"/>
      <c r="E29" s="787"/>
      <c r="F29" s="787"/>
      <c r="G29" s="787"/>
      <c r="H29" s="648"/>
      <c r="I29" s="648"/>
      <c r="J29" s="708" t="s">
        <v>11</v>
      </c>
      <c r="K29">
        <f>K27+1</f>
        <v>11</v>
      </c>
      <c r="L29" t="s">
        <v>856</v>
      </c>
      <c r="M29" t="str">
        <f>CONCATENATE(J29,K29,L29)</f>
        <v>6.11.</v>
      </c>
    </row>
    <row r="30" spans="1:13" ht="14.25" x14ac:dyDescent="0.2">
      <c r="A30" s="648"/>
      <c r="B30" s="705"/>
      <c r="C30" s="648"/>
      <c r="D30" s="648"/>
      <c r="E30" s="648"/>
      <c r="F30" s="648"/>
      <c r="G30" s="648"/>
      <c r="H30" s="648"/>
      <c r="I30" s="648"/>
    </row>
    <row r="31" spans="1:13" ht="14.25" x14ac:dyDescent="0.2">
      <c r="A31" s="766" t="s">
        <v>508</v>
      </c>
      <c r="B31" s="786" t="s">
        <v>509</v>
      </c>
      <c r="C31" s="787"/>
      <c r="D31" s="787"/>
      <c r="E31" s="787"/>
      <c r="F31" s="787"/>
      <c r="G31" s="787"/>
      <c r="H31" s="648"/>
      <c r="I31" s="648"/>
      <c r="J31" s="708" t="s">
        <v>11</v>
      </c>
      <c r="K31">
        <f>K29+1</f>
        <v>12</v>
      </c>
      <c r="L31" t="s">
        <v>856</v>
      </c>
      <c r="M31" t="str">
        <f>CONCATENATE(J31,K31,L31)</f>
        <v>6.12.</v>
      </c>
    </row>
    <row r="32" spans="1:13" x14ac:dyDescent="0.2">
      <c r="A32" s="648"/>
      <c r="B32" s="648"/>
      <c r="C32" s="648"/>
      <c r="D32" s="648"/>
      <c r="E32" s="648"/>
      <c r="F32" s="648"/>
      <c r="G32" s="648"/>
      <c r="H32" s="648"/>
      <c r="I32" s="648"/>
    </row>
    <row r="33" spans="1:9" x14ac:dyDescent="0.2">
      <c r="A33" s="648"/>
      <c r="B33" s="648"/>
      <c r="C33" s="648"/>
      <c r="D33" s="648"/>
      <c r="E33" s="648"/>
      <c r="F33" s="648"/>
      <c r="G33" s="648"/>
      <c r="H33" s="648"/>
      <c r="I33" s="648"/>
    </row>
  </sheetData>
  <sheetProtection sheet="1"/>
  <mergeCells count="13">
    <mergeCell ref="B17:G17"/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H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">
        <v>949</v>
      </c>
      <c r="C1" s="860"/>
      <c r="D1" s="860"/>
      <c r="E1" s="860"/>
    </row>
    <row r="2" spans="1:5" s="217" customFormat="1" ht="24.75" thickBot="1" x14ac:dyDescent="0.25">
      <c r="A2" s="329" t="s">
        <v>452</v>
      </c>
      <c r="B2" s="861" t="str">
        <f>CONCATENATE('Z_6.2.1.sz.mell'!B2:D2)</f>
        <v>Gönci Közös Önkormányzati Hivatal</v>
      </c>
      <c r="C2" s="862"/>
      <c r="D2" s="863"/>
      <c r="E2" s="330" t="s">
        <v>42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406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407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306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309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408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310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311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312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313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314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315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316</v>
      </c>
      <c r="B41" s="64" t="s">
        <v>317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318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5" t="s">
        <v>40</v>
      </c>
      <c r="B45" s="856"/>
      <c r="C45" s="856"/>
      <c r="D45" s="856"/>
      <c r="E45" s="857"/>
    </row>
    <row r="46" spans="1:5" s="221" customFormat="1" ht="12" customHeight="1" thickBot="1" x14ac:dyDescent="0.25">
      <c r="A46" s="81" t="s">
        <v>6</v>
      </c>
      <c r="B46" s="59" t="s">
        <v>319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320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409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413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484</v>
      </c>
      <c r="B60" s="307"/>
      <c r="C60" s="296"/>
      <c r="D60" s="296"/>
      <c r="E60" s="295"/>
    </row>
    <row r="61" spans="1:5" ht="14.45" customHeight="1" thickBot="1" x14ac:dyDescent="0.25">
      <c r="A61" s="308" t="s">
        <v>485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61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4" t="s">
        <v>950</v>
      </c>
      <c r="C1" s="865"/>
      <c r="D1" s="865"/>
      <c r="E1" s="865"/>
    </row>
    <row r="2" spans="1:5" s="217" customFormat="1" ht="24.75" thickBot="1" x14ac:dyDescent="0.25">
      <c r="A2" s="329" t="s">
        <v>452</v>
      </c>
      <c r="B2" s="861" t="str">
        <f>CONCATENATE('Z_6.2.2.sz.mell'!B2:D2)</f>
        <v>Gönci Közös Önkormányzati Hivatal</v>
      </c>
      <c r="C2" s="862"/>
      <c r="D2" s="863"/>
      <c r="E2" s="330" t="s">
        <v>42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1648000</v>
      </c>
      <c r="D8" s="122">
        <f>SUM(D9:D19)</f>
        <v>1648000</v>
      </c>
      <c r="E8" s="150">
        <f>SUM(E9:E19)</f>
        <v>243127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>
        <v>96627</v>
      </c>
    </row>
    <row r="11" spans="1:5" s="155" customFormat="1" ht="12" customHeight="1" x14ac:dyDescent="0.2">
      <c r="A11" s="213" t="s">
        <v>65</v>
      </c>
      <c r="B11" s="6" t="s">
        <v>186</v>
      </c>
      <c r="C11" s="119">
        <v>1298000</v>
      </c>
      <c r="D11" s="119">
        <v>1298000</v>
      </c>
      <c r="E11" s="271">
        <v>11027</v>
      </c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>
        <v>350000</v>
      </c>
      <c r="D14" s="119">
        <v>350000</v>
      </c>
      <c r="E14" s="271">
        <v>24031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>
        <v>104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>
        <v>111338</v>
      </c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9556000</v>
      </c>
      <c r="D20" s="122">
        <f>SUM(D21:D23)</f>
        <v>9556000</v>
      </c>
      <c r="E20" s="150">
        <f>SUM(E21:E23)</f>
        <v>10398831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>
        <v>9556000</v>
      </c>
      <c r="D23" s="119">
        <v>9556000</v>
      </c>
      <c r="E23" s="271">
        <v>10398831</v>
      </c>
    </row>
    <row r="24" spans="1:5" s="220" customFormat="1" ht="12" customHeight="1" thickBot="1" x14ac:dyDescent="0.25">
      <c r="A24" s="213" t="s">
        <v>72</v>
      </c>
      <c r="B24" s="6" t="s">
        <v>406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407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306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309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408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310</v>
      </c>
      <c r="C31" s="122">
        <f>+C32+C33+C34</f>
        <v>0</v>
      </c>
      <c r="D31" s="122">
        <f>+D32+D33+D34</f>
        <v>0</v>
      </c>
      <c r="E31" s="150">
        <f>+E32+E33+E34</f>
        <v>175000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>
        <v>175000</v>
      </c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311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312</v>
      </c>
      <c r="C37" s="122">
        <f>+C8+C20+C25+C26+C31+C35+C36</f>
        <v>11204000</v>
      </c>
      <c r="D37" s="122">
        <f>+D8+D20+D25+D26+D31+D35+D36</f>
        <v>11204000</v>
      </c>
      <c r="E37" s="150">
        <f>+E8+E20+E25+E26+E31+E35+E36</f>
        <v>10816958</v>
      </c>
    </row>
    <row r="38" spans="1:5" s="155" customFormat="1" ht="12" customHeight="1" thickBot="1" x14ac:dyDescent="0.25">
      <c r="A38" s="87" t="s">
        <v>14</v>
      </c>
      <c r="B38" s="59" t="s">
        <v>313</v>
      </c>
      <c r="C38" s="122">
        <f>+C39+C40+C41</f>
        <v>145651000</v>
      </c>
      <c r="D38" s="122">
        <f>+D39+D40+D41</f>
        <v>175623000</v>
      </c>
      <c r="E38" s="150">
        <f>+E39+E40+E41</f>
        <v>143597625</v>
      </c>
    </row>
    <row r="39" spans="1:5" s="155" customFormat="1" ht="12" customHeight="1" x14ac:dyDescent="0.2">
      <c r="A39" s="214" t="s">
        <v>314</v>
      </c>
      <c r="B39" s="215" t="s">
        <v>150</v>
      </c>
      <c r="C39" s="278"/>
      <c r="D39" s="278">
        <v>16832000</v>
      </c>
      <c r="E39" s="276">
        <v>5560877</v>
      </c>
    </row>
    <row r="40" spans="1:5" s="155" customFormat="1" ht="12" customHeight="1" x14ac:dyDescent="0.2">
      <c r="A40" s="214" t="s">
        <v>315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316</v>
      </c>
      <c r="B41" s="64" t="s">
        <v>317</v>
      </c>
      <c r="C41" s="50">
        <v>145651000</v>
      </c>
      <c r="D41" s="50">
        <v>158791000</v>
      </c>
      <c r="E41" s="300">
        <v>138036748</v>
      </c>
    </row>
    <row r="42" spans="1:5" s="220" customFormat="1" ht="15.2" customHeight="1" thickBot="1" x14ac:dyDescent="0.25">
      <c r="A42" s="87" t="s">
        <v>15</v>
      </c>
      <c r="B42" s="88" t="s">
        <v>318</v>
      </c>
      <c r="C42" s="302">
        <f>+C37+C38</f>
        <v>156855000</v>
      </c>
      <c r="D42" s="302">
        <f>+D37+D38</f>
        <v>186827000</v>
      </c>
      <c r="E42" s="153">
        <f>+E37+E38</f>
        <v>154414583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5" t="s">
        <v>40</v>
      </c>
      <c r="B45" s="856"/>
      <c r="C45" s="856"/>
      <c r="D45" s="856"/>
      <c r="E45" s="857"/>
    </row>
    <row r="46" spans="1:5" s="221" customFormat="1" ht="12" customHeight="1" thickBot="1" x14ac:dyDescent="0.25">
      <c r="A46" s="81" t="s">
        <v>6</v>
      </c>
      <c r="B46" s="59" t="s">
        <v>319</v>
      </c>
      <c r="C46" s="122">
        <f>SUM(C47:C51)</f>
        <v>156855000</v>
      </c>
      <c r="D46" s="122">
        <f>SUM(D47:D51)</f>
        <v>186577000</v>
      </c>
      <c r="E46" s="150">
        <f>SUM(E47:E51)</f>
        <v>151781344</v>
      </c>
    </row>
    <row r="47" spans="1:5" ht="12" customHeight="1" x14ac:dyDescent="0.2">
      <c r="A47" s="213" t="s">
        <v>63</v>
      </c>
      <c r="B47" s="7" t="s">
        <v>35</v>
      </c>
      <c r="C47" s="278">
        <v>115699000</v>
      </c>
      <c r="D47" s="278">
        <v>136691000</v>
      </c>
      <c r="E47" s="276">
        <v>117946759</v>
      </c>
    </row>
    <row r="48" spans="1:5" ht="12" customHeight="1" x14ac:dyDescent="0.2">
      <c r="A48" s="213" t="s">
        <v>64</v>
      </c>
      <c r="B48" s="6" t="s">
        <v>122</v>
      </c>
      <c r="C48" s="49">
        <v>21474000</v>
      </c>
      <c r="D48" s="49">
        <v>29774000</v>
      </c>
      <c r="E48" s="274">
        <v>19225708</v>
      </c>
    </row>
    <row r="49" spans="1:5" ht="12" customHeight="1" x14ac:dyDescent="0.2">
      <c r="A49" s="213" t="s">
        <v>65</v>
      </c>
      <c r="B49" s="6" t="s">
        <v>90</v>
      </c>
      <c r="C49" s="49">
        <v>19682000</v>
      </c>
      <c r="D49" s="49">
        <v>20112000</v>
      </c>
      <c r="E49" s="274">
        <v>14608877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320</v>
      </c>
      <c r="C52" s="122">
        <f>SUM(C53:C55)</f>
        <v>0</v>
      </c>
      <c r="D52" s="122">
        <f>SUM(D53:D55)</f>
        <v>250000</v>
      </c>
      <c r="E52" s="150">
        <f>SUM(E53:E55)</f>
        <v>76601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>
        <v>250000</v>
      </c>
      <c r="E53" s="276">
        <v>76601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409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413</v>
      </c>
      <c r="C58" s="302">
        <f>+C46+C52+C57</f>
        <v>156855000</v>
      </c>
      <c r="D58" s="302">
        <f>+D46+D52+D57</f>
        <v>186827000</v>
      </c>
      <c r="E58" s="153">
        <f>+E46+E52+E57</f>
        <v>151857945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484</v>
      </c>
      <c r="B60" s="307"/>
      <c r="C60" s="296">
        <v>21</v>
      </c>
      <c r="D60" s="296">
        <v>21</v>
      </c>
      <c r="E60" s="295">
        <v>17</v>
      </c>
    </row>
    <row r="61" spans="1:5" ht="14.45" customHeight="1" thickBot="1" x14ac:dyDescent="0.25">
      <c r="A61" s="308" t="s">
        <v>485</v>
      </c>
      <c r="B61" s="309"/>
      <c r="C61" s="296">
        <v>6</v>
      </c>
      <c r="D61" s="296">
        <v>6</v>
      </c>
      <c r="E61" s="295">
        <v>6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">
        <v>951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CONCATENATE(Z_ALAPADATOK!B13)</f>
        <v>Gönci Barackvirág Napköziotthonos Óvoda</v>
      </c>
      <c r="C2" s="862"/>
      <c r="D2" s="863"/>
      <c r="E2" s="330" t="s">
        <v>43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6321000</v>
      </c>
      <c r="D8" s="122">
        <f>SUM(D9:D19)</f>
        <v>6783000</v>
      </c>
      <c r="E8" s="124">
        <f>SUM(E9:E19)</f>
        <v>5289273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3114000</v>
      </c>
      <c r="D10" s="266">
        <v>3576000</v>
      </c>
      <c r="E10" s="271">
        <v>3737492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1863000</v>
      </c>
      <c r="D13" s="266">
        <v>1863000</v>
      </c>
      <c r="E13" s="271">
        <v>396407</v>
      </c>
    </row>
    <row r="14" spans="1:5" s="155" customFormat="1" ht="12" customHeight="1" x14ac:dyDescent="0.2">
      <c r="A14" s="213" t="s">
        <v>67</v>
      </c>
      <c r="B14" s="6" t="s">
        <v>303</v>
      </c>
      <c r="C14" s="119">
        <v>1344000</v>
      </c>
      <c r="D14" s="266">
        <v>1344000</v>
      </c>
      <c r="E14" s="271">
        <v>1140323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>
        <v>61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14990</v>
      </c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8184000</v>
      </c>
      <c r="D20" s="268">
        <f>SUM(D21:D23)</f>
        <v>8364000</v>
      </c>
      <c r="E20" s="150">
        <f>SUM(E21:E23)</f>
        <v>8416933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>
        <v>8184000</v>
      </c>
      <c r="D23" s="266">
        <v>8364000</v>
      </c>
      <c r="E23" s="271">
        <v>8416933</v>
      </c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14505000</v>
      </c>
      <c r="D36" s="268">
        <f>+D8+D20+D25+D26+D30+D34+D35</f>
        <v>15147000</v>
      </c>
      <c r="E36" s="150">
        <f>+E8+E20+E25+E26+E30+E34+E35</f>
        <v>13706206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118545000</v>
      </c>
      <c r="D37" s="268">
        <f>+D38+D39+D40</f>
        <v>132683000</v>
      </c>
      <c r="E37" s="150">
        <f>+E38+E39+E40</f>
        <v>103672513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>
        <v>470000</v>
      </c>
      <c r="E38" s="276">
        <v>5389067</v>
      </c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>
        <v>118545000</v>
      </c>
      <c r="D40" s="305">
        <v>132213000</v>
      </c>
      <c r="E40" s="300">
        <v>98283446</v>
      </c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133050000</v>
      </c>
      <c r="D41" s="298">
        <f>+D36+D37</f>
        <v>147830000</v>
      </c>
      <c r="E41" s="153">
        <f>+E36+E37</f>
        <v>117378719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133050000</v>
      </c>
      <c r="D45" s="268">
        <f>SUM(D46:D50)</f>
        <v>147810000</v>
      </c>
      <c r="E45" s="150">
        <f>SUM(E46:E50)</f>
        <v>117097986</v>
      </c>
    </row>
    <row r="46" spans="1:5" ht="12" customHeight="1" x14ac:dyDescent="0.2">
      <c r="A46" s="213" t="s">
        <v>63</v>
      </c>
      <c r="B46" s="7" t="s">
        <v>35</v>
      </c>
      <c r="C46" s="278">
        <v>77948000</v>
      </c>
      <c r="D46" s="61">
        <v>82848000</v>
      </c>
      <c r="E46" s="276">
        <v>66416514</v>
      </c>
    </row>
    <row r="47" spans="1:5" ht="12" customHeight="1" x14ac:dyDescent="0.2">
      <c r="A47" s="213" t="s">
        <v>64</v>
      </c>
      <c r="B47" s="6" t="s">
        <v>122</v>
      </c>
      <c r="C47" s="49">
        <v>13941000</v>
      </c>
      <c r="D47" s="62">
        <v>14941000</v>
      </c>
      <c r="E47" s="274">
        <v>10885394</v>
      </c>
    </row>
    <row r="48" spans="1:5" ht="12" customHeight="1" x14ac:dyDescent="0.2">
      <c r="A48" s="213" t="s">
        <v>65</v>
      </c>
      <c r="B48" s="6" t="s">
        <v>90</v>
      </c>
      <c r="C48" s="49">
        <v>41161000</v>
      </c>
      <c r="D48" s="62">
        <v>49841000</v>
      </c>
      <c r="E48" s="274">
        <v>39619868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>
        <v>180000</v>
      </c>
      <c r="E50" s="274">
        <v>176210</v>
      </c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20000</v>
      </c>
      <c r="E51" s="150">
        <f>SUM(E52:E54)</f>
        <v>17990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20000</v>
      </c>
      <c r="E52" s="276">
        <v>17990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133050000</v>
      </c>
      <c r="D57" s="298">
        <f>+D45+D51+D56</f>
        <v>147830000</v>
      </c>
      <c r="E57" s="153">
        <f>+E45+E51+E56</f>
        <v>117115976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>
        <v>16</v>
      </c>
      <c r="D59" s="296">
        <v>16</v>
      </c>
      <c r="E59" s="295">
        <v>16</v>
      </c>
    </row>
    <row r="60" spans="1:5" ht="13.5" thickBot="1" x14ac:dyDescent="0.25">
      <c r="A60" s="308" t="s">
        <v>485</v>
      </c>
      <c r="B60" s="309"/>
      <c r="C60" s="296">
        <v>5</v>
      </c>
      <c r="D60" s="296">
        <v>5</v>
      </c>
      <c r="E60" s="295">
        <v>5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952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CONCATENATE('Z_6.3.sz.mell'!B2:D2)</f>
        <v>Gönci Barackvirág Napköziotthonos Óvoda</v>
      </c>
      <c r="C2" s="862"/>
      <c r="D2" s="863"/>
      <c r="E2" s="330" t="s">
        <v>43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6321000</v>
      </c>
      <c r="D8" s="122">
        <f>SUM(D9:D19)</f>
        <v>6783000</v>
      </c>
      <c r="E8" s="124">
        <f>SUM(E9:E19)</f>
        <v>5289273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3114000</v>
      </c>
      <c r="D10" s="266">
        <v>3576000</v>
      </c>
      <c r="E10" s="271">
        <v>3737492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1863000</v>
      </c>
      <c r="D13" s="266">
        <v>1863000</v>
      </c>
      <c r="E13" s="271">
        <v>396407</v>
      </c>
    </row>
    <row r="14" spans="1:5" s="155" customFormat="1" ht="12" customHeight="1" x14ac:dyDescent="0.2">
      <c r="A14" s="213" t="s">
        <v>67</v>
      </c>
      <c r="B14" s="6" t="s">
        <v>303</v>
      </c>
      <c r="C14" s="119">
        <v>1344000</v>
      </c>
      <c r="D14" s="266">
        <v>1344000</v>
      </c>
      <c r="E14" s="271">
        <v>1140323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>
        <v>61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14990</v>
      </c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8184000</v>
      </c>
      <c r="D20" s="268">
        <f>SUM(D21:D23)</f>
        <v>8364000</v>
      </c>
      <c r="E20" s="150">
        <f>SUM(E21:E23)</f>
        <v>8416933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>
        <v>8184000</v>
      </c>
      <c r="D23" s="266">
        <v>8364000</v>
      </c>
      <c r="E23" s="271">
        <v>8416933</v>
      </c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14505000</v>
      </c>
      <c r="D36" s="268">
        <f>+D8+D20+D25+D26+D30+D34+D35</f>
        <v>15147000</v>
      </c>
      <c r="E36" s="150">
        <f>+E8+E20+E25+E26+E30+E34+E35</f>
        <v>13706206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118545000</v>
      </c>
      <c r="D37" s="268">
        <f>+D38+D39+D40</f>
        <v>132683000</v>
      </c>
      <c r="E37" s="150">
        <f>+E38+E39+E40</f>
        <v>103672513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>
        <v>470000</v>
      </c>
      <c r="E38" s="276">
        <v>5389067</v>
      </c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>
        <v>118545000</v>
      </c>
      <c r="D40" s="305">
        <v>132213000</v>
      </c>
      <c r="E40" s="300">
        <v>98283446</v>
      </c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133050000</v>
      </c>
      <c r="D41" s="298">
        <f>+D36+D37</f>
        <v>147830000</v>
      </c>
      <c r="E41" s="153">
        <f>+E36+E37</f>
        <v>117378719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133050000</v>
      </c>
      <c r="D45" s="268">
        <f>SUM(D46:D50)</f>
        <v>147810000</v>
      </c>
      <c r="E45" s="150">
        <f>SUM(E46:E50)</f>
        <v>117097986</v>
      </c>
    </row>
    <row r="46" spans="1:5" ht="12" customHeight="1" x14ac:dyDescent="0.2">
      <c r="A46" s="213" t="s">
        <v>63</v>
      </c>
      <c r="B46" s="7" t="s">
        <v>35</v>
      </c>
      <c r="C46" s="278">
        <v>77948000</v>
      </c>
      <c r="D46" s="61">
        <v>82848000</v>
      </c>
      <c r="E46" s="276">
        <v>66416514</v>
      </c>
    </row>
    <row r="47" spans="1:5" ht="12" customHeight="1" x14ac:dyDescent="0.2">
      <c r="A47" s="213" t="s">
        <v>64</v>
      </c>
      <c r="B47" s="6" t="s">
        <v>122</v>
      </c>
      <c r="C47" s="49">
        <v>13941000</v>
      </c>
      <c r="D47" s="62">
        <v>14941000</v>
      </c>
      <c r="E47" s="274">
        <v>10885394</v>
      </c>
    </row>
    <row r="48" spans="1:5" ht="12" customHeight="1" x14ac:dyDescent="0.2">
      <c r="A48" s="213" t="s">
        <v>65</v>
      </c>
      <c r="B48" s="6" t="s">
        <v>90</v>
      </c>
      <c r="C48" s="49">
        <v>41161000</v>
      </c>
      <c r="D48" s="62">
        <v>49841000</v>
      </c>
      <c r="E48" s="274">
        <v>39619868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>
        <v>180000</v>
      </c>
      <c r="E50" s="274">
        <v>176210</v>
      </c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20000</v>
      </c>
      <c r="E51" s="150">
        <f>SUM(E52:E54)</f>
        <v>17990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20000</v>
      </c>
      <c r="E52" s="276">
        <v>17990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133050000</v>
      </c>
      <c r="D57" s="298">
        <f>+D45+D51+D56</f>
        <v>147830000</v>
      </c>
      <c r="E57" s="153">
        <f>+E45+E51+E56</f>
        <v>117115976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>
        <v>16</v>
      </c>
      <c r="D59" s="296">
        <v>16</v>
      </c>
      <c r="E59" s="295">
        <v>16</v>
      </c>
    </row>
    <row r="60" spans="1:5" ht="13.5" thickBot="1" x14ac:dyDescent="0.25">
      <c r="A60" s="308" t="s">
        <v>485</v>
      </c>
      <c r="B60" s="309"/>
      <c r="C60" s="296">
        <v>5</v>
      </c>
      <c r="D60" s="296">
        <v>5</v>
      </c>
      <c r="E60" s="295">
        <v>5</v>
      </c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953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CONCATENATE('Z_6.3.1.sz.mell'!B2:D2)</f>
        <v>Gönci Barackvirág Napköziotthonos Óvoda</v>
      </c>
      <c r="C2" s="862"/>
      <c r="D2" s="863"/>
      <c r="E2" s="330" t="s">
        <v>43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954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CONCATENATE('Z_6.3.2.sz.mell'!B2:D2)</f>
        <v>Gönci Barackvirág Napköziotthonos Óvoda</v>
      </c>
      <c r="C2" s="862"/>
      <c r="D2" s="863"/>
      <c r="E2" s="330" t="s">
        <v>43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">
        <v>955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CONCATENATE(Z_ALAPADATOK!B15)</f>
        <v>Városi Könyvtár</v>
      </c>
      <c r="C2" s="862"/>
      <c r="D2" s="863"/>
      <c r="E2" s="330" t="s">
        <v>331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187000</v>
      </c>
      <c r="D8" s="122">
        <f>SUM(D9:D19)</f>
        <v>187000</v>
      </c>
      <c r="E8" s="124">
        <f>SUM(E9:E19)</f>
        <v>297713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185000</v>
      </c>
      <c r="D10" s="266">
        <v>185000</v>
      </c>
      <c r="E10" s="271">
        <v>292236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>
        <v>2000</v>
      </c>
      <c r="D14" s="266">
        <v>2000</v>
      </c>
      <c r="E14" s="271">
        <v>5464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>
        <v>13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187000</v>
      </c>
      <c r="D36" s="268">
        <f>+D8+D20+D25+D26+D30+D34+D35</f>
        <v>187000</v>
      </c>
      <c r="E36" s="150">
        <f>+E8+E20+E25+E26+E30+E34+E35</f>
        <v>297713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9476000</v>
      </c>
      <c r="D37" s="268">
        <f>+D38+D39+D40</f>
        <v>10701000</v>
      </c>
      <c r="E37" s="150">
        <f>+E38+E39+E40</f>
        <v>7383936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>
        <v>335910</v>
      </c>
      <c r="E38" s="276">
        <v>331910</v>
      </c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>
        <v>9476000</v>
      </c>
      <c r="D40" s="305">
        <v>10365090</v>
      </c>
      <c r="E40" s="300">
        <v>7052026</v>
      </c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9663000</v>
      </c>
      <c r="D41" s="298">
        <f>+D36+D37</f>
        <v>10888000</v>
      </c>
      <c r="E41" s="153">
        <f>+E36+E37</f>
        <v>7681649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9663000</v>
      </c>
      <c r="D45" s="268">
        <f>SUM(D46:D50)</f>
        <v>10875110</v>
      </c>
      <c r="E45" s="150">
        <f>SUM(E46:E50)</f>
        <v>7604996</v>
      </c>
    </row>
    <row r="46" spans="1:5" ht="12" customHeight="1" x14ac:dyDescent="0.2">
      <c r="A46" s="213" t="s">
        <v>63</v>
      </c>
      <c r="B46" s="7" t="s">
        <v>35</v>
      </c>
      <c r="C46" s="278">
        <v>4377000</v>
      </c>
      <c r="D46" s="61">
        <v>5211000</v>
      </c>
      <c r="E46" s="276">
        <v>4455506</v>
      </c>
    </row>
    <row r="47" spans="1:5" ht="12" customHeight="1" x14ac:dyDescent="0.2">
      <c r="A47" s="213" t="s">
        <v>64</v>
      </c>
      <c r="B47" s="6" t="s">
        <v>122</v>
      </c>
      <c r="C47" s="49">
        <v>788000</v>
      </c>
      <c r="D47" s="62">
        <v>988000</v>
      </c>
      <c r="E47" s="274">
        <v>744918</v>
      </c>
    </row>
    <row r="48" spans="1:5" ht="12" customHeight="1" x14ac:dyDescent="0.2">
      <c r="A48" s="213" t="s">
        <v>65</v>
      </c>
      <c r="B48" s="6" t="s">
        <v>90</v>
      </c>
      <c r="C48" s="49">
        <v>4498000</v>
      </c>
      <c r="D48" s="62">
        <v>4676110</v>
      </c>
      <c r="E48" s="274">
        <v>2404572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12890</v>
      </c>
      <c r="E51" s="150">
        <f>SUM(E52:E54)</f>
        <v>12890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12890</v>
      </c>
      <c r="E52" s="276">
        <v>12890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9663000</v>
      </c>
      <c r="D57" s="298">
        <f>+D45+D51+D56</f>
        <v>10888000</v>
      </c>
      <c r="E57" s="153">
        <f>+E45+E51+E56</f>
        <v>7617886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>
        <v>1</v>
      </c>
      <c r="D59" s="296">
        <v>1</v>
      </c>
      <c r="E59" s="295">
        <v>1</v>
      </c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956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CONCATENATE('Z_6.4.sz.mell'!B2:D2)</f>
        <v>Városi Könyvtár</v>
      </c>
      <c r="C2" s="862"/>
      <c r="D2" s="863"/>
      <c r="E2" s="330" t="s">
        <v>331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187000</v>
      </c>
      <c r="D8" s="122">
        <f>SUM(D9:D19)</f>
        <v>187000</v>
      </c>
      <c r="E8" s="124">
        <f>SUM(E9:E19)</f>
        <v>297713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185000</v>
      </c>
      <c r="D10" s="266">
        <v>185000</v>
      </c>
      <c r="E10" s="271">
        <v>292236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>
        <v>2000</v>
      </c>
      <c r="D14" s="266">
        <v>2000</v>
      </c>
      <c r="E14" s="271">
        <v>5464</v>
      </c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>
        <v>13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187000</v>
      </c>
      <c r="D36" s="268">
        <f>+D8+D20+D25+D26+D30+D34+D35</f>
        <v>187000</v>
      </c>
      <c r="E36" s="150">
        <f>+E8+E20+E25+E26+E30+E34+E35</f>
        <v>297713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9476000</v>
      </c>
      <c r="D37" s="268">
        <f>+D38+D39+D40</f>
        <v>10701000</v>
      </c>
      <c r="E37" s="150">
        <f>+E38+E39+E40</f>
        <v>7383936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>
        <v>335910</v>
      </c>
      <c r="E38" s="276">
        <v>331910</v>
      </c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>
        <v>9476000</v>
      </c>
      <c r="D40" s="305">
        <v>10365090</v>
      </c>
      <c r="E40" s="300">
        <v>7052026</v>
      </c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9663000</v>
      </c>
      <c r="D41" s="298">
        <f>+D36+D37</f>
        <v>10888000</v>
      </c>
      <c r="E41" s="153">
        <f>+E36+E37</f>
        <v>7681649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9663000</v>
      </c>
      <c r="D45" s="268">
        <f>SUM(D46:D50)</f>
        <v>10875110</v>
      </c>
      <c r="E45" s="150">
        <f>SUM(E46:E50)</f>
        <v>7604996</v>
      </c>
    </row>
    <row r="46" spans="1:5" ht="12" customHeight="1" x14ac:dyDescent="0.2">
      <c r="A46" s="213" t="s">
        <v>63</v>
      </c>
      <c r="B46" s="7" t="s">
        <v>35</v>
      </c>
      <c r="C46" s="278">
        <v>4377000</v>
      </c>
      <c r="D46" s="61">
        <v>5211000</v>
      </c>
      <c r="E46" s="276">
        <v>4455506</v>
      </c>
    </row>
    <row r="47" spans="1:5" ht="12" customHeight="1" x14ac:dyDescent="0.2">
      <c r="A47" s="213" t="s">
        <v>64</v>
      </c>
      <c r="B47" s="6" t="s">
        <v>122</v>
      </c>
      <c r="C47" s="49">
        <v>788000</v>
      </c>
      <c r="D47" s="62">
        <v>988000</v>
      </c>
      <c r="E47" s="274">
        <v>744918</v>
      </c>
    </row>
    <row r="48" spans="1:5" ht="12" customHeight="1" x14ac:dyDescent="0.2">
      <c r="A48" s="213" t="s">
        <v>65</v>
      </c>
      <c r="B48" s="6" t="s">
        <v>90</v>
      </c>
      <c r="C48" s="49">
        <v>4498000</v>
      </c>
      <c r="D48" s="62">
        <v>4676110</v>
      </c>
      <c r="E48" s="274">
        <v>2404572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12890</v>
      </c>
      <c r="E51" s="150">
        <f>SUM(E52:E54)</f>
        <v>12890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12890</v>
      </c>
      <c r="E52" s="276">
        <v>12890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9663000</v>
      </c>
      <c r="D57" s="298">
        <f>+D45+D51+D56</f>
        <v>10888000</v>
      </c>
      <c r="E57" s="153">
        <f>+E45+E51+E56</f>
        <v>7617886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>
        <v>1</v>
      </c>
      <c r="D59" s="296">
        <v>1</v>
      </c>
      <c r="E59" s="295">
        <v>1</v>
      </c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957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/>
      <c r="C2" s="862"/>
      <c r="D2" s="863"/>
      <c r="E2" s="330" t="s">
        <v>331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">
        <v>958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CONCATENATE('Z_6.4.2.sz.mell'!B2:D2)</f>
        <v/>
      </c>
      <c r="C2" s="862"/>
      <c r="D2" s="863"/>
      <c r="E2" s="330" t="s">
        <v>331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521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455</v>
      </c>
      <c r="B9" s="282" t="s">
        <v>424</v>
      </c>
    </row>
    <row r="10" spans="1:2" x14ac:dyDescent="0.2">
      <c r="A10" s="282" t="s">
        <v>453</v>
      </c>
      <c r="B10" s="282" t="s">
        <v>430</v>
      </c>
    </row>
    <row r="11" spans="1:2" x14ac:dyDescent="0.2">
      <c r="A11" s="282" t="s">
        <v>454</v>
      </c>
      <c r="B11" s="282" t="s">
        <v>431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456</v>
      </c>
      <c r="B15" s="282" t="s">
        <v>425</v>
      </c>
    </row>
    <row r="16" spans="1:2" x14ac:dyDescent="0.2">
      <c r="A16" s="282" t="s">
        <v>457</v>
      </c>
      <c r="B16" s="282" t="s">
        <v>432</v>
      </c>
    </row>
    <row r="17" spans="1:2" x14ac:dyDescent="0.2">
      <c r="A17" s="282" t="s">
        <v>458</v>
      </c>
      <c r="B17" s="282" t="s">
        <v>433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459</v>
      </c>
      <c r="B21" s="282" t="s">
        <v>426</v>
      </c>
    </row>
    <row r="22" spans="1:2" x14ac:dyDescent="0.2">
      <c r="A22" s="282" t="s">
        <v>460</v>
      </c>
      <c r="B22" s="282" t="s">
        <v>434</v>
      </c>
    </row>
    <row r="23" spans="1:2" x14ac:dyDescent="0.2">
      <c r="A23" s="282" t="s">
        <v>461</v>
      </c>
      <c r="B23" s="282" t="s">
        <v>435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462</v>
      </c>
      <c r="B27" s="282" t="s">
        <v>427</v>
      </c>
    </row>
    <row r="28" spans="1:2" x14ac:dyDescent="0.2">
      <c r="A28" s="282" t="s">
        <v>463</v>
      </c>
      <c r="B28" s="282" t="s">
        <v>436</v>
      </c>
    </row>
    <row r="29" spans="1:2" x14ac:dyDescent="0.2">
      <c r="A29" s="282" t="s">
        <v>464</v>
      </c>
      <c r="B29" s="282" t="s">
        <v>437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465</v>
      </c>
      <c r="B33" s="282" t="s">
        <v>428</v>
      </c>
    </row>
    <row r="34" spans="1:2" x14ac:dyDescent="0.2">
      <c r="A34" s="282" t="s">
        <v>466</v>
      </c>
      <c r="B34" s="282" t="s">
        <v>438</v>
      </c>
    </row>
    <row r="35" spans="1:2" x14ac:dyDescent="0.2">
      <c r="A35" s="282" t="s">
        <v>467</v>
      </c>
      <c r="B35" s="282" t="s">
        <v>439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468</v>
      </c>
      <c r="B39" s="282" t="s">
        <v>429</v>
      </c>
    </row>
    <row r="40" spans="1:2" x14ac:dyDescent="0.2">
      <c r="A40" s="282" t="s">
        <v>469</v>
      </c>
      <c r="B40" s="282" t="s">
        <v>440</v>
      </c>
    </row>
    <row r="41" spans="1:2" x14ac:dyDescent="0.2">
      <c r="A41" s="282" t="s">
        <v>470</v>
      </c>
      <c r="B41" s="282" t="s">
        <v>441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CONCATENATE(Z_ALAPADATOK!M17," melléklet ",Z_ALAPADATOK!A7," ",Z_ALAPADATOK!B7," ",Z_ALAPADATOK!C7," ",Z_ALAPADATOK!D7," ",Z_ALAPADATOK!E7," ",Z_ALAPADATOK!F7," ",Z_ALAPADATOK!G7," ",Z_ALAPADATOK!H7)</f>
        <v>6.5.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CONCATENATE(Z_ALAPADATOK!B17)</f>
        <v>3 kvi név</v>
      </c>
      <c r="C2" s="862"/>
      <c r="D2" s="863"/>
      <c r="E2" s="330" t="s">
        <v>513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CONCATENATE(Z_ALAPADATOK!M17,"1. melléklet ",Z_ALAPADATOK!A7," ",Z_ALAPADATOK!B7," ",Z_ALAPADATOK!C7," ",Z_ALAPADATOK!D7," ",Z_ALAPADATOK!E7," ",Z_ALAPADATOK!F7," ",Z_ALAPADATOK!G7," ",Z_ALAPADATOK!H7)</f>
        <v>6.5.1.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CONCATENATE('Z_6.5.sz.mell'!B2:D2)</f>
        <v>3 kvi név</v>
      </c>
      <c r="C2" s="862"/>
      <c r="D2" s="863"/>
      <c r="E2" s="330" t="s">
        <v>513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CONCATENATE(Z_ALAPADATOK!M17,"2. melléklet ",Z_ALAPADATOK!A7," ",Z_ALAPADATOK!B7," ",Z_ALAPADATOK!C7," ",Z_ALAPADATOK!D7," ",Z_ALAPADATOK!E7," ",Z_ALAPADATOK!F7," ",Z_ALAPADATOK!G7," ",Z_ALAPADATOK!H7)</f>
        <v>6.5.2.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CONCATENATE('Z_6.5.1.sz.mell'!B2:D2)</f>
        <v>3 kvi név</v>
      </c>
      <c r="C2" s="862"/>
      <c r="D2" s="863"/>
      <c r="E2" s="330" t="s">
        <v>513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CONCATENATE(Z_ALAPADATOK!M17,"3. melléklet ",Z_ALAPADATOK!A7," ",Z_ALAPADATOK!B7," ",Z_ALAPADATOK!C7," ",Z_ALAPADATOK!D7," ",Z_ALAPADATOK!E7," ",Z_ALAPADATOK!F7," ",Z_ALAPADATOK!G7," ",Z_ALAPADATOK!H7)</f>
        <v>6.5.3.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CONCATENATE('Z_6.5.2.sz.mell'!B2:D2)</f>
        <v>3 kvi név</v>
      </c>
      <c r="C2" s="862"/>
      <c r="D2" s="863"/>
      <c r="E2" s="330" t="s">
        <v>513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CONCATENATE(Z_ALAPADATOK!M19," melléklet ",Z_ALAPADATOK!A7," ",Z_ALAPADATOK!B7," ",Z_ALAPADATOK!C7," ",Z_ALAPADATOK!D7," ",Z_ALAPADATOK!E7," ",Z_ALAPADATOK!F7," ",Z_ALAPADATOK!G7," ",Z_ALAPADATOK!H7)</f>
        <v>6.6.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CONCATENATE(Z_ALAPADATOK!B19)</f>
        <v>4 kvi név</v>
      </c>
      <c r="C2" s="862"/>
      <c r="D2" s="863"/>
      <c r="E2" s="330" t="s">
        <v>514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CONCATENATE(Z_ALAPADATOK!M19,"1. melléklet ",Z_ALAPADATOK!A7," ",Z_ALAPADATOK!B7," ",Z_ALAPADATOK!C7," ",Z_ALAPADATOK!D7," ",Z_ALAPADATOK!E7," ",Z_ALAPADATOK!F7," ",Z_ALAPADATOK!G7," ",Z_ALAPADATOK!H7)</f>
        <v>6.6.1.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CONCATENATE('Z_6.6.sz.mell'!B2:D2)</f>
        <v>4 kvi név</v>
      </c>
      <c r="C2" s="862"/>
      <c r="D2" s="863"/>
      <c r="E2" s="330" t="s">
        <v>514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CONCATENATE(Z_ALAPADATOK!M19,"2. melléklet ",Z_ALAPADATOK!A7," ",Z_ALAPADATOK!B7," ",Z_ALAPADATOK!C7," ",Z_ALAPADATOK!D7," ",Z_ALAPADATOK!E7," ",Z_ALAPADATOK!F7," ",Z_ALAPADATOK!G7," ",Z_ALAPADATOK!H7)</f>
        <v>6.6.2.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CONCATENATE('Z_6.6.1.sz.mell'!B2:D2)</f>
        <v>4 kvi név</v>
      </c>
      <c r="C2" s="862"/>
      <c r="D2" s="863"/>
      <c r="E2" s="330" t="s">
        <v>514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CONCATENATE(Z_ALAPADATOK!M19,"3. melléklet ",Z_ALAPADATOK!A7," ",Z_ALAPADATOK!B7," ",Z_ALAPADATOK!C7," ",Z_ALAPADATOK!D7," ",Z_ALAPADATOK!E7," ",Z_ALAPADATOK!F7," ",Z_ALAPADATOK!G7," ",Z_ALAPADATOK!H7)</f>
        <v>6.6.3.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CONCATENATE('Z_6.6.2.sz.mell'!B2:D2)</f>
        <v>4 kvi név</v>
      </c>
      <c r="C2" s="862"/>
      <c r="D2" s="863"/>
      <c r="E2" s="330" t="s">
        <v>514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CONCATENATE(Z_ALAPADATOK!M21," melléklet ",Z_ALAPADATOK!A7," ",Z_ALAPADATOK!B7," ",Z_ALAPADATOK!C7," ",Z_ALAPADATOK!D7," ",Z_ALAPADATOK!E7," ",Z_ALAPADATOK!F7," ",Z_ALAPADATOK!G7," ",Z_ALAPADATOK!H7)</f>
        <v>6.7.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CONCATENATE(Z_ALAPADATOK!B21)</f>
        <v>5 kvi név</v>
      </c>
      <c r="C2" s="862"/>
      <c r="D2" s="863"/>
      <c r="E2" s="330" t="s">
        <v>515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CONCATENATE(Z_ALAPADATOK!M21,"1. melléklet ",Z_ALAPADATOK!A7," ",Z_ALAPADATOK!B7," ",Z_ALAPADATOK!C7," ",Z_ALAPADATOK!D7," ",Z_ALAPADATOK!E7," ",Z_ALAPADATOK!F7," ",Z_ALAPADATOK!G7," ",Z_ALAPADATOK!H7)</f>
        <v>6.7.1.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CONCATENATE('Z_6.7.sz.mell'!B2:D2)</f>
        <v>5 kvi név</v>
      </c>
      <c r="C2" s="862"/>
      <c r="D2" s="863"/>
      <c r="E2" s="330" t="s">
        <v>515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I166"/>
  <sheetViews>
    <sheetView tabSelected="1" topLeftCell="B1"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8" t="s">
        <v>940</v>
      </c>
      <c r="C1" s="789"/>
      <c r="D1" s="789"/>
      <c r="E1" s="789"/>
    </row>
    <row r="2" spans="1:5" x14ac:dyDescent="0.25">
      <c r="A2" s="790" t="str">
        <f>CONCATENATE(Z_ALAPADATOK!A3)</f>
        <v>Gönc Város Önkormányzata</v>
      </c>
      <c r="B2" s="791"/>
      <c r="C2" s="791"/>
      <c r="D2" s="791"/>
      <c r="E2" s="791"/>
    </row>
    <row r="3" spans="1:5" x14ac:dyDescent="0.25">
      <c r="A3" s="790" t="str">
        <f>CONCATENATE(Z_ALAPADATOK!B1,". évi ZÁRSZÁMADÁSÁNAK PÉNZÜGYI MÉRLEGE")</f>
        <v>2020. évi ZÁRSZÁMADÁSÁNAK PÉNZÜGYI MÉRLEGE</v>
      </c>
      <c r="B3" s="790"/>
      <c r="C3" s="792"/>
      <c r="D3" s="790"/>
      <c r="E3" s="790"/>
    </row>
    <row r="4" spans="1:5" ht="12" customHeight="1" x14ac:dyDescent="0.25">
      <c r="A4" s="790"/>
      <c r="B4" s="790"/>
      <c r="C4" s="792"/>
      <c r="D4" s="790"/>
      <c r="E4" s="790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2" t="s">
        <v>3</v>
      </c>
      <c r="B6" s="802"/>
      <c r="C6" s="802"/>
      <c r="D6" s="802"/>
      <c r="E6" s="802"/>
    </row>
    <row r="7" spans="1:5" ht="15.95" customHeight="1" thickBot="1" x14ac:dyDescent="0.3">
      <c r="A7" s="804" t="s">
        <v>100</v>
      </c>
      <c r="B7" s="804"/>
      <c r="C7" s="324"/>
      <c r="D7" s="323"/>
      <c r="E7" s="324" t="s">
        <v>486</v>
      </c>
    </row>
    <row r="8" spans="1:5" x14ac:dyDescent="0.25">
      <c r="A8" s="794" t="s">
        <v>51</v>
      </c>
      <c r="B8" s="796" t="s">
        <v>5</v>
      </c>
      <c r="C8" s="798" t="str">
        <f>+CONCATENATE(LEFT(Z_ÖSSZEFÜGGÉSEK!A6,4),". évi")</f>
        <v>2020. évi</v>
      </c>
      <c r="D8" s="799"/>
      <c r="E8" s="800"/>
    </row>
    <row r="9" spans="1:5" ht="24.75" thickBot="1" x14ac:dyDescent="0.3">
      <c r="A9" s="795"/>
      <c r="B9" s="797"/>
      <c r="C9" s="254" t="s">
        <v>417</v>
      </c>
      <c r="D9" s="253" t="s">
        <v>418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384</v>
      </c>
      <c r="B10" s="177" t="s">
        <v>385</v>
      </c>
      <c r="C10" s="177" t="s">
        <v>386</v>
      </c>
      <c r="D10" s="177" t="s">
        <v>388</v>
      </c>
      <c r="E10" s="255" t="s">
        <v>387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441095000</v>
      </c>
      <c r="D11" s="169">
        <f>+D12+D13+D14+D15+D16+D17</f>
        <v>430196850</v>
      </c>
      <c r="E11" s="105">
        <f>+E12+E13+E14+E15+E16+E17</f>
        <v>430196850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148052716</v>
      </c>
      <c r="D12" s="171">
        <v>170383149</v>
      </c>
      <c r="E12" s="107">
        <v>170383149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51074150</v>
      </c>
      <c r="D13" s="170">
        <v>55594125</v>
      </c>
      <c r="E13" s="106">
        <v>55594125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156765192</v>
      </c>
      <c r="D14" s="170">
        <v>183082621</v>
      </c>
      <c r="E14" s="106">
        <v>183082621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2542032</v>
      </c>
      <c r="D15" s="170">
        <v>4021434</v>
      </c>
      <c r="E15" s="106">
        <v>4021434</v>
      </c>
    </row>
    <row r="16" spans="1:5" s="181" customFormat="1" ht="12" customHeight="1" x14ac:dyDescent="0.2">
      <c r="A16" s="12" t="s">
        <v>97</v>
      </c>
      <c r="B16" s="113" t="s">
        <v>332</v>
      </c>
      <c r="C16" s="170">
        <v>82660910</v>
      </c>
      <c r="D16" s="170">
        <v>17115521</v>
      </c>
      <c r="E16" s="106">
        <v>17115521</v>
      </c>
    </row>
    <row r="17" spans="1:5" s="181" customFormat="1" ht="12" customHeight="1" thickBot="1" x14ac:dyDescent="0.25">
      <c r="A17" s="14" t="s">
        <v>67</v>
      </c>
      <c r="B17" s="114" t="s">
        <v>333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171420000</v>
      </c>
      <c r="D18" s="169">
        <f>+D19+D20+D21+D22+D23</f>
        <v>390053363</v>
      </c>
      <c r="E18" s="105">
        <f>+E19+E20+E21+E22+E23</f>
        <v>227499478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324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325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171420000</v>
      </c>
      <c r="D23" s="170">
        <v>390053363</v>
      </c>
      <c r="E23" s="106">
        <v>227499478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120071000</v>
      </c>
      <c r="D25" s="169">
        <f>+D26+D27+D28+D29+D30</f>
        <v>222199546</v>
      </c>
      <c r="E25" s="105">
        <f>+E26+E27+E28+E29+E30</f>
        <v>124448510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33520989</v>
      </c>
      <c r="E26" s="107">
        <v>33520989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326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327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120071000</v>
      </c>
      <c r="D30" s="170">
        <v>188678557</v>
      </c>
      <c r="E30" s="106">
        <v>90927521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>
        <v>51337760</v>
      </c>
    </row>
    <row r="32" spans="1:5" s="181" customFormat="1" ht="12" customHeight="1" thickBot="1" x14ac:dyDescent="0.25">
      <c r="A32" s="18" t="s">
        <v>112</v>
      </c>
      <c r="B32" s="19" t="s">
        <v>475</v>
      </c>
      <c r="C32" s="175">
        <f>SUM(C33:C39)</f>
        <v>40050000</v>
      </c>
      <c r="D32" s="175">
        <f>SUM(D33:D39)</f>
        <v>40050000</v>
      </c>
      <c r="E32" s="211">
        <f>SUM(E33:E39)</f>
        <v>37274492</v>
      </c>
    </row>
    <row r="33" spans="1:5" s="181" customFormat="1" ht="12" customHeight="1" x14ac:dyDescent="0.2">
      <c r="A33" s="13" t="s">
        <v>177</v>
      </c>
      <c r="B33" s="758" t="s">
        <v>476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59" t="s">
        <v>867</v>
      </c>
      <c r="C34" s="170">
        <v>50000</v>
      </c>
      <c r="D34" s="170">
        <v>50000</v>
      </c>
      <c r="E34" s="106">
        <v>7700</v>
      </c>
    </row>
    <row r="35" spans="1:5" s="181" customFormat="1" ht="12" customHeight="1" x14ac:dyDescent="0.2">
      <c r="A35" s="12" t="s">
        <v>179</v>
      </c>
      <c r="B35" s="759" t="s">
        <v>477</v>
      </c>
      <c r="C35" s="170">
        <v>28000000</v>
      </c>
      <c r="D35" s="170">
        <v>28000000</v>
      </c>
      <c r="E35" s="106">
        <v>25822837</v>
      </c>
    </row>
    <row r="36" spans="1:5" s="181" customFormat="1" ht="12" customHeight="1" x14ac:dyDescent="0.2">
      <c r="A36" s="12" t="s">
        <v>180</v>
      </c>
      <c r="B36" s="759" t="s">
        <v>478</v>
      </c>
      <c r="C36" s="170"/>
      <c r="D36" s="170"/>
      <c r="E36" s="106"/>
    </row>
    <row r="37" spans="1:5" s="181" customFormat="1" ht="12" customHeight="1" x14ac:dyDescent="0.2">
      <c r="A37" s="12" t="s">
        <v>479</v>
      </c>
      <c r="B37" s="759" t="s">
        <v>181</v>
      </c>
      <c r="C37" s="170">
        <v>4000000</v>
      </c>
      <c r="D37" s="170">
        <v>4000000</v>
      </c>
      <c r="E37" s="106"/>
    </row>
    <row r="38" spans="1:5" s="181" customFormat="1" ht="12" customHeight="1" x14ac:dyDescent="0.2">
      <c r="A38" s="12" t="s">
        <v>480</v>
      </c>
      <c r="B38" s="759" t="s">
        <v>880</v>
      </c>
      <c r="C38" s="170"/>
      <c r="D38" s="170"/>
      <c r="E38" s="106">
        <v>2344121</v>
      </c>
    </row>
    <row r="39" spans="1:5" s="181" customFormat="1" ht="12" customHeight="1" thickBot="1" x14ac:dyDescent="0.25">
      <c r="A39" s="14" t="s">
        <v>481</v>
      </c>
      <c r="B39" s="760" t="s">
        <v>854</v>
      </c>
      <c r="C39" s="172">
        <v>8000000</v>
      </c>
      <c r="D39" s="172">
        <v>8000000</v>
      </c>
      <c r="E39" s="108">
        <v>9099834</v>
      </c>
    </row>
    <row r="40" spans="1:5" s="181" customFormat="1" ht="12" customHeight="1" thickBot="1" x14ac:dyDescent="0.25">
      <c r="A40" s="18" t="s">
        <v>10</v>
      </c>
      <c r="B40" s="19" t="s">
        <v>334</v>
      </c>
      <c r="C40" s="169">
        <f>SUM(C41:C51)</f>
        <v>24124000</v>
      </c>
      <c r="D40" s="169">
        <f>SUM(D41:D51)</f>
        <v>24586000</v>
      </c>
      <c r="E40" s="105">
        <f>SUM(E41:E51)</f>
        <v>23765662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>
        <v>579500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7469000</v>
      </c>
      <c r="D42" s="170">
        <v>7931000</v>
      </c>
      <c r="E42" s="106">
        <v>10503587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5343000</v>
      </c>
      <c r="D43" s="170">
        <v>5343000</v>
      </c>
      <c r="E43" s="106">
        <v>11027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>
        <v>6948000</v>
      </c>
      <c r="D45" s="170">
        <v>6948000</v>
      </c>
      <c r="E45" s="106">
        <v>5941957</v>
      </c>
    </row>
    <row r="46" spans="1:5" s="181" customFormat="1" ht="12" customHeight="1" x14ac:dyDescent="0.2">
      <c r="A46" s="12" t="s">
        <v>116</v>
      </c>
      <c r="B46" s="183" t="s">
        <v>189</v>
      </c>
      <c r="C46" s="170">
        <v>4364000</v>
      </c>
      <c r="D46" s="170">
        <v>4364000</v>
      </c>
      <c r="E46" s="106">
        <v>4858807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482</v>
      </c>
      <c r="C48" s="170"/>
      <c r="D48" s="170"/>
      <c r="E48" s="106">
        <v>128212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336</v>
      </c>
      <c r="C50" s="174"/>
      <c r="D50" s="174"/>
      <c r="E50" s="110">
        <v>677818</v>
      </c>
    </row>
    <row r="51" spans="1:5" s="181" customFormat="1" ht="12" customHeight="1" thickBot="1" x14ac:dyDescent="0.25">
      <c r="A51" s="14" t="s">
        <v>335</v>
      </c>
      <c r="B51" s="114" t="s">
        <v>193</v>
      </c>
      <c r="C51" s="174"/>
      <c r="D51" s="174"/>
      <c r="E51" s="110">
        <v>1064754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6114370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5839370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>
        <v>275000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71418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328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>
        <v>71418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2035000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329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>
        <v>2035000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376</v>
      </c>
      <c r="B68" s="19" t="s">
        <v>214</v>
      </c>
      <c r="C68" s="175">
        <f>+C11+C18+C25+C32+C40+C52+C58+C63</f>
        <v>796760000</v>
      </c>
      <c r="D68" s="175">
        <f>+D11+D18+D25+D32+D40+D52+D58+D63</f>
        <v>1107085759</v>
      </c>
      <c r="E68" s="211">
        <f>+E11+E18+E25+E32+E40+E52+E58+E63</f>
        <v>851405780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361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489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490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913076000</v>
      </c>
      <c r="D78" s="169">
        <f>SUM(D79:D80)</f>
        <v>966125877</v>
      </c>
      <c r="E78" s="105">
        <f>SUM(E79:E80)</f>
        <v>1010559168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913076000</v>
      </c>
      <c r="D79" s="173">
        <v>966125877</v>
      </c>
      <c r="E79" s="109">
        <v>1010559168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16034856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16034856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491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375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378</v>
      </c>
      <c r="C92" s="175">
        <f>+C69+C73+C78+C81+C85+C91+C90</f>
        <v>913076000</v>
      </c>
      <c r="D92" s="175">
        <f>+D69+D73+D78+D81+D85+D91+D90</f>
        <v>966125877</v>
      </c>
      <c r="E92" s="211">
        <f>+E69+E73+E78+E81+E85+E91+E90</f>
        <v>1026594024</v>
      </c>
    </row>
    <row r="93" spans="1:5" s="181" customFormat="1" ht="25.5" customHeight="1" thickBot="1" x14ac:dyDescent="0.25">
      <c r="A93" s="224" t="s">
        <v>377</v>
      </c>
      <c r="B93" s="190" t="s">
        <v>379</v>
      </c>
      <c r="C93" s="175">
        <f>+C68+C92</f>
        <v>1709836000</v>
      </c>
      <c r="D93" s="175">
        <f>+D68+D92</f>
        <v>2073211636</v>
      </c>
      <c r="E93" s="211">
        <f>+E68+E92</f>
        <v>1877999804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3" t="s">
        <v>34</v>
      </c>
      <c r="B95" s="803"/>
      <c r="C95" s="803"/>
      <c r="D95" s="803"/>
      <c r="E95" s="803"/>
    </row>
    <row r="96" spans="1:5" s="191" customFormat="1" ht="16.5" customHeight="1" thickBot="1" x14ac:dyDescent="0.3">
      <c r="A96" s="805" t="s">
        <v>101</v>
      </c>
      <c r="B96" s="805"/>
      <c r="C96" s="63"/>
      <c r="E96" s="63" t="str">
        <f>E7</f>
        <v xml:space="preserve"> Forintban!</v>
      </c>
    </row>
    <row r="97" spans="1:5" x14ac:dyDescent="0.25">
      <c r="A97" s="794" t="s">
        <v>51</v>
      </c>
      <c r="B97" s="796" t="s">
        <v>419</v>
      </c>
      <c r="C97" s="798" t="str">
        <f>+CONCATENATE(LEFT(Z_ÖSSZEFÜGGÉSEK!A6,4),". évi")</f>
        <v>2020. évi</v>
      </c>
      <c r="D97" s="799"/>
      <c r="E97" s="800"/>
    </row>
    <row r="98" spans="1:5" ht="24.75" thickBot="1" x14ac:dyDescent="0.3">
      <c r="A98" s="795"/>
      <c r="B98" s="797"/>
      <c r="C98" s="254" t="s">
        <v>417</v>
      </c>
      <c r="D98" s="253" t="s">
        <v>418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5" t="s">
        <v>387</v>
      </c>
    </row>
    <row r="100" spans="1:5" ht="12" customHeight="1" thickBot="1" x14ac:dyDescent="0.3">
      <c r="A100" s="20" t="s">
        <v>6</v>
      </c>
      <c r="B100" s="24" t="s">
        <v>337</v>
      </c>
      <c r="C100" s="168">
        <f>C101+C102+C103+C104+C105+C118</f>
        <v>690795000</v>
      </c>
      <c r="D100" s="168">
        <f>D101+D102+D103+D104+D105+D118</f>
        <v>989252708</v>
      </c>
      <c r="E100" s="240">
        <f>E101+E102+E103+E104+E105+E118</f>
        <v>802196523</v>
      </c>
    </row>
    <row r="101" spans="1:5" ht="12" customHeight="1" x14ac:dyDescent="0.25">
      <c r="A101" s="15" t="s">
        <v>63</v>
      </c>
      <c r="B101" s="8" t="s">
        <v>35</v>
      </c>
      <c r="C101" s="247">
        <v>317125000</v>
      </c>
      <c r="D101" s="247">
        <v>405921000</v>
      </c>
      <c r="E101" s="241">
        <v>336089039</v>
      </c>
    </row>
    <row r="102" spans="1:5" ht="12" customHeight="1" x14ac:dyDescent="0.25">
      <c r="A102" s="12" t="s">
        <v>64</v>
      </c>
      <c r="B102" s="6" t="s">
        <v>122</v>
      </c>
      <c r="C102" s="170">
        <v>50805000</v>
      </c>
      <c r="D102" s="170">
        <v>68805000</v>
      </c>
      <c r="E102" s="106">
        <v>45311145</v>
      </c>
    </row>
    <row r="103" spans="1:5" ht="12" customHeight="1" x14ac:dyDescent="0.25">
      <c r="A103" s="12" t="s">
        <v>65</v>
      </c>
      <c r="B103" s="6" t="s">
        <v>90</v>
      </c>
      <c r="C103" s="172">
        <v>236856000</v>
      </c>
      <c r="D103" s="172">
        <v>321461877</v>
      </c>
      <c r="E103" s="108">
        <v>263964404</v>
      </c>
    </row>
    <row r="104" spans="1:5" ht="12" customHeight="1" x14ac:dyDescent="0.25">
      <c r="A104" s="12" t="s">
        <v>66</v>
      </c>
      <c r="B104" s="9" t="s">
        <v>123</v>
      </c>
      <c r="C104" s="172">
        <v>5155000</v>
      </c>
      <c r="D104" s="172">
        <v>14197000</v>
      </c>
      <c r="E104" s="108">
        <v>2542400</v>
      </c>
    </row>
    <row r="105" spans="1:5" ht="12" customHeight="1" x14ac:dyDescent="0.25">
      <c r="A105" s="12" t="s">
        <v>75</v>
      </c>
      <c r="B105" s="17" t="s">
        <v>124</v>
      </c>
      <c r="C105" s="172">
        <v>80854000</v>
      </c>
      <c r="D105" s="172">
        <v>178867831</v>
      </c>
      <c r="E105" s="108">
        <v>154289535</v>
      </c>
    </row>
    <row r="106" spans="1:5" ht="12" customHeight="1" x14ac:dyDescent="0.25">
      <c r="A106" s="12" t="s">
        <v>67</v>
      </c>
      <c r="B106" s="6" t="s">
        <v>342</v>
      </c>
      <c r="C106" s="172"/>
      <c r="D106" s="172">
        <v>4272678</v>
      </c>
      <c r="E106" s="108">
        <v>4272678</v>
      </c>
    </row>
    <row r="107" spans="1:5" ht="12" customHeight="1" x14ac:dyDescent="0.25">
      <c r="A107" s="12" t="s">
        <v>68</v>
      </c>
      <c r="B107" s="67" t="s">
        <v>341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340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80854000</v>
      </c>
      <c r="D112" s="172">
        <v>172814713</v>
      </c>
      <c r="E112" s="108">
        <v>148236417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338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339</v>
      </c>
      <c r="B117" s="67" t="s">
        <v>266</v>
      </c>
      <c r="C117" s="172"/>
      <c r="D117" s="172">
        <v>1780440</v>
      </c>
      <c r="E117" s="108">
        <v>1780440</v>
      </c>
    </row>
    <row r="118" spans="1:5" ht="12" customHeight="1" x14ac:dyDescent="0.25">
      <c r="A118" s="12" t="s">
        <v>343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344</v>
      </c>
      <c r="B119" s="6" t="s">
        <v>346</v>
      </c>
      <c r="C119" s="170"/>
      <c r="D119" s="170"/>
      <c r="E119" s="106"/>
    </row>
    <row r="120" spans="1:5" ht="12" customHeight="1" thickBot="1" x14ac:dyDescent="0.3">
      <c r="A120" s="16" t="s">
        <v>345</v>
      </c>
      <c r="B120" s="236" t="s">
        <v>347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1019041000</v>
      </c>
      <c r="D121" s="169">
        <f>+D122+D124+D126</f>
        <v>1069621565</v>
      </c>
      <c r="E121" s="243">
        <f>+E122+E124+E126</f>
        <v>685034634</v>
      </c>
    </row>
    <row r="122" spans="1:5" ht="12" customHeight="1" x14ac:dyDescent="0.25">
      <c r="A122" s="13" t="s">
        <v>69</v>
      </c>
      <c r="B122" s="6" t="s">
        <v>143</v>
      </c>
      <c r="C122" s="171">
        <v>884935000</v>
      </c>
      <c r="D122" s="258">
        <v>871608816</v>
      </c>
      <c r="E122" s="107">
        <v>505760074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134106000</v>
      </c>
      <c r="D124" s="259">
        <v>198012749</v>
      </c>
      <c r="E124" s="106">
        <v>179274560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330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348</v>
      </c>
      <c r="C135" s="169">
        <f>+C100+C121</f>
        <v>1709836000</v>
      </c>
      <c r="D135" s="257">
        <f>+D100+D121</f>
        <v>2058874273</v>
      </c>
      <c r="E135" s="105">
        <f>+E100+E121</f>
        <v>1487231157</v>
      </c>
    </row>
    <row r="136" spans="1:5" ht="12" customHeight="1" thickBot="1" x14ac:dyDescent="0.3">
      <c r="A136" s="18" t="s">
        <v>9</v>
      </c>
      <c r="B136" s="59" t="s">
        <v>420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356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357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358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350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359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351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352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353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354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355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363</v>
      </c>
      <c r="C147" s="175">
        <f>+C148+C149+C150+C151</f>
        <v>0</v>
      </c>
      <c r="D147" s="261">
        <f>+D148+D149+D150+D151</f>
        <v>14337363</v>
      </c>
      <c r="E147" s="211">
        <f>+E148+E149+E150+E151</f>
        <v>14337363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>
        <v>14337363</v>
      </c>
      <c r="E149" s="106">
        <v>14337363</v>
      </c>
    </row>
    <row r="150" spans="1:9" ht="12" customHeight="1" x14ac:dyDescent="0.25">
      <c r="A150" s="13" t="s">
        <v>195</v>
      </c>
      <c r="B150" s="7" t="s">
        <v>364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294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365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360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367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362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368</v>
      </c>
      <c r="C156" s="170"/>
      <c r="D156" s="259"/>
      <c r="E156" s="106"/>
    </row>
    <row r="157" spans="1:9" ht="12" customHeight="1" thickBot="1" x14ac:dyDescent="0.3">
      <c r="A157" s="13" t="s">
        <v>366</v>
      </c>
      <c r="B157" s="7" t="s">
        <v>369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370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371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373</v>
      </c>
      <c r="C160" s="252">
        <f>+C136+C140+C147+C152+C158+C159</f>
        <v>0</v>
      </c>
      <c r="D160" s="264">
        <f>+D136+D140+D147+D152+D158+D159</f>
        <v>14337363</v>
      </c>
      <c r="E160" s="246">
        <f>+E136+E140+E147+E152+E158+E159</f>
        <v>14337363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372</v>
      </c>
      <c r="C161" s="252">
        <f>+C135+C160</f>
        <v>1709836000</v>
      </c>
      <c r="D161" s="264">
        <f>+D135+D160</f>
        <v>2073211636</v>
      </c>
      <c r="E161" s="246">
        <f>+E135+E160</f>
        <v>1501568520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801" t="s">
        <v>280</v>
      </c>
      <c r="B163" s="801"/>
      <c r="C163" s="801"/>
      <c r="D163" s="801"/>
      <c r="E163" s="801"/>
    </row>
    <row r="164" spans="1:5" ht="15.2" customHeight="1" thickBot="1" x14ac:dyDescent="0.3">
      <c r="A164" s="793" t="s">
        <v>102</v>
      </c>
      <c r="B164" s="793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374</v>
      </c>
      <c r="C165" s="256">
        <f>+C68-C135</f>
        <v>-913076000</v>
      </c>
      <c r="D165" s="169">
        <f>+D68-D135</f>
        <v>-951788514</v>
      </c>
      <c r="E165" s="105">
        <f>+E68-E135</f>
        <v>-635825377</v>
      </c>
    </row>
    <row r="166" spans="1:5" ht="32.450000000000003" customHeight="1" thickBot="1" x14ac:dyDescent="0.3">
      <c r="A166" s="18" t="s">
        <v>7</v>
      </c>
      <c r="B166" s="23" t="s">
        <v>380</v>
      </c>
      <c r="C166" s="169">
        <f>+C92-C160</f>
        <v>913076000</v>
      </c>
      <c r="D166" s="169">
        <f>+D92-D160</f>
        <v>951788514</v>
      </c>
      <c r="E166" s="105">
        <f>+E92-E160</f>
        <v>1012256661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CONCATENATE(Z_ALAPADATOK!M21,"2. melléklet ",Z_ALAPADATOK!A7," ",Z_ALAPADATOK!B7," ",Z_ALAPADATOK!C7," ",Z_ALAPADATOK!D7," ",Z_ALAPADATOK!E7," ",Z_ALAPADATOK!F7," ",Z_ALAPADATOK!G7," ",Z_ALAPADATOK!H7)</f>
        <v>6.7.2.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CONCATENATE('Z_6.7.1.sz.mell'!B2:D2)</f>
        <v>5 kvi név</v>
      </c>
      <c r="C2" s="862"/>
      <c r="D2" s="863"/>
      <c r="E2" s="330" t="s">
        <v>515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CONCATENATE(Z_ALAPADATOK!M21,"3. melléklet ",Z_ALAPADATOK!A7," ",Z_ALAPADATOK!B7," ",Z_ALAPADATOK!C7," ",Z_ALAPADATOK!D7," ",Z_ALAPADATOK!E7," ",Z_ALAPADATOK!F7," ",Z_ALAPADATOK!G7," ",Z_ALAPADATOK!H7)</f>
        <v>6.7.3.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CONCATENATE('Z_6.7.2.sz.mell'!B2:D2)</f>
        <v>5 kvi név</v>
      </c>
      <c r="C2" s="862"/>
      <c r="D2" s="863"/>
      <c r="E2" s="330" t="s">
        <v>515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CONCATENATE(Z_ALAPADATOK!M23," melléklet ",Z_ALAPADATOK!A7," ",Z_ALAPADATOK!B7," ",Z_ALAPADATOK!C7," ",Z_ALAPADATOK!D7," ",Z_ALAPADATOK!E7," ",Z_ALAPADATOK!F7," ",Z_ALAPADATOK!G7," ",Z_ALAPADATOK!H7)</f>
        <v>6.8.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CONCATENATE(Z_ALAPADATOK!B23)</f>
        <v>6 kvi név</v>
      </c>
      <c r="C2" s="862"/>
      <c r="D2" s="863"/>
      <c r="E2" s="330" t="s">
        <v>516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CONCATENATE(Z_ALAPADATOK!M23,"1. melléklet ",Z_ALAPADATOK!A7," ",Z_ALAPADATOK!B7," ",Z_ALAPADATOK!C7," ",Z_ALAPADATOK!D7," ",Z_ALAPADATOK!E7," ",Z_ALAPADATOK!F7," ",Z_ALAPADATOK!G7," ",Z_ALAPADATOK!H7)</f>
        <v>6.8.1.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CONCATENATE('Z_6.8.sz.mell'!B2:D2)</f>
        <v>6 kvi név</v>
      </c>
      <c r="C2" s="862"/>
      <c r="D2" s="863"/>
      <c r="E2" s="330" t="s">
        <v>516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CONCATENATE(Z_ALAPADATOK!M23,"2. melléklet ",Z_ALAPADATOK!A7," ",Z_ALAPADATOK!B7," ",Z_ALAPADATOK!C7," ",Z_ALAPADATOK!D7," ",Z_ALAPADATOK!E7," ",Z_ALAPADATOK!F7," ",Z_ALAPADATOK!G7," ",Z_ALAPADATOK!H7)</f>
        <v>6.8.2.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CONCATENATE('Z_6.8.1.sz.mell'!B2:D2)</f>
        <v>6 kvi név</v>
      </c>
      <c r="C2" s="862"/>
      <c r="D2" s="863"/>
      <c r="E2" s="330" t="s">
        <v>516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CONCATENATE(Z_ALAPADATOK!M23,"3. melléklet ",Z_ALAPADATOK!A7," ",Z_ALAPADATOK!B7," ",Z_ALAPADATOK!C7," ",Z_ALAPADATOK!D7," ",Z_ALAPADATOK!E7," ",Z_ALAPADATOK!F7," ",Z_ALAPADATOK!G7," ",Z_ALAPADATOK!H7)</f>
        <v>6.8.3.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CONCATENATE('Z_6.8.2.sz.mell'!B2:D2)</f>
        <v>6 kvi név</v>
      </c>
      <c r="C2" s="862"/>
      <c r="D2" s="863"/>
      <c r="E2" s="330" t="s">
        <v>516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CONCATENATE(Z_ALAPADATOK!M25," melléklet ",Z_ALAPADATOK!A7," ",Z_ALAPADATOK!B7," ",Z_ALAPADATOK!C7," ",Z_ALAPADATOK!D7," ",Z_ALAPADATOK!E7," ",Z_ALAPADATOK!F7," ",Z_ALAPADATOK!G7," ",Z_ALAPADATOK!H7)</f>
        <v>6.9.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CONCATENATE(Z_ALAPADATOK!B25)</f>
        <v>7 kvi név</v>
      </c>
      <c r="C2" s="862"/>
      <c r="D2" s="863"/>
      <c r="E2" s="330" t="s">
        <v>517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CONCATENATE(Z_ALAPADATOK!M25,"1. melléklet ",Z_ALAPADATOK!A7," ",Z_ALAPADATOK!B7," ",Z_ALAPADATOK!C7," ",Z_ALAPADATOK!D7," ",Z_ALAPADATOK!E7," ",Z_ALAPADATOK!F7," ",Z_ALAPADATOK!G7," ",Z_ALAPADATOK!H7)</f>
        <v>6.9.1.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CONCATENATE('Z_6.9.sz.mell'!B2:D2)</f>
        <v>7 kvi név</v>
      </c>
      <c r="C2" s="862"/>
      <c r="D2" s="863"/>
      <c r="E2" s="330" t="s">
        <v>517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CONCATENATE(Z_ALAPADATOK!M25,"2. melléklet ",Z_ALAPADATOK!A7," ",Z_ALAPADATOK!B7," ",Z_ALAPADATOK!C7," ",Z_ALAPADATOK!D7," ",Z_ALAPADATOK!E7," ",Z_ALAPADATOK!F7," ",Z_ALAPADATOK!G7," ",Z_ALAPADATOK!H7)</f>
        <v>6.9.2.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CONCATENATE('Z_6.9.1.sz.mell'!B2:D2)</f>
        <v>7 kvi név</v>
      </c>
      <c r="C2" s="862"/>
      <c r="D2" s="863"/>
      <c r="E2" s="330" t="s">
        <v>517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CONCATENATE(Z_ALAPADATOK!M25,"3. melléklet ",Z_ALAPADATOK!A7," ",Z_ALAPADATOK!B7," ",Z_ALAPADATOK!C7," ",Z_ALAPADATOK!D7," ",Z_ALAPADATOK!E7," ",Z_ALAPADATOK!F7," ",Z_ALAPADATOK!G7," ",Z_ALAPADATOK!H7)</f>
        <v>6.9.3.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CONCATENATE('Z_6.9.2.sz.mell'!B2:D2)</f>
        <v>7 kvi név</v>
      </c>
      <c r="C2" s="862"/>
      <c r="D2" s="863"/>
      <c r="E2" s="330" t="s">
        <v>517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8" t="s">
        <v>939</v>
      </c>
      <c r="C1" s="789"/>
      <c r="D1" s="789"/>
      <c r="E1" s="789"/>
    </row>
    <row r="2" spans="1:5" x14ac:dyDescent="0.25">
      <c r="A2" s="790" t="str">
        <f>CONCATENATE(Z_ALAPADATOK!A3)</f>
        <v>Gönc Város Önkormányzata</v>
      </c>
      <c r="B2" s="791"/>
      <c r="C2" s="791"/>
      <c r="D2" s="791"/>
      <c r="E2" s="791"/>
    </row>
    <row r="3" spans="1:5" x14ac:dyDescent="0.25">
      <c r="A3" s="790" t="str">
        <f>CONCATENATE(Z_ALAPADATOK!B1,". ÉVI ZÁRSZÁMADÁS")</f>
        <v>2020. ÉVI ZÁRSZÁMADÁS</v>
      </c>
      <c r="B3" s="790"/>
      <c r="C3" s="792"/>
      <c r="D3" s="790"/>
      <c r="E3" s="790"/>
    </row>
    <row r="4" spans="1:5" ht="17.25" customHeight="1" x14ac:dyDescent="0.25">
      <c r="A4" s="790" t="s">
        <v>847</v>
      </c>
      <c r="B4" s="790"/>
      <c r="C4" s="792"/>
      <c r="D4" s="790"/>
      <c r="E4" s="790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2" t="s">
        <v>3</v>
      </c>
      <c r="B6" s="802"/>
      <c r="C6" s="802"/>
      <c r="D6" s="802"/>
      <c r="E6" s="802"/>
    </row>
    <row r="7" spans="1:5" ht="15.95" customHeight="1" thickBot="1" x14ac:dyDescent="0.3">
      <c r="A7" s="804" t="s">
        <v>100</v>
      </c>
      <c r="B7" s="804"/>
      <c r="C7" s="324"/>
      <c r="D7" s="323"/>
      <c r="E7" s="324" t="str">
        <f>CONCATENATE('Z_1.1.sz.mell.'!E7)</f>
        <v xml:space="preserve"> Forintban!</v>
      </c>
    </row>
    <row r="8" spans="1:5" x14ac:dyDescent="0.25">
      <c r="A8" s="794" t="s">
        <v>51</v>
      </c>
      <c r="B8" s="796" t="s">
        <v>5</v>
      </c>
      <c r="C8" s="798" t="str">
        <f>+CONCATENATE(LEFT(Z_ÖSSZEFÜGGÉSEK!A6,4),". évi")</f>
        <v>2020. évi</v>
      </c>
      <c r="D8" s="799"/>
      <c r="E8" s="800"/>
    </row>
    <row r="9" spans="1:5" ht="24.75" thickBot="1" x14ac:dyDescent="0.3">
      <c r="A9" s="795"/>
      <c r="B9" s="797"/>
      <c r="C9" s="254" t="s">
        <v>417</v>
      </c>
      <c r="D9" s="253" t="s">
        <v>418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384</v>
      </c>
      <c r="B10" s="177" t="s">
        <v>385</v>
      </c>
      <c r="C10" s="177" t="s">
        <v>386</v>
      </c>
      <c r="D10" s="177" t="s">
        <v>388</v>
      </c>
      <c r="E10" s="255" t="s">
        <v>387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295444000</v>
      </c>
      <c r="D11" s="169">
        <f>+D12+D13+D14+D15+D16+D17</f>
        <v>271405850</v>
      </c>
      <c r="E11" s="105">
        <f>+E12+E13+E14+E15+E16+E17</f>
        <v>292160102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70742316</v>
      </c>
      <c r="D12" s="171">
        <v>11592149</v>
      </c>
      <c r="E12" s="107">
        <v>32346401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51074150</v>
      </c>
      <c r="D13" s="170">
        <v>55594125</v>
      </c>
      <c r="E13" s="106">
        <v>55594125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156765192</v>
      </c>
      <c r="D14" s="170">
        <v>183082621</v>
      </c>
      <c r="E14" s="106">
        <v>183082621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2542032</v>
      </c>
      <c r="D15" s="170">
        <v>4021434</v>
      </c>
      <c r="E15" s="106">
        <v>4021434</v>
      </c>
    </row>
    <row r="16" spans="1:5" s="181" customFormat="1" ht="12" customHeight="1" x14ac:dyDescent="0.2">
      <c r="A16" s="12" t="s">
        <v>97</v>
      </c>
      <c r="B16" s="113" t="s">
        <v>332</v>
      </c>
      <c r="C16" s="170">
        <v>14320310</v>
      </c>
      <c r="D16" s="170">
        <v>17115521</v>
      </c>
      <c r="E16" s="106">
        <v>17115521</v>
      </c>
    </row>
    <row r="17" spans="1:5" s="181" customFormat="1" ht="12" customHeight="1" thickBot="1" x14ac:dyDescent="0.25">
      <c r="A17" s="14" t="s">
        <v>67</v>
      </c>
      <c r="B17" s="114" t="s">
        <v>333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161864000</v>
      </c>
      <c r="D18" s="169">
        <f>+D19+D20+D21+D22+D23</f>
        <v>380497363</v>
      </c>
      <c r="E18" s="105">
        <f>+E19+E20+E21+E22+E23</f>
        <v>217100647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324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325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161864000</v>
      </c>
      <c r="D23" s="170">
        <v>380497363</v>
      </c>
      <c r="E23" s="106">
        <v>217100647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>
        <v>9247341</v>
      </c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120071000</v>
      </c>
      <c r="D25" s="169">
        <f>+D26+D27+D28+D29+D30</f>
        <v>222199546</v>
      </c>
      <c r="E25" s="105">
        <f>+E26+E27+E28+E29+E30</f>
        <v>124448510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33520989</v>
      </c>
      <c r="E26" s="107">
        <v>33520989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326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327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120071000</v>
      </c>
      <c r="D30" s="170">
        <v>188678557</v>
      </c>
      <c r="E30" s="106">
        <v>90927521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>
        <v>51337760</v>
      </c>
    </row>
    <row r="32" spans="1:5" s="181" customFormat="1" ht="12" customHeight="1" thickBot="1" x14ac:dyDescent="0.25">
      <c r="A32" s="18" t="s">
        <v>112</v>
      </c>
      <c r="B32" s="19" t="s">
        <v>475</v>
      </c>
      <c r="C32" s="175">
        <f>SUM(C33:C39)</f>
        <v>40050000</v>
      </c>
      <c r="D32" s="175">
        <f>SUM(D33:D39)</f>
        <v>40050000</v>
      </c>
      <c r="E32" s="211">
        <f>SUM(E33:E39)</f>
        <v>37274492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>
        <v>50000</v>
      </c>
      <c r="D34" s="170">
        <v>50000</v>
      </c>
      <c r="E34" s="106">
        <v>7700</v>
      </c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28000000</v>
      </c>
      <c r="D35" s="170">
        <v>28000000</v>
      </c>
      <c r="E35" s="106">
        <v>25822837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479</v>
      </c>
      <c r="B37" s="182" t="str">
        <f>'Z_1.1.sz.mell.'!B37</f>
        <v>Gépjárműadó</v>
      </c>
      <c r="C37" s="170">
        <v>4000000</v>
      </c>
      <c r="D37" s="170">
        <v>4000000</v>
      </c>
      <c r="E37" s="106"/>
    </row>
    <row r="38" spans="1:5" s="181" customFormat="1" ht="12" customHeight="1" x14ac:dyDescent="0.2">
      <c r="A38" s="12" t="s">
        <v>480</v>
      </c>
      <c r="B38" s="182" t="str">
        <f>'Z_1.1.sz.mell.'!B38</f>
        <v>Egyéb közhatalmi bevétel</v>
      </c>
      <c r="C38" s="170"/>
      <c r="D38" s="170"/>
      <c r="E38" s="106">
        <v>2344121</v>
      </c>
    </row>
    <row r="39" spans="1:5" s="181" customFormat="1" ht="12" customHeight="1" thickBot="1" x14ac:dyDescent="0.25">
      <c r="A39" s="14" t="s">
        <v>481</v>
      </c>
      <c r="B39" s="182" t="str">
        <f>'Z_1.1.sz.mell.'!B39</f>
        <v>Kommunális adó</v>
      </c>
      <c r="C39" s="172">
        <v>8000000</v>
      </c>
      <c r="D39" s="172">
        <v>8000000</v>
      </c>
      <c r="E39" s="108">
        <v>9099834</v>
      </c>
    </row>
    <row r="40" spans="1:5" s="181" customFormat="1" ht="12" customHeight="1" thickBot="1" x14ac:dyDescent="0.25">
      <c r="A40" s="18" t="s">
        <v>10</v>
      </c>
      <c r="B40" s="19" t="s">
        <v>334</v>
      </c>
      <c r="C40" s="169">
        <f>SUM(C41:C51)</f>
        <v>22476000</v>
      </c>
      <c r="D40" s="169">
        <f>SUM(D41:D51)</f>
        <v>22938000</v>
      </c>
      <c r="E40" s="105">
        <f>SUM(E41:E51)</f>
        <v>23522535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>
        <v>579500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7469000</v>
      </c>
      <c r="D42" s="170">
        <v>7931000</v>
      </c>
      <c r="E42" s="106">
        <v>10406960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4045000</v>
      </c>
      <c r="D43" s="170">
        <v>4045000</v>
      </c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>
        <v>6948000</v>
      </c>
      <c r="D45" s="170">
        <v>6948000</v>
      </c>
      <c r="E45" s="106">
        <v>5941957</v>
      </c>
    </row>
    <row r="46" spans="1:5" s="181" customFormat="1" ht="12" customHeight="1" x14ac:dyDescent="0.2">
      <c r="A46" s="12" t="s">
        <v>116</v>
      </c>
      <c r="B46" s="183" t="s">
        <v>189</v>
      </c>
      <c r="C46" s="170">
        <v>4014000</v>
      </c>
      <c r="D46" s="170">
        <v>4014000</v>
      </c>
      <c r="E46" s="106">
        <v>4834776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482</v>
      </c>
      <c r="C48" s="170"/>
      <c r="D48" s="170"/>
      <c r="E48" s="106">
        <v>128108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336</v>
      </c>
      <c r="C50" s="174"/>
      <c r="D50" s="174"/>
      <c r="E50" s="110">
        <v>677818</v>
      </c>
    </row>
    <row r="51" spans="1:5" s="181" customFormat="1" ht="12" customHeight="1" thickBot="1" x14ac:dyDescent="0.25">
      <c r="A51" s="14" t="s">
        <v>335</v>
      </c>
      <c r="B51" s="114" t="s">
        <v>193</v>
      </c>
      <c r="C51" s="174"/>
      <c r="D51" s="174"/>
      <c r="E51" s="110">
        <v>953416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5939370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>
        <v>5839370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>
        <v>100000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71418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328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>
        <v>71418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2035000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329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>
        <v>2035000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376</v>
      </c>
      <c r="B68" s="19" t="s">
        <v>214</v>
      </c>
      <c r="C68" s="175">
        <f>+C11+C18+C25+C32+C40+C52+C58+C63</f>
        <v>639905000</v>
      </c>
      <c r="D68" s="175">
        <f>+D11+D18+D25+D32+D40+D52+D58+D63</f>
        <v>937090759</v>
      </c>
      <c r="E68" s="211">
        <f>+E11+E18+E25+E32+E40+E52+E58+E63</f>
        <v>702552074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361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489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490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913076000</v>
      </c>
      <c r="D78" s="169">
        <f>SUM(D79:D80)</f>
        <v>949293877</v>
      </c>
      <c r="E78" s="105">
        <f>SUM(E79:E80)</f>
        <v>1004998291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913076000</v>
      </c>
      <c r="D79" s="173">
        <v>949293877</v>
      </c>
      <c r="E79" s="109">
        <v>1004998291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16034856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16034856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491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375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378</v>
      </c>
      <c r="C92" s="175">
        <f>+C69+C73+C78+C81+C85+C91+C90</f>
        <v>913076000</v>
      </c>
      <c r="D92" s="175">
        <f>+D69+D73+D78+D81+D85+D91+D90</f>
        <v>949293877</v>
      </c>
      <c r="E92" s="211">
        <f>+E69+E73+E78+E81+E85+E91+E90</f>
        <v>1021033147</v>
      </c>
    </row>
    <row r="93" spans="1:5" s="181" customFormat="1" ht="25.5" customHeight="1" thickBot="1" x14ac:dyDescent="0.25">
      <c r="A93" s="224" t="s">
        <v>377</v>
      </c>
      <c r="B93" s="190" t="s">
        <v>379</v>
      </c>
      <c r="C93" s="175">
        <f>+C68+C92</f>
        <v>1552981000</v>
      </c>
      <c r="D93" s="175">
        <f>+D68+D92</f>
        <v>1886384636</v>
      </c>
      <c r="E93" s="211">
        <f>+E68+E92</f>
        <v>1723585221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3" t="s">
        <v>34</v>
      </c>
      <c r="B95" s="803"/>
      <c r="C95" s="803"/>
      <c r="D95" s="803"/>
      <c r="E95" s="803"/>
    </row>
    <row r="96" spans="1:5" s="191" customFormat="1" ht="16.5" customHeight="1" thickBot="1" x14ac:dyDescent="0.3">
      <c r="A96" s="805" t="s">
        <v>101</v>
      </c>
      <c r="B96" s="805"/>
      <c r="C96" s="63"/>
      <c r="E96" s="63" t="str">
        <f>E7</f>
        <v xml:space="preserve"> Forintban!</v>
      </c>
    </row>
    <row r="97" spans="1:5" x14ac:dyDescent="0.25">
      <c r="A97" s="794" t="s">
        <v>51</v>
      </c>
      <c r="B97" s="796" t="s">
        <v>419</v>
      </c>
      <c r="C97" s="798" t="str">
        <f>+CONCATENATE(LEFT(Z_ÖSSZEFÜGGÉSEK!A6,4),". évi")</f>
        <v>2020. évi</v>
      </c>
      <c r="D97" s="799"/>
      <c r="E97" s="800"/>
    </row>
    <row r="98" spans="1:5" ht="24.75" thickBot="1" x14ac:dyDescent="0.3">
      <c r="A98" s="795"/>
      <c r="B98" s="797"/>
      <c r="C98" s="254" t="s">
        <v>417</v>
      </c>
      <c r="D98" s="253" t="s">
        <v>418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5" t="s">
        <v>387</v>
      </c>
    </row>
    <row r="100" spans="1:5" ht="12" customHeight="1" thickBot="1" x14ac:dyDescent="0.3">
      <c r="A100" s="20" t="s">
        <v>6</v>
      </c>
      <c r="B100" s="24" t="s">
        <v>337</v>
      </c>
      <c r="C100" s="168">
        <f>C101+C102+C103+C104+C105+C118</f>
        <v>533940000</v>
      </c>
      <c r="D100" s="168">
        <f>D101+D102+D103+D104+D105+D118</f>
        <v>802675708</v>
      </c>
      <c r="E100" s="240">
        <f>E101+E102+E103+E104+E105+E118</f>
        <v>650415179</v>
      </c>
    </row>
    <row r="101" spans="1:5" ht="12" customHeight="1" x14ac:dyDescent="0.25">
      <c r="A101" s="15" t="s">
        <v>63</v>
      </c>
      <c r="B101" s="8" t="s">
        <v>35</v>
      </c>
      <c r="C101" s="247">
        <v>201426000</v>
      </c>
      <c r="D101" s="247">
        <v>269230000</v>
      </c>
      <c r="E101" s="241">
        <v>218142280</v>
      </c>
    </row>
    <row r="102" spans="1:5" ht="12" customHeight="1" x14ac:dyDescent="0.25">
      <c r="A102" s="12" t="s">
        <v>64</v>
      </c>
      <c r="B102" s="6" t="s">
        <v>122</v>
      </c>
      <c r="C102" s="170">
        <v>29331000</v>
      </c>
      <c r="D102" s="170">
        <v>39031000</v>
      </c>
      <c r="E102" s="106">
        <v>26085437</v>
      </c>
    </row>
    <row r="103" spans="1:5" ht="12" customHeight="1" x14ac:dyDescent="0.25">
      <c r="A103" s="12" t="s">
        <v>65</v>
      </c>
      <c r="B103" s="6" t="s">
        <v>90</v>
      </c>
      <c r="C103" s="172">
        <v>217174000</v>
      </c>
      <c r="D103" s="172">
        <v>301349877</v>
      </c>
      <c r="E103" s="108">
        <v>249355527</v>
      </c>
    </row>
    <row r="104" spans="1:5" ht="12" customHeight="1" x14ac:dyDescent="0.25">
      <c r="A104" s="12" t="s">
        <v>66</v>
      </c>
      <c r="B104" s="9" t="s">
        <v>123</v>
      </c>
      <c r="C104" s="172">
        <v>5155000</v>
      </c>
      <c r="D104" s="172">
        <v>14197000</v>
      </c>
      <c r="E104" s="108">
        <v>2542400</v>
      </c>
    </row>
    <row r="105" spans="1:5" ht="12" customHeight="1" x14ac:dyDescent="0.25">
      <c r="A105" s="12" t="s">
        <v>75</v>
      </c>
      <c r="B105" s="17" t="s">
        <v>124</v>
      </c>
      <c r="C105" s="172">
        <v>80854000</v>
      </c>
      <c r="D105" s="172">
        <v>178867831</v>
      </c>
      <c r="E105" s="108">
        <v>154289535</v>
      </c>
    </row>
    <row r="106" spans="1:5" ht="12" customHeight="1" x14ac:dyDescent="0.25">
      <c r="A106" s="12" t="s">
        <v>67</v>
      </c>
      <c r="B106" s="6" t="s">
        <v>342</v>
      </c>
      <c r="C106" s="172"/>
      <c r="D106" s="172">
        <v>4272678</v>
      </c>
      <c r="E106" s="108">
        <v>4272678</v>
      </c>
    </row>
    <row r="107" spans="1:5" ht="12" customHeight="1" x14ac:dyDescent="0.25">
      <c r="A107" s="12" t="s">
        <v>68</v>
      </c>
      <c r="B107" s="67" t="s">
        <v>341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340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80854000</v>
      </c>
      <c r="D112" s="172">
        <v>172814713</v>
      </c>
      <c r="E112" s="108">
        <v>148236417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338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339</v>
      </c>
      <c r="B117" s="67" t="s">
        <v>266</v>
      </c>
      <c r="C117" s="172"/>
      <c r="D117" s="172">
        <v>1780440</v>
      </c>
      <c r="E117" s="108">
        <v>1780440</v>
      </c>
    </row>
    <row r="118" spans="1:5" ht="12" customHeight="1" x14ac:dyDescent="0.25">
      <c r="A118" s="12" t="s">
        <v>343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344</v>
      </c>
      <c r="B119" s="6" t="s">
        <v>346</v>
      </c>
      <c r="C119" s="170"/>
      <c r="D119" s="170"/>
      <c r="E119" s="106"/>
    </row>
    <row r="120" spans="1:5" ht="12" customHeight="1" thickBot="1" x14ac:dyDescent="0.3">
      <c r="A120" s="16" t="s">
        <v>345</v>
      </c>
      <c r="B120" s="236" t="s">
        <v>347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1019041000</v>
      </c>
      <c r="D121" s="169">
        <f>+D122+D124+D126</f>
        <v>1069371565</v>
      </c>
      <c r="E121" s="243">
        <f>+E122+E124+E126</f>
        <v>684958033</v>
      </c>
    </row>
    <row r="122" spans="1:5" ht="12" customHeight="1" x14ac:dyDescent="0.25">
      <c r="A122" s="13" t="s">
        <v>69</v>
      </c>
      <c r="B122" s="6" t="s">
        <v>143</v>
      </c>
      <c r="C122" s="171">
        <v>884935000</v>
      </c>
      <c r="D122" s="258">
        <v>871358816</v>
      </c>
      <c r="E122" s="107">
        <v>505683473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134106000</v>
      </c>
      <c r="D124" s="259">
        <v>198012749</v>
      </c>
      <c r="E124" s="106">
        <v>179274560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330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348</v>
      </c>
      <c r="C135" s="169">
        <f>+C100+C121</f>
        <v>1552981000</v>
      </c>
      <c r="D135" s="257">
        <f>+D100+D121</f>
        <v>1872047273</v>
      </c>
      <c r="E135" s="105">
        <f>+E100+E121</f>
        <v>1335373212</v>
      </c>
    </row>
    <row r="136" spans="1:5" ht="12" customHeight="1" thickBot="1" x14ac:dyDescent="0.3">
      <c r="A136" s="18" t="s">
        <v>9</v>
      </c>
      <c r="B136" s="59" t="s">
        <v>420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356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357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358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350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359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351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352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353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354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355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363</v>
      </c>
      <c r="C147" s="175">
        <f>+C148+C149+C150+C151</f>
        <v>0</v>
      </c>
      <c r="D147" s="261">
        <f>+D148+D149+D150+D151</f>
        <v>14337363</v>
      </c>
      <c r="E147" s="211">
        <f>+E148+E149+E150+E151</f>
        <v>14337363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>
        <v>14337363</v>
      </c>
      <c r="E149" s="106">
        <v>14337363</v>
      </c>
    </row>
    <row r="150" spans="1:9" ht="12" customHeight="1" x14ac:dyDescent="0.25">
      <c r="A150" s="13" t="s">
        <v>195</v>
      </c>
      <c r="B150" s="7" t="s">
        <v>364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294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365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360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367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362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368</v>
      </c>
      <c r="C156" s="170"/>
      <c r="D156" s="259"/>
      <c r="E156" s="106"/>
    </row>
    <row r="157" spans="1:9" ht="12" customHeight="1" thickBot="1" x14ac:dyDescent="0.3">
      <c r="A157" s="13" t="s">
        <v>366</v>
      </c>
      <c r="B157" s="7" t="s">
        <v>369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370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371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373</v>
      </c>
      <c r="C160" s="252">
        <f>+C136+C140+C147+C152+C158+C159</f>
        <v>0</v>
      </c>
      <c r="D160" s="264">
        <f>+D136+D140+D147+D152+D158+D159</f>
        <v>14337363</v>
      </c>
      <c r="E160" s="246">
        <f>+E136+E140+E147+E152+E158+E159</f>
        <v>14337363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372</v>
      </c>
      <c r="C161" s="252">
        <f>+C135+C160</f>
        <v>1552981000</v>
      </c>
      <c r="D161" s="264">
        <f>+D135+D160</f>
        <v>1886384636</v>
      </c>
      <c r="E161" s="246">
        <f>+E135+E160</f>
        <v>1349710575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801" t="s">
        <v>280</v>
      </c>
      <c r="B163" s="801"/>
      <c r="C163" s="801"/>
      <c r="D163" s="801"/>
      <c r="E163" s="801"/>
    </row>
    <row r="164" spans="1:5" ht="15.2" customHeight="1" thickBot="1" x14ac:dyDescent="0.3">
      <c r="A164" s="793" t="s">
        <v>102</v>
      </c>
      <c r="B164" s="793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374</v>
      </c>
      <c r="C165" s="256">
        <f>+C68-C135</f>
        <v>-913076000</v>
      </c>
      <c r="D165" s="169">
        <f>+D68-D135</f>
        <v>-934956514</v>
      </c>
      <c r="E165" s="105">
        <f>+E68-E135</f>
        <v>-632821138</v>
      </c>
    </row>
    <row r="166" spans="1:5" ht="32.450000000000003" customHeight="1" thickBot="1" x14ac:dyDescent="0.3">
      <c r="A166" s="18" t="s">
        <v>7</v>
      </c>
      <c r="B166" s="23" t="s">
        <v>380</v>
      </c>
      <c r="C166" s="169">
        <f>+C92-C160</f>
        <v>913076000</v>
      </c>
      <c r="D166" s="169">
        <f>+D92-D160</f>
        <v>934956514</v>
      </c>
      <c r="E166" s="105">
        <f>+E92-E160</f>
        <v>1006695784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CONCATENATE(Z_ALAPADATOK!M27," melléklet ",Z_ALAPADATOK!A7," ",Z_ALAPADATOK!B7," ",Z_ALAPADATOK!C7," ",Z_ALAPADATOK!D7," ",Z_ALAPADATOK!E7," ",Z_ALAPADATOK!F7," ",Z_ALAPADATOK!G7," ",Z_ALAPADATOK!H7)</f>
        <v>6.10.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CONCATENATE(Z_ALAPADATOK!B27)</f>
        <v>8 kvi név</v>
      </c>
      <c r="C2" s="862"/>
      <c r="D2" s="863"/>
      <c r="E2" s="330" t="s">
        <v>518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CONCATENATE(Z_ALAPADATOK!M27,"1. melléklet ",Z_ALAPADATOK!A7," ",Z_ALAPADATOK!B7," ",Z_ALAPADATOK!C7," ",Z_ALAPADATOK!D7," ",Z_ALAPADATOK!E7," ",Z_ALAPADATOK!F7," ",Z_ALAPADATOK!G7," ",Z_ALAPADATOK!H7)</f>
        <v>6.10.1.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CONCATENATE('Z_6.10.sz.mell'!B2:D2)</f>
        <v>8 kvi név</v>
      </c>
      <c r="C2" s="862"/>
      <c r="D2" s="863"/>
      <c r="E2" s="330" t="s">
        <v>518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CONCATENATE(Z_ALAPADATOK!M27,"2. melléklet ",Z_ALAPADATOK!A7," ",Z_ALAPADATOK!B7," ",Z_ALAPADATOK!C7," ",Z_ALAPADATOK!D7," ",Z_ALAPADATOK!E7," ",Z_ALAPADATOK!F7," ",Z_ALAPADATOK!G7," ",Z_ALAPADATOK!H7)</f>
        <v>6.10.2.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CONCATENATE('Z_6.10.1.sz.mell'!B2:D2)</f>
        <v>8 kvi név</v>
      </c>
      <c r="C2" s="862"/>
      <c r="D2" s="863"/>
      <c r="E2" s="330" t="s">
        <v>518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E60"/>
  <sheetViews>
    <sheetView zoomScale="120" zoomScaleNormal="120" workbookViewId="0">
      <selection activeCell="J20" sqref="J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CONCATENATE(Z_ALAPADATOK!M27,"3. melléklet ",Z_ALAPADATOK!A7," ",Z_ALAPADATOK!B7," ",Z_ALAPADATOK!C7," ",Z_ALAPADATOK!D7," ",Z_ALAPADATOK!E7," ",Z_ALAPADATOK!F7," ",Z_ALAPADATOK!G7," ",Z_ALAPADATOK!H7)</f>
        <v>6.10.3.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CONCATENATE('Z_6.10.2.sz.mell'!B2:D2)</f>
        <v>8 kvi név</v>
      </c>
      <c r="C2" s="862"/>
      <c r="D2" s="863"/>
      <c r="E2" s="330" t="s">
        <v>518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CONCATENATE(Z_ALAPADATOK!M29," melléklet ",Z_ALAPADATOK!A7," ",Z_ALAPADATOK!B7," ",Z_ALAPADATOK!C7," ",Z_ALAPADATOK!D7," ",Z_ALAPADATOK!E7," ",Z_ALAPADATOK!F7," ",Z_ALAPADATOK!G7," ",Z_ALAPADATOK!H7)</f>
        <v>6.11.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CONCATENATE(Z_ALAPADATOK!B29)</f>
        <v>9 kvi név</v>
      </c>
      <c r="C2" s="862"/>
      <c r="D2" s="863"/>
      <c r="E2" s="330" t="s">
        <v>519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CONCATENATE(Z_ALAPADATOK!M29,"1. melléklet ",Z_ALAPADATOK!A7," ",Z_ALAPADATOK!B7," ",Z_ALAPADATOK!C7," ",Z_ALAPADATOK!D7," ",Z_ALAPADATOK!E7," ",Z_ALAPADATOK!F7," ",Z_ALAPADATOK!G7," ",Z_ALAPADATOK!H7)</f>
        <v>6.11.1.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CONCATENATE('Z_6.11.sz.mell'!B2:D2)</f>
        <v>9 kvi név</v>
      </c>
      <c r="C2" s="862"/>
      <c r="D2" s="863"/>
      <c r="E2" s="330" t="s">
        <v>519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CONCATENATE(Z_ALAPADATOK!M29,"2. melléklet ",Z_ALAPADATOK!A7," ",Z_ALAPADATOK!B7," ",Z_ALAPADATOK!C7," ",Z_ALAPADATOK!D7," ",Z_ALAPADATOK!E7," ",Z_ALAPADATOK!F7," ",Z_ALAPADATOK!G7," ",Z_ALAPADATOK!H7)</f>
        <v>6.11.2.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CONCATENATE('Z_6.11.1.sz.mell'!B2:D2)</f>
        <v>9 kvi név</v>
      </c>
      <c r="C2" s="862"/>
      <c r="D2" s="863"/>
      <c r="E2" s="330" t="s">
        <v>519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CONCATENATE(Z_ALAPADATOK!M29,"3. melléklet ",Z_ALAPADATOK!A7," ",Z_ALAPADATOK!B7," ",Z_ALAPADATOK!C7," ",Z_ALAPADATOK!D7," ",Z_ALAPADATOK!E7," ",Z_ALAPADATOK!F7," ",Z_ALAPADATOK!G7," ",Z_ALAPADATOK!H7)</f>
        <v>6.11.3.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CONCATENATE('Z_6.11.2.sz.mell'!B2:D2)</f>
        <v>9 kvi név</v>
      </c>
      <c r="C2" s="862"/>
      <c r="D2" s="863"/>
      <c r="E2" s="330" t="s">
        <v>519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9" t="str">
        <f>CONCATENATE(Z_ALAPADATOK!M31," melléklet ",Z_ALAPADATOK!A7," ",Z_ALAPADATOK!B7," ",Z_ALAPADATOK!C7," ",Z_ALAPADATOK!D7," ",Z_ALAPADATOK!E7," ",Z_ALAPADATOK!F7," ",Z_ALAPADATOK!G7," ",Z_ALAPADATOK!H7)</f>
        <v>6.12. melléklet a … / 2021. ( V… ) önkormányzati rendelethez</v>
      </c>
      <c r="C1" s="860"/>
      <c r="D1" s="860"/>
      <c r="E1" s="860"/>
    </row>
    <row r="2" spans="1:5" s="217" customFormat="1" ht="25.5" customHeight="1" thickBot="1" x14ac:dyDescent="0.25">
      <c r="A2" s="329" t="s">
        <v>452</v>
      </c>
      <c r="B2" s="861" t="str">
        <f>CONCATENATE(Z_ALAPADATOK!B31)</f>
        <v>10 kvi név</v>
      </c>
      <c r="C2" s="862"/>
      <c r="D2" s="863"/>
      <c r="E2" s="330" t="s">
        <v>520</v>
      </c>
    </row>
    <row r="3" spans="1:5" s="217" customFormat="1" ht="24.75" thickBot="1" x14ac:dyDescent="0.25">
      <c r="A3" s="329" t="s">
        <v>135</v>
      </c>
      <c r="B3" s="861" t="s">
        <v>302</v>
      </c>
      <c r="C3" s="862"/>
      <c r="D3" s="863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CONCATENATE(Z_ALAPADATOK!M31,"1. melléklet ",Z_ALAPADATOK!A7," ",Z_ALAPADATOK!B7," ",Z_ALAPADATOK!C7," ",Z_ALAPADATOK!D7," ",Z_ALAPADATOK!E7," ",Z_ALAPADATOK!F7," ",Z_ALAPADATOK!G7," ",Z_ALAPADATOK!H7)</f>
        <v>6.12.1.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CONCATENATE('Z_6.12.sz.mell'!B2:D2)</f>
        <v>10 kvi név</v>
      </c>
      <c r="C2" s="862"/>
      <c r="D2" s="863"/>
      <c r="E2" s="330" t="s">
        <v>520</v>
      </c>
    </row>
    <row r="3" spans="1:5" s="217" customFormat="1" ht="24.75" thickBot="1" x14ac:dyDescent="0.25">
      <c r="A3" s="329" t="s">
        <v>135</v>
      </c>
      <c r="B3" s="861" t="s">
        <v>321</v>
      </c>
      <c r="C3" s="862"/>
      <c r="D3" s="863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8" t="s">
        <v>938</v>
      </c>
      <c r="C1" s="789"/>
      <c r="D1" s="789"/>
      <c r="E1" s="789"/>
    </row>
    <row r="2" spans="1:5" x14ac:dyDescent="0.25">
      <c r="A2" s="790" t="str">
        <f>CONCATENATE(Z_ALAPADATOK!A3)</f>
        <v>Gönc Város Önkormányzata</v>
      </c>
      <c r="B2" s="791"/>
      <c r="C2" s="791"/>
      <c r="D2" s="791"/>
      <c r="E2" s="791"/>
    </row>
    <row r="3" spans="1:5" x14ac:dyDescent="0.25">
      <c r="A3" s="790" t="str">
        <f>CONCATENATE(Z_ALAPADATOK!B1,". ÉVI ZÁRSZÁMADÁS")</f>
        <v>2020. ÉVI ZÁRSZÁMADÁS</v>
      </c>
      <c r="B3" s="790"/>
      <c r="C3" s="792"/>
      <c r="D3" s="790"/>
      <c r="E3" s="790"/>
    </row>
    <row r="4" spans="1:5" ht="19.5" customHeight="1" x14ac:dyDescent="0.25">
      <c r="A4" s="790" t="s">
        <v>848</v>
      </c>
      <c r="B4" s="790"/>
      <c r="C4" s="792"/>
      <c r="D4" s="790"/>
      <c r="E4" s="790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2" t="s">
        <v>3</v>
      </c>
      <c r="B6" s="802"/>
      <c r="C6" s="802"/>
      <c r="D6" s="802"/>
      <c r="E6" s="802"/>
    </row>
    <row r="7" spans="1:5" ht="15.95" customHeight="1" thickBot="1" x14ac:dyDescent="0.3">
      <c r="A7" s="804" t="s">
        <v>100</v>
      </c>
      <c r="B7" s="804"/>
      <c r="C7" s="324"/>
      <c r="D7" s="323"/>
      <c r="E7" s="324" t="str">
        <f>CONCATENATE('Z_1.2.sz.mell.'!E7)</f>
        <v xml:space="preserve"> Forintban!</v>
      </c>
    </row>
    <row r="8" spans="1:5" x14ac:dyDescent="0.25">
      <c r="A8" s="794" t="s">
        <v>51</v>
      </c>
      <c r="B8" s="796" t="s">
        <v>5</v>
      </c>
      <c r="C8" s="798" t="str">
        <f>+CONCATENATE(LEFT(Z_ÖSSZEFÜGGÉSEK!A6,4),". évi")</f>
        <v>2020. évi</v>
      </c>
      <c r="D8" s="799"/>
      <c r="E8" s="800"/>
    </row>
    <row r="9" spans="1:5" ht="24.75" thickBot="1" x14ac:dyDescent="0.3">
      <c r="A9" s="795"/>
      <c r="B9" s="797"/>
      <c r="C9" s="254" t="s">
        <v>417</v>
      </c>
      <c r="D9" s="253" t="s">
        <v>418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384</v>
      </c>
      <c r="B10" s="177" t="s">
        <v>385</v>
      </c>
      <c r="C10" s="177" t="s">
        <v>386</v>
      </c>
      <c r="D10" s="177" t="s">
        <v>388</v>
      </c>
      <c r="E10" s="255" t="s">
        <v>387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332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333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324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325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326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327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475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479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480</v>
      </c>
      <c r="B38" s="182" t="str">
        <f>'Z_1.1.sz.mell.'!B38</f>
        <v>Egyéb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481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334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482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336</v>
      </c>
      <c r="C50" s="174"/>
      <c r="D50" s="174"/>
      <c r="E50" s="110"/>
    </row>
    <row r="51" spans="1:5" s="181" customFormat="1" ht="12" customHeight="1" thickBot="1" x14ac:dyDescent="0.25">
      <c r="A51" s="14" t="s">
        <v>335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328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329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376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361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489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490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491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375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378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377</v>
      </c>
      <c r="B93" s="190" t="s">
        <v>379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3" t="s">
        <v>34</v>
      </c>
      <c r="B95" s="803"/>
      <c r="C95" s="803"/>
      <c r="D95" s="803"/>
      <c r="E95" s="803"/>
    </row>
    <row r="96" spans="1:5" s="191" customFormat="1" ht="16.5" customHeight="1" thickBot="1" x14ac:dyDescent="0.3">
      <c r="A96" s="805" t="s">
        <v>101</v>
      </c>
      <c r="B96" s="805"/>
      <c r="C96" s="63"/>
      <c r="E96" s="63" t="str">
        <f>E7</f>
        <v xml:space="preserve"> Forintban!</v>
      </c>
    </row>
    <row r="97" spans="1:5" x14ac:dyDescent="0.25">
      <c r="A97" s="794" t="s">
        <v>51</v>
      </c>
      <c r="B97" s="796" t="s">
        <v>419</v>
      </c>
      <c r="C97" s="798" t="str">
        <f>+CONCATENATE(LEFT(Z_ÖSSZEFÜGGÉSEK!A6,4),". évi")</f>
        <v>2020. évi</v>
      </c>
      <c r="D97" s="799"/>
      <c r="E97" s="800"/>
    </row>
    <row r="98" spans="1:5" ht="24.75" thickBot="1" x14ac:dyDescent="0.3">
      <c r="A98" s="795"/>
      <c r="B98" s="797"/>
      <c r="C98" s="254" t="s">
        <v>417</v>
      </c>
      <c r="D98" s="253" t="s">
        <v>418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5" t="s">
        <v>387</v>
      </c>
    </row>
    <row r="100" spans="1:5" ht="12" customHeight="1" thickBot="1" x14ac:dyDescent="0.3">
      <c r="A100" s="20" t="s">
        <v>6</v>
      </c>
      <c r="B100" s="24" t="s">
        <v>337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342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341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340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338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339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343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344</v>
      </c>
      <c r="B119" s="6" t="s">
        <v>346</v>
      </c>
      <c r="C119" s="170"/>
      <c r="D119" s="170"/>
      <c r="E119" s="106"/>
    </row>
    <row r="120" spans="1:5" ht="12" customHeight="1" thickBot="1" x14ac:dyDescent="0.3">
      <c r="A120" s="16" t="s">
        <v>345</v>
      </c>
      <c r="B120" s="236" t="s">
        <v>347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330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348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420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356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357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358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350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359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351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352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353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354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355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363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364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294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365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360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367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362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368</v>
      </c>
      <c r="C156" s="170"/>
      <c r="D156" s="259"/>
      <c r="E156" s="106"/>
    </row>
    <row r="157" spans="1:9" ht="12" customHeight="1" thickBot="1" x14ac:dyDescent="0.3">
      <c r="A157" s="13" t="s">
        <v>366</v>
      </c>
      <c r="B157" s="7" t="s">
        <v>369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370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371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373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372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801" t="s">
        <v>280</v>
      </c>
      <c r="B163" s="801"/>
      <c r="C163" s="801"/>
      <c r="D163" s="801"/>
      <c r="E163" s="801"/>
    </row>
    <row r="164" spans="1:5" ht="15.2" customHeight="1" thickBot="1" x14ac:dyDescent="0.3">
      <c r="A164" s="793" t="s">
        <v>102</v>
      </c>
      <c r="B164" s="793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374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380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CONCATENATE(Z_ALAPADATOK!M31,"2. melléklet ",Z_ALAPADATOK!A7," ",Z_ALAPADATOK!B7," ",Z_ALAPADATOK!C7," ",Z_ALAPADATOK!D7," ",Z_ALAPADATOK!E7," ",Z_ALAPADATOK!F7," ",Z_ALAPADATOK!G7," ",Z_ALAPADATOK!H7)</f>
        <v>6.12.2.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CONCATENATE('Z_6.12.1.sz.mell'!B2:D2)</f>
        <v>10 kvi név</v>
      </c>
      <c r="C2" s="862"/>
      <c r="D2" s="863"/>
      <c r="E2" s="330" t="s">
        <v>520</v>
      </c>
    </row>
    <row r="3" spans="1:5" s="217" customFormat="1" ht="24.75" thickBot="1" x14ac:dyDescent="0.25">
      <c r="A3" s="329" t="s">
        <v>135</v>
      </c>
      <c r="B3" s="861" t="s">
        <v>322</v>
      </c>
      <c r="C3" s="862"/>
      <c r="D3" s="863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CONCATENATE(Z_ALAPADATOK!M31,"3. melléklet ",Z_ALAPADATOK!A7," ",Z_ALAPADATOK!B7," ",Z_ALAPADATOK!C7," ",Z_ALAPADATOK!D7," ",Z_ALAPADATOK!E7," ",Z_ALAPADATOK!F7," ",Z_ALAPADATOK!G7," ",Z_ALAPADATOK!H7)</f>
        <v>6.12.3. melléklet a … / 2021. ( V…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452</v>
      </c>
      <c r="B2" s="861" t="str">
        <f>CONCATENATE('Z_6.12.2.sz.mell'!B2:D2)</f>
        <v>10 kvi név</v>
      </c>
      <c r="C2" s="862"/>
      <c r="D2" s="863"/>
      <c r="E2" s="330" t="s">
        <v>519</v>
      </c>
    </row>
    <row r="3" spans="1:5" s="217" customFormat="1" ht="24.75" thickBot="1" x14ac:dyDescent="0.25">
      <c r="A3" s="329" t="s">
        <v>135</v>
      </c>
      <c r="B3" s="861" t="s">
        <v>414</v>
      </c>
      <c r="C3" s="862"/>
      <c r="D3" s="863"/>
      <c r="E3" s="330" t="s">
        <v>331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483</v>
      </c>
      <c r="C5" s="335" t="s">
        <v>448</v>
      </c>
      <c r="D5" s="336" t="s">
        <v>449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384</v>
      </c>
      <c r="B6" s="368" t="s">
        <v>385</v>
      </c>
      <c r="C6" s="368" t="s">
        <v>386</v>
      </c>
      <c r="D6" s="369" t="s">
        <v>388</v>
      </c>
      <c r="E6" s="370" t="s">
        <v>387</v>
      </c>
    </row>
    <row r="7" spans="1:5" s="219" customFormat="1" ht="15.95" customHeight="1" thickBot="1" x14ac:dyDescent="0.25">
      <c r="A7" s="855" t="s">
        <v>39</v>
      </c>
      <c r="B7" s="856"/>
      <c r="C7" s="856"/>
      <c r="D7" s="856"/>
      <c r="E7" s="857"/>
    </row>
    <row r="8" spans="1:5" s="155" customFormat="1" ht="12" customHeight="1" thickBot="1" x14ac:dyDescent="0.25">
      <c r="A8" s="77" t="s">
        <v>6</v>
      </c>
      <c r="B8" s="86" t="s">
        <v>405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303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304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336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306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307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410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306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309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411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311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412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313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314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315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316</v>
      </c>
      <c r="B40" s="64" t="s">
        <v>317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318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5" t="s">
        <v>40</v>
      </c>
      <c r="B44" s="856"/>
      <c r="C44" s="856"/>
      <c r="D44" s="856"/>
      <c r="E44" s="857"/>
    </row>
    <row r="45" spans="1:5" s="221" customFormat="1" ht="12" customHeight="1" thickBot="1" x14ac:dyDescent="0.25">
      <c r="A45" s="81" t="s">
        <v>6</v>
      </c>
      <c r="B45" s="59" t="s">
        <v>319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320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409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413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484</v>
      </c>
      <c r="B59" s="307"/>
      <c r="C59" s="296"/>
      <c r="D59" s="296"/>
      <c r="E59" s="295"/>
    </row>
    <row r="60" spans="1:5" ht="13.5" thickBot="1" x14ac:dyDescent="0.25">
      <c r="A60" s="308" t="s">
        <v>485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G40"/>
  <sheetViews>
    <sheetView zoomScale="120" zoomScaleNormal="120" workbookViewId="0">
      <selection sqref="A1:G1"/>
    </sheetView>
  </sheetViews>
  <sheetFormatPr defaultRowHeight="12.75" x14ac:dyDescent="0.2"/>
  <cols>
    <col min="1" max="1" width="7" style="690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70" t="s">
        <v>959</v>
      </c>
      <c r="B1" s="871"/>
      <c r="C1" s="871"/>
      <c r="D1" s="871"/>
      <c r="E1" s="871"/>
      <c r="F1" s="871"/>
      <c r="G1" s="871"/>
    </row>
    <row r="3" spans="1:7" ht="15.75" x14ac:dyDescent="0.2">
      <c r="A3" s="868" t="s">
        <v>842</v>
      </c>
      <c r="B3" s="869"/>
      <c r="C3" s="869"/>
      <c r="D3" s="869"/>
      <c r="E3" s="869"/>
      <c r="F3" s="869"/>
      <c r="G3" s="869"/>
    </row>
    <row r="5" spans="1:7" ht="14.25" thickBot="1" x14ac:dyDescent="0.25">
      <c r="G5" s="691" t="s">
        <v>846</v>
      </c>
    </row>
    <row r="6" spans="1:7" ht="17.25" customHeight="1" thickBot="1" x14ac:dyDescent="0.25">
      <c r="A6" s="872" t="s">
        <v>4</v>
      </c>
      <c r="B6" s="874" t="s">
        <v>834</v>
      </c>
      <c r="C6" s="874" t="s">
        <v>835</v>
      </c>
      <c r="D6" s="874" t="s">
        <v>836</v>
      </c>
      <c r="E6" s="876" t="s">
        <v>837</v>
      </c>
      <c r="F6" s="876"/>
      <c r="G6" s="877"/>
    </row>
    <row r="7" spans="1:7" s="694" customFormat="1" ht="57.75" customHeight="1" thickBot="1" x14ac:dyDescent="0.25">
      <c r="A7" s="873"/>
      <c r="B7" s="875"/>
      <c r="C7" s="875"/>
      <c r="D7" s="875"/>
      <c r="E7" s="692" t="s">
        <v>838</v>
      </c>
      <c r="F7" s="692" t="s">
        <v>839</v>
      </c>
      <c r="G7" s="693" t="s">
        <v>840</v>
      </c>
    </row>
    <row r="8" spans="1:7" s="221" customFormat="1" ht="15" customHeight="1" thickBot="1" x14ac:dyDescent="0.25">
      <c r="A8" s="77" t="s">
        <v>384</v>
      </c>
      <c r="B8" s="78" t="s">
        <v>385</v>
      </c>
      <c r="C8" s="78" t="s">
        <v>386</v>
      </c>
      <c r="D8" s="78" t="s">
        <v>388</v>
      </c>
      <c r="E8" s="78" t="s">
        <v>841</v>
      </c>
      <c r="F8" s="78" t="s">
        <v>389</v>
      </c>
      <c r="G8" s="79" t="s">
        <v>390</v>
      </c>
    </row>
    <row r="9" spans="1:7" ht="15" customHeight="1" x14ac:dyDescent="0.2">
      <c r="A9" s="695" t="s">
        <v>6</v>
      </c>
      <c r="B9" s="696" t="s">
        <v>875</v>
      </c>
      <c r="C9" s="697">
        <v>373548140</v>
      </c>
      <c r="D9" s="697"/>
      <c r="E9" s="698">
        <f>C9-D9</f>
        <v>373548140</v>
      </c>
      <c r="F9" s="697"/>
      <c r="G9" s="699">
        <v>373548140</v>
      </c>
    </row>
    <row r="10" spans="1:7" ht="15" customHeight="1" x14ac:dyDescent="0.2">
      <c r="A10" s="700" t="s">
        <v>7</v>
      </c>
      <c r="B10" s="701" t="s">
        <v>877</v>
      </c>
      <c r="C10" s="21">
        <v>2556638</v>
      </c>
      <c r="D10" s="21"/>
      <c r="E10" s="698">
        <f t="shared" ref="E10:E39" si="0">C10-D10</f>
        <v>2556638</v>
      </c>
      <c r="F10" s="21">
        <v>2556638</v>
      </c>
      <c r="G10" s="457"/>
    </row>
    <row r="11" spans="1:7" ht="15" customHeight="1" x14ac:dyDescent="0.2">
      <c r="A11" s="700" t="s">
        <v>8</v>
      </c>
      <c r="B11" s="701" t="s">
        <v>878</v>
      </c>
      <c r="C11" s="21">
        <v>262743</v>
      </c>
      <c r="D11" s="21"/>
      <c r="E11" s="698">
        <f t="shared" si="0"/>
        <v>262743</v>
      </c>
      <c r="F11" s="21">
        <v>262743</v>
      </c>
      <c r="G11" s="457"/>
    </row>
    <row r="12" spans="1:7" ht="15" customHeight="1" x14ac:dyDescent="0.2">
      <c r="A12" s="700" t="s">
        <v>9</v>
      </c>
      <c r="B12" s="701" t="s">
        <v>879</v>
      </c>
      <c r="C12" s="21">
        <v>63763</v>
      </c>
      <c r="D12" s="21"/>
      <c r="E12" s="698">
        <f t="shared" si="0"/>
        <v>63763</v>
      </c>
      <c r="F12" s="21">
        <v>63763</v>
      </c>
      <c r="G12" s="457"/>
    </row>
    <row r="13" spans="1:7" ht="15" customHeight="1" x14ac:dyDescent="0.2">
      <c r="A13" s="700" t="s">
        <v>10</v>
      </c>
      <c r="B13" s="701"/>
      <c r="C13" s="21"/>
      <c r="D13" s="21"/>
      <c r="E13" s="698">
        <f t="shared" si="0"/>
        <v>0</v>
      </c>
      <c r="F13" s="21"/>
      <c r="G13" s="457"/>
    </row>
    <row r="14" spans="1:7" ht="15" customHeight="1" x14ac:dyDescent="0.2">
      <c r="A14" s="700" t="s">
        <v>11</v>
      </c>
      <c r="B14" s="701"/>
      <c r="C14" s="21"/>
      <c r="D14" s="21"/>
      <c r="E14" s="698">
        <f t="shared" si="0"/>
        <v>0</v>
      </c>
      <c r="F14" s="21"/>
      <c r="G14" s="457"/>
    </row>
    <row r="15" spans="1:7" ht="15" customHeight="1" x14ac:dyDescent="0.2">
      <c r="A15" s="700" t="s">
        <v>12</v>
      </c>
      <c r="B15" s="701"/>
      <c r="C15" s="21"/>
      <c r="D15" s="21"/>
      <c r="E15" s="698">
        <f t="shared" si="0"/>
        <v>0</v>
      </c>
      <c r="F15" s="21"/>
      <c r="G15" s="457"/>
    </row>
    <row r="16" spans="1:7" ht="15" customHeight="1" x14ac:dyDescent="0.2">
      <c r="A16" s="700" t="s">
        <v>13</v>
      </c>
      <c r="B16" s="701"/>
      <c r="C16" s="21"/>
      <c r="D16" s="21"/>
      <c r="E16" s="698">
        <f t="shared" si="0"/>
        <v>0</v>
      </c>
      <c r="F16" s="21"/>
      <c r="G16" s="457"/>
    </row>
    <row r="17" spans="1:7" ht="15" customHeight="1" x14ac:dyDescent="0.2">
      <c r="A17" s="700" t="s">
        <v>14</v>
      </c>
      <c r="B17" s="701"/>
      <c r="C17" s="21"/>
      <c r="D17" s="21"/>
      <c r="E17" s="698">
        <f t="shared" si="0"/>
        <v>0</v>
      </c>
      <c r="F17" s="21"/>
      <c r="G17" s="457"/>
    </row>
    <row r="18" spans="1:7" ht="15" customHeight="1" x14ac:dyDescent="0.2">
      <c r="A18" s="700" t="s">
        <v>15</v>
      </c>
      <c r="B18" s="701"/>
      <c r="C18" s="21"/>
      <c r="D18" s="21"/>
      <c r="E18" s="698">
        <f t="shared" si="0"/>
        <v>0</v>
      </c>
      <c r="F18" s="21"/>
      <c r="G18" s="457"/>
    </row>
    <row r="19" spans="1:7" ht="15" customHeight="1" x14ac:dyDescent="0.2">
      <c r="A19" s="700" t="s">
        <v>16</v>
      </c>
      <c r="B19" s="701"/>
      <c r="C19" s="21"/>
      <c r="D19" s="21"/>
      <c r="E19" s="698">
        <f t="shared" si="0"/>
        <v>0</v>
      </c>
      <c r="F19" s="21"/>
      <c r="G19" s="457"/>
    </row>
    <row r="20" spans="1:7" ht="15" customHeight="1" x14ac:dyDescent="0.2">
      <c r="A20" s="700" t="s">
        <v>17</v>
      </c>
      <c r="B20" s="701"/>
      <c r="C20" s="21"/>
      <c r="D20" s="21"/>
      <c r="E20" s="698">
        <f t="shared" si="0"/>
        <v>0</v>
      </c>
      <c r="F20" s="21"/>
      <c r="G20" s="457"/>
    </row>
    <row r="21" spans="1:7" ht="15" customHeight="1" x14ac:dyDescent="0.2">
      <c r="A21" s="700" t="s">
        <v>18</v>
      </c>
      <c r="B21" s="701"/>
      <c r="C21" s="21"/>
      <c r="D21" s="21"/>
      <c r="E21" s="698">
        <f t="shared" si="0"/>
        <v>0</v>
      </c>
      <c r="F21" s="21"/>
      <c r="G21" s="457"/>
    </row>
    <row r="22" spans="1:7" ht="15" customHeight="1" x14ac:dyDescent="0.2">
      <c r="A22" s="700" t="s">
        <v>19</v>
      </c>
      <c r="B22" s="701"/>
      <c r="C22" s="21"/>
      <c r="D22" s="21"/>
      <c r="E22" s="698">
        <f t="shared" si="0"/>
        <v>0</v>
      </c>
      <c r="F22" s="21"/>
      <c r="G22" s="457"/>
    </row>
    <row r="23" spans="1:7" ht="15" customHeight="1" x14ac:dyDescent="0.2">
      <c r="A23" s="700" t="s">
        <v>20</v>
      </c>
      <c r="B23" s="701"/>
      <c r="C23" s="21"/>
      <c r="D23" s="21"/>
      <c r="E23" s="698">
        <f t="shared" si="0"/>
        <v>0</v>
      </c>
      <c r="F23" s="21"/>
      <c r="G23" s="457"/>
    </row>
    <row r="24" spans="1:7" ht="15" customHeight="1" x14ac:dyDescent="0.2">
      <c r="A24" s="700" t="s">
        <v>21</v>
      </c>
      <c r="B24" s="701"/>
      <c r="C24" s="21"/>
      <c r="D24" s="21"/>
      <c r="E24" s="698">
        <f t="shared" si="0"/>
        <v>0</v>
      </c>
      <c r="F24" s="21"/>
      <c r="G24" s="457"/>
    </row>
    <row r="25" spans="1:7" ht="15" customHeight="1" x14ac:dyDescent="0.2">
      <c r="A25" s="700" t="s">
        <v>22</v>
      </c>
      <c r="B25" s="701"/>
      <c r="C25" s="21"/>
      <c r="D25" s="21"/>
      <c r="E25" s="698">
        <f t="shared" si="0"/>
        <v>0</v>
      </c>
      <c r="F25" s="21"/>
      <c r="G25" s="457"/>
    </row>
    <row r="26" spans="1:7" ht="15" customHeight="1" x14ac:dyDescent="0.2">
      <c r="A26" s="700" t="s">
        <v>23</v>
      </c>
      <c r="B26" s="701"/>
      <c r="C26" s="21"/>
      <c r="D26" s="21"/>
      <c r="E26" s="698">
        <f t="shared" si="0"/>
        <v>0</v>
      </c>
      <c r="F26" s="21"/>
      <c r="G26" s="457"/>
    </row>
    <row r="27" spans="1:7" ht="15" customHeight="1" x14ac:dyDescent="0.2">
      <c r="A27" s="700" t="s">
        <v>24</v>
      </c>
      <c r="B27" s="701"/>
      <c r="C27" s="21"/>
      <c r="D27" s="21"/>
      <c r="E27" s="698">
        <f t="shared" si="0"/>
        <v>0</v>
      </c>
      <c r="F27" s="21"/>
      <c r="G27" s="457"/>
    </row>
    <row r="28" spans="1:7" ht="15" customHeight="1" x14ac:dyDescent="0.2">
      <c r="A28" s="700" t="s">
        <v>25</v>
      </c>
      <c r="B28" s="701"/>
      <c r="C28" s="21"/>
      <c r="D28" s="21"/>
      <c r="E28" s="698">
        <f t="shared" si="0"/>
        <v>0</v>
      </c>
      <c r="F28" s="21"/>
      <c r="G28" s="457"/>
    </row>
    <row r="29" spans="1:7" ht="15" customHeight="1" x14ac:dyDescent="0.2">
      <c r="A29" s="700" t="s">
        <v>26</v>
      </c>
      <c r="B29" s="701"/>
      <c r="C29" s="21"/>
      <c r="D29" s="21"/>
      <c r="E29" s="698">
        <f t="shared" si="0"/>
        <v>0</v>
      </c>
      <c r="F29" s="21"/>
      <c r="G29" s="457"/>
    </row>
    <row r="30" spans="1:7" ht="15" customHeight="1" x14ac:dyDescent="0.2">
      <c r="A30" s="700" t="s">
        <v>27</v>
      </c>
      <c r="B30" s="701"/>
      <c r="C30" s="21"/>
      <c r="D30" s="21"/>
      <c r="E30" s="698">
        <f t="shared" si="0"/>
        <v>0</v>
      </c>
      <c r="F30" s="21"/>
      <c r="G30" s="457"/>
    </row>
    <row r="31" spans="1:7" ht="15" customHeight="1" x14ac:dyDescent="0.2">
      <c r="A31" s="700" t="s">
        <v>28</v>
      </c>
      <c r="B31" s="701"/>
      <c r="C31" s="21"/>
      <c r="D31" s="21"/>
      <c r="E31" s="698">
        <f t="shared" si="0"/>
        <v>0</v>
      </c>
      <c r="F31" s="21"/>
      <c r="G31" s="457"/>
    </row>
    <row r="32" spans="1:7" ht="15" customHeight="1" x14ac:dyDescent="0.2">
      <c r="A32" s="700" t="s">
        <v>29</v>
      </c>
      <c r="B32" s="701"/>
      <c r="C32" s="21"/>
      <c r="D32" s="21"/>
      <c r="E32" s="698">
        <f t="shared" si="0"/>
        <v>0</v>
      </c>
      <c r="F32" s="21"/>
      <c r="G32" s="457"/>
    </row>
    <row r="33" spans="1:7" ht="15" customHeight="1" x14ac:dyDescent="0.2">
      <c r="A33" s="700" t="s">
        <v>30</v>
      </c>
      <c r="B33" s="701"/>
      <c r="C33" s="21"/>
      <c r="D33" s="21"/>
      <c r="E33" s="698">
        <f t="shared" si="0"/>
        <v>0</v>
      </c>
      <c r="F33" s="21"/>
      <c r="G33" s="457"/>
    </row>
    <row r="34" spans="1:7" ht="15" customHeight="1" x14ac:dyDescent="0.2">
      <c r="A34" s="700" t="s">
        <v>31</v>
      </c>
      <c r="B34" s="701"/>
      <c r="C34" s="21"/>
      <c r="D34" s="21"/>
      <c r="E34" s="698">
        <f t="shared" si="0"/>
        <v>0</v>
      </c>
      <c r="F34" s="21"/>
      <c r="G34" s="457"/>
    </row>
    <row r="35" spans="1:7" ht="15" customHeight="1" x14ac:dyDescent="0.2">
      <c r="A35" s="700" t="s">
        <v>32</v>
      </c>
      <c r="B35" s="701"/>
      <c r="C35" s="21"/>
      <c r="D35" s="21"/>
      <c r="E35" s="698">
        <f t="shared" si="0"/>
        <v>0</v>
      </c>
      <c r="F35" s="21"/>
      <c r="G35" s="457"/>
    </row>
    <row r="36" spans="1:7" ht="15" customHeight="1" x14ac:dyDescent="0.2">
      <c r="A36" s="700" t="s">
        <v>33</v>
      </c>
      <c r="B36" s="701"/>
      <c r="C36" s="21"/>
      <c r="D36" s="21"/>
      <c r="E36" s="698">
        <f t="shared" si="0"/>
        <v>0</v>
      </c>
      <c r="F36" s="21"/>
      <c r="G36" s="457"/>
    </row>
    <row r="37" spans="1:7" ht="15" customHeight="1" x14ac:dyDescent="0.2">
      <c r="A37" s="700" t="s">
        <v>603</v>
      </c>
      <c r="B37" s="701"/>
      <c r="C37" s="21"/>
      <c r="D37" s="21"/>
      <c r="E37" s="698">
        <f t="shared" si="0"/>
        <v>0</v>
      </c>
      <c r="F37" s="21"/>
      <c r="G37" s="457"/>
    </row>
    <row r="38" spans="1:7" ht="15" customHeight="1" x14ac:dyDescent="0.2">
      <c r="A38" s="700" t="s">
        <v>604</v>
      </c>
      <c r="B38" s="701"/>
      <c r="C38" s="21"/>
      <c r="D38" s="21"/>
      <c r="E38" s="698">
        <f t="shared" si="0"/>
        <v>0</v>
      </c>
      <c r="F38" s="21"/>
      <c r="G38" s="457"/>
    </row>
    <row r="39" spans="1:7" ht="15" customHeight="1" thickBot="1" x14ac:dyDescent="0.25">
      <c r="A39" s="700" t="s">
        <v>605</v>
      </c>
      <c r="B39" s="702"/>
      <c r="C39" s="22"/>
      <c r="D39" s="22"/>
      <c r="E39" s="698">
        <f t="shared" si="0"/>
        <v>0</v>
      </c>
      <c r="F39" s="22"/>
      <c r="G39" s="703"/>
    </row>
    <row r="40" spans="1:7" ht="15" customHeight="1" thickBot="1" x14ac:dyDescent="0.25">
      <c r="A40" s="866" t="s">
        <v>37</v>
      </c>
      <c r="B40" s="867"/>
      <c r="C40" s="37">
        <f>SUM(C9:C39)</f>
        <v>376431284</v>
      </c>
      <c r="D40" s="37">
        <f>SUM(D9:D39)</f>
        <v>0</v>
      </c>
      <c r="E40" s="37">
        <f>SUM(E9:E39)</f>
        <v>376431284</v>
      </c>
      <c r="F40" s="37">
        <f>SUM(F9:F39)</f>
        <v>2883144</v>
      </c>
      <c r="G40" s="38">
        <f>SUM(G9:G39)</f>
        <v>373548140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  <pageSetUpPr fitToPage="1"/>
  </sheetPr>
  <dimension ref="A1:F26"/>
  <sheetViews>
    <sheetView zoomScale="120" zoomScaleNormal="120" zoomScalePageLayoutView="120" workbookViewId="0">
      <selection activeCell="F1" sqref="F1:F25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89" customWidth="1"/>
    <col min="7" max="16384" width="9.33203125" style="31"/>
  </cols>
  <sheetData>
    <row r="1" spans="1:6" ht="47.25" customHeight="1" x14ac:dyDescent="0.2">
      <c r="B1" s="878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8"/>
      <c r="D1" s="878"/>
      <c r="E1" s="878"/>
      <c r="F1" s="879" t="s">
        <v>960</v>
      </c>
    </row>
    <row r="2" spans="1:6" ht="22.5" customHeight="1" thickBot="1" x14ac:dyDescent="0.3">
      <c r="B2" s="880"/>
      <c r="C2" s="880"/>
      <c r="D2" s="880"/>
      <c r="E2" s="667" t="s">
        <v>830</v>
      </c>
      <c r="F2" s="879"/>
    </row>
    <row r="3" spans="1:6" s="32" customFormat="1" ht="54" customHeight="1" thickBot="1" x14ac:dyDescent="0.25">
      <c r="A3" s="668" t="s">
        <v>912</v>
      </c>
      <c r="B3" s="669" t="s">
        <v>831</v>
      </c>
      <c r="C3" s="670" t="str">
        <f>+CONCATENATE(Z_ALAPADATOK!B1,". évi tervezett támogatás összesen")</f>
        <v>2020. évi tervezett támogatás összesen</v>
      </c>
      <c r="D3" s="670" t="s">
        <v>832</v>
      </c>
      <c r="E3" s="671" t="s">
        <v>833</v>
      </c>
      <c r="F3" s="879"/>
    </row>
    <row r="4" spans="1:6" s="676" customFormat="1" ht="13.5" thickBot="1" x14ac:dyDescent="0.25">
      <c r="A4" s="672" t="s">
        <v>384</v>
      </c>
      <c r="B4" s="673" t="s">
        <v>385</v>
      </c>
      <c r="C4" s="674" t="s">
        <v>386</v>
      </c>
      <c r="D4" s="674" t="s">
        <v>388</v>
      </c>
      <c r="E4" s="675" t="s">
        <v>387</v>
      </c>
      <c r="F4" s="879"/>
    </row>
    <row r="5" spans="1:6" x14ac:dyDescent="0.2">
      <c r="A5" s="773" t="s">
        <v>882</v>
      </c>
      <c r="B5" s="775" t="s">
        <v>897</v>
      </c>
      <c r="C5" s="777">
        <v>77310400</v>
      </c>
      <c r="D5" s="778">
        <v>133768140</v>
      </c>
      <c r="E5" s="678">
        <v>133768140</v>
      </c>
      <c r="F5" s="879"/>
    </row>
    <row r="6" spans="1:6" ht="12.75" customHeight="1" x14ac:dyDescent="0.2">
      <c r="A6" s="774" t="s">
        <v>883</v>
      </c>
      <c r="B6" s="776" t="s">
        <v>898</v>
      </c>
      <c r="C6" s="777">
        <v>69901516</v>
      </c>
      <c r="D6" s="778">
        <v>34737804</v>
      </c>
      <c r="E6" s="678">
        <v>34737804</v>
      </c>
      <c r="F6" s="879"/>
    </row>
    <row r="7" spans="1:6" x14ac:dyDescent="0.2">
      <c r="A7" s="774" t="s">
        <v>884</v>
      </c>
      <c r="B7" s="776" t="s">
        <v>899</v>
      </c>
      <c r="C7" s="777">
        <v>840800</v>
      </c>
      <c r="D7" s="778">
        <v>840800</v>
      </c>
      <c r="E7" s="678">
        <v>840800</v>
      </c>
      <c r="F7" s="879"/>
    </row>
    <row r="8" spans="1:6" x14ac:dyDescent="0.2">
      <c r="A8" s="774" t="s">
        <v>885</v>
      </c>
      <c r="B8" s="776" t="s">
        <v>900</v>
      </c>
      <c r="C8" s="777">
        <v>51074150</v>
      </c>
      <c r="D8" s="778">
        <v>55594125</v>
      </c>
      <c r="E8" s="678">
        <v>55594125</v>
      </c>
      <c r="F8" s="879"/>
    </row>
    <row r="9" spans="1:6" x14ac:dyDescent="0.2">
      <c r="A9" s="774" t="s">
        <v>886</v>
      </c>
      <c r="B9" s="776" t="s">
        <v>901</v>
      </c>
      <c r="C9" s="777">
        <v>32809895</v>
      </c>
      <c r="D9" s="778">
        <v>32809895</v>
      </c>
      <c r="E9" s="678">
        <v>32809895</v>
      </c>
      <c r="F9" s="879"/>
    </row>
    <row r="10" spans="1:6" x14ac:dyDescent="0.2">
      <c r="A10" s="774" t="s">
        <v>887</v>
      </c>
      <c r="B10" s="776" t="s">
        <v>902</v>
      </c>
      <c r="C10" s="777">
        <v>22100000</v>
      </c>
      <c r="D10" s="778">
        <v>24570000</v>
      </c>
      <c r="E10" s="678">
        <v>24570000</v>
      </c>
      <c r="F10" s="879"/>
    </row>
    <row r="11" spans="1:6" x14ac:dyDescent="0.2">
      <c r="A11" s="774" t="s">
        <v>888</v>
      </c>
      <c r="B11" s="776" t="s">
        <v>903</v>
      </c>
      <c r="C11" s="777">
        <v>18150000</v>
      </c>
      <c r="D11" s="778">
        <v>18150000</v>
      </c>
      <c r="E11" s="678">
        <v>18150000</v>
      </c>
      <c r="F11" s="879"/>
    </row>
    <row r="12" spans="1:6" x14ac:dyDescent="0.2">
      <c r="A12" s="774" t="s">
        <v>889</v>
      </c>
      <c r="B12" s="776" t="s">
        <v>904</v>
      </c>
      <c r="C12" s="777">
        <v>4248400</v>
      </c>
      <c r="D12" s="778">
        <v>3790880</v>
      </c>
      <c r="E12" s="678">
        <v>3790880</v>
      </c>
      <c r="F12" s="879"/>
    </row>
    <row r="13" spans="1:6" ht="12.95" customHeight="1" x14ac:dyDescent="0.2">
      <c r="A13" s="774" t="s">
        <v>890</v>
      </c>
      <c r="B13" s="776" t="s">
        <v>905</v>
      </c>
      <c r="C13" s="777">
        <v>5750000</v>
      </c>
      <c r="D13" s="778">
        <v>5400000</v>
      </c>
      <c r="E13" s="678">
        <v>5400000</v>
      </c>
      <c r="F13" s="879"/>
    </row>
    <row r="14" spans="1:6" x14ac:dyDescent="0.2">
      <c r="A14" s="774" t="s">
        <v>891</v>
      </c>
      <c r="B14" s="776" t="s">
        <v>906</v>
      </c>
      <c r="C14" s="777">
        <v>14157000</v>
      </c>
      <c r="D14" s="778">
        <v>15444000</v>
      </c>
      <c r="E14" s="678">
        <v>15444000</v>
      </c>
      <c r="F14" s="879"/>
    </row>
    <row r="15" spans="1:6" x14ac:dyDescent="0.2">
      <c r="A15" s="774" t="s">
        <v>892</v>
      </c>
      <c r="B15" s="776" t="s">
        <v>907</v>
      </c>
      <c r="C15" s="777">
        <v>13354800</v>
      </c>
      <c r="D15" s="778">
        <v>14216400</v>
      </c>
      <c r="E15" s="678">
        <v>14216400</v>
      </c>
      <c r="F15" s="879"/>
    </row>
    <row r="16" spans="1:6" x14ac:dyDescent="0.2">
      <c r="A16" s="774" t="s">
        <v>893</v>
      </c>
      <c r="B16" s="776" t="s">
        <v>908</v>
      </c>
      <c r="C16" s="777">
        <v>8869711</v>
      </c>
      <c r="D16" s="778">
        <v>8869711</v>
      </c>
      <c r="E16" s="678">
        <v>8869711</v>
      </c>
      <c r="F16" s="879"/>
    </row>
    <row r="17" spans="1:6" x14ac:dyDescent="0.2">
      <c r="A17" s="774" t="s">
        <v>894</v>
      </c>
      <c r="B17" s="776" t="s">
        <v>909</v>
      </c>
      <c r="C17" s="777">
        <v>30952386</v>
      </c>
      <c r="D17" s="778">
        <v>29299521</v>
      </c>
      <c r="E17" s="678">
        <v>29299521</v>
      </c>
      <c r="F17" s="879"/>
    </row>
    <row r="18" spans="1:6" x14ac:dyDescent="0.2">
      <c r="A18" s="774" t="s">
        <v>895</v>
      </c>
      <c r="B18" s="776" t="s">
        <v>910</v>
      </c>
      <c r="C18" s="777">
        <v>6373000</v>
      </c>
      <c r="D18" s="778">
        <v>6303000</v>
      </c>
      <c r="E18" s="678">
        <v>6303000</v>
      </c>
      <c r="F18" s="879"/>
    </row>
    <row r="19" spans="1:6" x14ac:dyDescent="0.2">
      <c r="A19" s="774" t="s">
        <v>896</v>
      </c>
      <c r="B19" s="776" t="s">
        <v>911</v>
      </c>
      <c r="C19" s="777">
        <v>2542032</v>
      </c>
      <c r="D19" s="778">
        <v>4021434</v>
      </c>
      <c r="E19" s="678">
        <v>4021434</v>
      </c>
      <c r="F19" s="879"/>
    </row>
    <row r="20" spans="1:6" x14ac:dyDescent="0.2">
      <c r="A20" s="679"/>
      <c r="B20" s="680"/>
      <c r="C20" s="677"/>
      <c r="D20" s="778"/>
      <c r="E20" s="678"/>
      <c r="F20" s="879"/>
    </row>
    <row r="21" spans="1:6" x14ac:dyDescent="0.2">
      <c r="A21" s="679"/>
      <c r="B21" s="680"/>
      <c r="C21" s="677"/>
      <c r="D21" s="778"/>
      <c r="E21" s="678"/>
      <c r="F21" s="879"/>
    </row>
    <row r="22" spans="1:6" x14ac:dyDescent="0.2">
      <c r="A22" s="679"/>
      <c r="B22" s="680"/>
      <c r="C22" s="677"/>
      <c r="D22" s="778"/>
      <c r="E22" s="678"/>
      <c r="F22" s="879"/>
    </row>
    <row r="23" spans="1:6" x14ac:dyDescent="0.2">
      <c r="A23" s="679"/>
      <c r="B23" s="680"/>
      <c r="C23" s="677"/>
      <c r="D23" s="778"/>
      <c r="E23" s="678"/>
      <c r="F23" s="879"/>
    </row>
    <row r="24" spans="1:6" ht="13.5" thickBot="1" x14ac:dyDescent="0.25">
      <c r="A24" s="681"/>
      <c r="B24" s="682"/>
      <c r="C24" s="683"/>
      <c r="D24" s="779"/>
      <c r="E24" s="678"/>
      <c r="F24" s="879"/>
    </row>
    <row r="25" spans="1:6" s="688" customFormat="1" ht="19.5" customHeight="1" thickBot="1" x14ac:dyDescent="0.25">
      <c r="A25" s="684"/>
      <c r="B25" s="685" t="s">
        <v>37</v>
      </c>
      <c r="C25" s="686">
        <f>SUM(C5:C24)</f>
        <v>358434090</v>
      </c>
      <c r="D25" s="686">
        <f>SUM(D5:D24)</f>
        <v>387815710</v>
      </c>
      <c r="E25" s="687">
        <f>SUM(E5:E24)</f>
        <v>387815710</v>
      </c>
      <c r="F25" s="879"/>
    </row>
    <row r="26" spans="1:6" x14ac:dyDescent="0.2">
      <c r="A26" s="881" t="s">
        <v>881</v>
      </c>
      <c r="B26" s="881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</sheetPr>
  <dimension ref="A1:I167"/>
  <sheetViews>
    <sheetView zoomScale="120" zoomScaleNormal="120" zoomScaleSheetLayoutView="100" workbookViewId="0">
      <selection sqref="A1:E1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88" t="s">
        <v>961</v>
      </c>
      <c r="B1" s="789"/>
      <c r="C1" s="789"/>
      <c r="D1" s="789"/>
      <c r="E1" s="789"/>
    </row>
    <row r="2" spans="1:5" x14ac:dyDescent="0.25">
      <c r="A2" s="790" t="str">
        <f>CONCATENATE(Z_ALAPADATOK!A3)</f>
        <v>Gönc Város Önkormányzata</v>
      </c>
      <c r="B2" s="791"/>
      <c r="C2" s="791"/>
      <c r="D2" s="791"/>
      <c r="E2" s="791"/>
    </row>
    <row r="3" spans="1:5" x14ac:dyDescent="0.25">
      <c r="A3" s="790" t="str">
        <f>CONCATENATE(Z_ALAPADATOK!B1,". ÉVI ZÁRSZÁMADÁSÁNAK PÉNZÜGYI MÉRLEGE")</f>
        <v>2020. ÉVI ZÁRSZÁMADÁSÁNAK PÉNZÜGYI MÉRLEGE</v>
      </c>
      <c r="B3" s="791"/>
      <c r="C3" s="791"/>
      <c r="D3" s="791"/>
      <c r="E3" s="791"/>
    </row>
    <row r="4" spans="1:5" ht="15.95" customHeight="1" x14ac:dyDescent="0.25">
      <c r="A4" s="802" t="s">
        <v>3</v>
      </c>
      <c r="B4" s="802"/>
      <c r="C4" s="802"/>
      <c r="D4" s="802"/>
      <c r="E4" s="802"/>
    </row>
    <row r="5" spans="1:5" ht="15.95" customHeight="1" thickBot="1" x14ac:dyDescent="0.3">
      <c r="A5" s="608" t="s">
        <v>100</v>
      </c>
      <c r="B5" s="608"/>
      <c r="C5" s="608"/>
      <c r="D5" s="609"/>
      <c r="E5" s="609" t="str">
        <f>CONCATENATE('Z_6.12.3.sz.mell'!E4)</f>
        <v xml:space="preserve"> Forintban!</v>
      </c>
    </row>
    <row r="6" spans="1:5" ht="15.95" customHeight="1" x14ac:dyDescent="0.25">
      <c r="A6" s="882" t="s">
        <v>51</v>
      </c>
      <c r="B6" s="884" t="s">
        <v>5</v>
      </c>
      <c r="C6" s="886" t="str">
        <f>CONCATENATE(Z_ALAPADATOK!B1-1," évi tény")</f>
        <v>2019 évi tény</v>
      </c>
      <c r="D6" s="888" t="str">
        <f>CONCATENATE(Z_ALAPADATOK!B1,". évi")</f>
        <v>2020. évi</v>
      </c>
      <c r="E6" s="889"/>
    </row>
    <row r="7" spans="1:5" ht="38.1" customHeight="1" thickBot="1" x14ac:dyDescent="0.3">
      <c r="A7" s="883"/>
      <c r="B7" s="885"/>
      <c r="C7" s="887"/>
      <c r="D7" s="610" t="s">
        <v>449</v>
      </c>
      <c r="E7" s="314" t="s">
        <v>444</v>
      </c>
    </row>
    <row r="8" spans="1:5" s="180" customFormat="1" ht="12" customHeight="1" thickBot="1" x14ac:dyDescent="0.25">
      <c r="A8" s="611" t="s">
        <v>384</v>
      </c>
      <c r="B8" s="612" t="s">
        <v>385</v>
      </c>
      <c r="C8" s="612" t="s">
        <v>386</v>
      </c>
      <c r="D8" s="612" t="s">
        <v>387</v>
      </c>
      <c r="E8" s="613" t="s">
        <v>389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380381624</v>
      </c>
      <c r="D9" s="169">
        <f>+D10+D11+D12+D13+D14+D15</f>
        <v>430196850</v>
      </c>
      <c r="E9" s="105">
        <f>+E10+E11+E12+E13+E14+E15</f>
        <v>430196850</v>
      </c>
    </row>
    <row r="10" spans="1:5" s="181" customFormat="1" ht="12" customHeight="1" x14ac:dyDescent="0.2">
      <c r="A10" s="13" t="s">
        <v>63</v>
      </c>
      <c r="B10" s="373" t="s">
        <v>163</v>
      </c>
      <c r="C10" s="107">
        <v>133321801</v>
      </c>
      <c r="D10" s="171">
        <v>170383149</v>
      </c>
      <c r="E10" s="107">
        <v>170383149</v>
      </c>
    </row>
    <row r="11" spans="1:5" s="181" customFormat="1" ht="12" customHeight="1" x14ac:dyDescent="0.2">
      <c r="A11" s="12" t="s">
        <v>64</v>
      </c>
      <c r="B11" s="374" t="s">
        <v>164</v>
      </c>
      <c r="C11" s="106">
        <v>47137500</v>
      </c>
      <c r="D11" s="170">
        <v>55594125</v>
      </c>
      <c r="E11" s="106">
        <v>55594125</v>
      </c>
    </row>
    <row r="12" spans="1:5" s="181" customFormat="1" ht="12" customHeight="1" x14ac:dyDescent="0.2">
      <c r="A12" s="12" t="s">
        <v>65</v>
      </c>
      <c r="B12" s="374" t="s">
        <v>165</v>
      </c>
      <c r="C12" s="106">
        <v>169535412</v>
      </c>
      <c r="D12" s="170">
        <v>183082621</v>
      </c>
      <c r="E12" s="106">
        <v>183082621</v>
      </c>
    </row>
    <row r="13" spans="1:5" s="181" customFormat="1" ht="12" customHeight="1" x14ac:dyDescent="0.2">
      <c r="A13" s="12" t="s">
        <v>66</v>
      </c>
      <c r="B13" s="374" t="s">
        <v>166</v>
      </c>
      <c r="C13" s="106">
        <v>3325921</v>
      </c>
      <c r="D13" s="170">
        <v>4021434</v>
      </c>
      <c r="E13" s="106">
        <v>4021434</v>
      </c>
    </row>
    <row r="14" spans="1:5" s="181" customFormat="1" ht="12" customHeight="1" x14ac:dyDescent="0.2">
      <c r="A14" s="12" t="s">
        <v>97</v>
      </c>
      <c r="B14" s="374" t="s">
        <v>332</v>
      </c>
      <c r="C14" s="106">
        <v>27060990</v>
      </c>
      <c r="D14" s="170">
        <v>17115521</v>
      </c>
      <c r="E14" s="106">
        <v>17115521</v>
      </c>
    </row>
    <row r="15" spans="1:5" s="181" customFormat="1" ht="12" customHeight="1" thickBot="1" x14ac:dyDescent="0.25">
      <c r="A15" s="14" t="s">
        <v>67</v>
      </c>
      <c r="B15" s="375" t="s">
        <v>333</v>
      </c>
      <c r="C15" s="108"/>
      <c r="D15" s="172"/>
      <c r="E15" s="108"/>
    </row>
    <row r="16" spans="1:5" s="181" customFormat="1" ht="12" customHeight="1" thickBot="1" x14ac:dyDescent="0.25">
      <c r="A16" s="18" t="s">
        <v>7</v>
      </c>
      <c r="B16" s="376" t="s">
        <v>167</v>
      </c>
      <c r="C16" s="169">
        <f>+C17+C18+C19+C20+C21</f>
        <v>201229795</v>
      </c>
      <c r="D16" s="169">
        <f>+D17+D18+D19+D20+D21</f>
        <v>390053363</v>
      </c>
      <c r="E16" s="105">
        <f>+E17+E18+E19+E20+E21</f>
        <v>227499478</v>
      </c>
    </row>
    <row r="17" spans="1:5" s="181" customFormat="1" ht="12" customHeight="1" x14ac:dyDescent="0.2">
      <c r="A17" s="13" t="s">
        <v>69</v>
      </c>
      <c r="B17" s="373" t="s">
        <v>168</v>
      </c>
      <c r="C17" s="107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06"/>
      <c r="D18" s="170"/>
      <c r="E18" s="106"/>
    </row>
    <row r="19" spans="1:5" s="181" customFormat="1" ht="12" customHeight="1" x14ac:dyDescent="0.2">
      <c r="A19" s="12" t="s">
        <v>71</v>
      </c>
      <c r="B19" s="374" t="s">
        <v>324</v>
      </c>
      <c r="C19" s="106"/>
      <c r="D19" s="170"/>
      <c r="E19" s="106"/>
    </row>
    <row r="20" spans="1:5" s="181" customFormat="1" ht="12" customHeight="1" x14ac:dyDescent="0.2">
      <c r="A20" s="12" t="s">
        <v>72</v>
      </c>
      <c r="B20" s="374" t="s">
        <v>325</v>
      </c>
      <c r="C20" s="106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06">
        <v>201229795</v>
      </c>
      <c r="D21" s="170">
        <v>390053363</v>
      </c>
      <c r="E21" s="106">
        <v>227499478</v>
      </c>
    </row>
    <row r="22" spans="1:5" s="181" customFormat="1" ht="12" customHeight="1" thickBot="1" x14ac:dyDescent="0.25">
      <c r="A22" s="14" t="s">
        <v>80</v>
      </c>
      <c r="B22" s="375" t="s">
        <v>171</v>
      </c>
      <c r="C22" s="108">
        <v>9536100</v>
      </c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997973754</v>
      </c>
      <c r="D23" s="169">
        <f>+D24+D25+D26+D27+D28</f>
        <v>222199546</v>
      </c>
      <c r="E23" s="105">
        <f>+E24+E25+E26+E27+E28</f>
        <v>124448510</v>
      </c>
    </row>
    <row r="24" spans="1:5" s="181" customFormat="1" ht="12" customHeight="1" x14ac:dyDescent="0.2">
      <c r="A24" s="13" t="s">
        <v>52</v>
      </c>
      <c r="B24" s="373" t="s">
        <v>173</v>
      </c>
      <c r="C24" s="107"/>
      <c r="D24" s="171">
        <v>33520989</v>
      </c>
      <c r="E24" s="107">
        <v>33520989</v>
      </c>
    </row>
    <row r="25" spans="1:5" s="181" customFormat="1" ht="12" customHeight="1" x14ac:dyDescent="0.2">
      <c r="A25" s="12" t="s">
        <v>53</v>
      </c>
      <c r="B25" s="374" t="s">
        <v>174</v>
      </c>
      <c r="C25" s="106"/>
      <c r="D25" s="170"/>
      <c r="E25" s="106"/>
    </row>
    <row r="26" spans="1:5" s="181" customFormat="1" ht="12" customHeight="1" x14ac:dyDescent="0.2">
      <c r="A26" s="12" t="s">
        <v>54</v>
      </c>
      <c r="B26" s="374" t="s">
        <v>326</v>
      </c>
      <c r="C26" s="106"/>
      <c r="D26" s="170"/>
      <c r="E26" s="106"/>
    </row>
    <row r="27" spans="1:5" s="181" customFormat="1" ht="12" customHeight="1" x14ac:dyDescent="0.2">
      <c r="A27" s="12" t="s">
        <v>55</v>
      </c>
      <c r="B27" s="374" t="s">
        <v>327</v>
      </c>
      <c r="C27" s="106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06">
        <v>997973754</v>
      </c>
      <c r="D28" s="170">
        <v>188678557</v>
      </c>
      <c r="E28" s="106">
        <v>90927521</v>
      </c>
    </row>
    <row r="29" spans="1:5" s="181" customFormat="1" ht="12" customHeight="1" thickBot="1" x14ac:dyDescent="0.25">
      <c r="A29" s="14" t="s">
        <v>111</v>
      </c>
      <c r="B29" s="375" t="s">
        <v>176</v>
      </c>
      <c r="C29" s="108">
        <v>977340758</v>
      </c>
      <c r="D29" s="172"/>
      <c r="E29" s="108">
        <v>51337760</v>
      </c>
    </row>
    <row r="30" spans="1:5" s="181" customFormat="1" ht="12" customHeight="1" thickBot="1" x14ac:dyDescent="0.25">
      <c r="A30" s="25" t="s">
        <v>112</v>
      </c>
      <c r="B30" s="19" t="s">
        <v>526</v>
      </c>
      <c r="C30" s="175">
        <f>SUM(C31:C37)</f>
        <v>57789471</v>
      </c>
      <c r="D30" s="175">
        <f>SUM(D31:D37)</f>
        <v>40050000</v>
      </c>
      <c r="E30" s="211">
        <f>SUM(E31:E37)</f>
        <v>37274492</v>
      </c>
    </row>
    <row r="31" spans="1:5" s="181" customFormat="1" ht="12" customHeight="1" x14ac:dyDescent="0.2">
      <c r="A31" s="199" t="s">
        <v>177</v>
      </c>
      <c r="B31" s="182" t="s">
        <v>476</v>
      </c>
      <c r="C31" s="107"/>
      <c r="D31" s="170"/>
      <c r="E31" s="106"/>
    </row>
    <row r="32" spans="1:5" s="181" customFormat="1" ht="12" customHeight="1" x14ac:dyDescent="0.2">
      <c r="A32" s="200" t="s">
        <v>178</v>
      </c>
      <c r="B32" s="182" t="s">
        <v>868</v>
      </c>
      <c r="C32" s="106">
        <v>41650</v>
      </c>
      <c r="D32" s="170">
        <v>50000</v>
      </c>
      <c r="E32" s="106">
        <v>7700</v>
      </c>
    </row>
    <row r="33" spans="1:5" s="181" customFormat="1" ht="12" customHeight="1" x14ac:dyDescent="0.2">
      <c r="A33" s="200" t="s">
        <v>179</v>
      </c>
      <c r="B33" s="182" t="s">
        <v>477</v>
      </c>
      <c r="C33" s="106">
        <v>35520491</v>
      </c>
      <c r="D33" s="170">
        <v>28000000</v>
      </c>
      <c r="E33" s="106">
        <v>25822837</v>
      </c>
    </row>
    <row r="34" spans="1:5" s="181" customFormat="1" ht="12" customHeight="1" x14ac:dyDescent="0.2">
      <c r="A34" s="200" t="s">
        <v>180</v>
      </c>
      <c r="B34" s="182" t="s">
        <v>869</v>
      </c>
      <c r="C34" s="106">
        <v>2271031</v>
      </c>
      <c r="D34" s="170"/>
      <c r="E34" s="106"/>
    </row>
    <row r="35" spans="1:5" s="181" customFormat="1" ht="12" customHeight="1" x14ac:dyDescent="0.2">
      <c r="A35" s="200" t="s">
        <v>479</v>
      </c>
      <c r="B35" s="182" t="s">
        <v>181</v>
      </c>
      <c r="C35" s="106">
        <v>11037999</v>
      </c>
      <c r="D35" s="170">
        <v>4000000</v>
      </c>
      <c r="E35" s="106"/>
    </row>
    <row r="36" spans="1:5" s="181" customFormat="1" ht="12" customHeight="1" x14ac:dyDescent="0.2">
      <c r="A36" s="200" t="s">
        <v>480</v>
      </c>
      <c r="B36" s="182" t="s">
        <v>854</v>
      </c>
      <c r="C36" s="106">
        <v>8918300</v>
      </c>
      <c r="D36" s="172">
        <v>8000000</v>
      </c>
      <c r="E36" s="108">
        <v>9099834</v>
      </c>
    </row>
    <row r="37" spans="1:5" s="181" customFormat="1" ht="12" customHeight="1" thickBot="1" x14ac:dyDescent="0.25">
      <c r="A37" s="201" t="s">
        <v>481</v>
      </c>
      <c r="B37" s="182" t="s">
        <v>880</v>
      </c>
      <c r="C37" s="108"/>
      <c r="D37" s="172"/>
      <c r="E37" s="108">
        <v>2344121</v>
      </c>
    </row>
    <row r="38" spans="1:5" s="181" customFormat="1" ht="12" customHeight="1" thickBot="1" x14ac:dyDescent="0.25">
      <c r="A38" s="18" t="s">
        <v>10</v>
      </c>
      <c r="B38" s="372" t="s">
        <v>527</v>
      </c>
      <c r="C38" s="169">
        <f>SUM(C39:C49)</f>
        <v>26398061</v>
      </c>
      <c r="D38" s="169">
        <f>SUM(D39:D49)</f>
        <v>24586000</v>
      </c>
      <c r="E38" s="105">
        <f>SUM(E39:E49)</f>
        <v>23765662</v>
      </c>
    </row>
    <row r="39" spans="1:5" s="181" customFormat="1" ht="12" customHeight="1" x14ac:dyDescent="0.2">
      <c r="A39" s="13" t="s">
        <v>56</v>
      </c>
      <c r="B39" s="373" t="s">
        <v>184</v>
      </c>
      <c r="C39" s="107">
        <v>292736</v>
      </c>
      <c r="D39" s="171"/>
      <c r="E39" s="107">
        <v>579500</v>
      </c>
    </row>
    <row r="40" spans="1:5" s="181" customFormat="1" ht="12" customHeight="1" x14ac:dyDescent="0.2">
      <c r="A40" s="12" t="s">
        <v>57</v>
      </c>
      <c r="B40" s="374" t="s">
        <v>185</v>
      </c>
      <c r="C40" s="106">
        <v>12471339</v>
      </c>
      <c r="D40" s="170">
        <v>7931000</v>
      </c>
      <c r="E40" s="106">
        <v>10503587</v>
      </c>
    </row>
    <row r="41" spans="1:5" s="181" customFormat="1" ht="12" customHeight="1" x14ac:dyDescent="0.2">
      <c r="A41" s="12" t="s">
        <v>58</v>
      </c>
      <c r="B41" s="374" t="s">
        <v>186</v>
      </c>
      <c r="C41" s="106">
        <v>49226</v>
      </c>
      <c r="D41" s="170">
        <v>5343000</v>
      </c>
      <c r="E41" s="106">
        <v>11027</v>
      </c>
    </row>
    <row r="42" spans="1:5" s="181" customFormat="1" ht="12" customHeight="1" x14ac:dyDescent="0.2">
      <c r="A42" s="12" t="s">
        <v>114</v>
      </c>
      <c r="B42" s="374" t="s">
        <v>187</v>
      </c>
      <c r="C42" s="106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06">
        <v>5585604</v>
      </c>
      <c r="D43" s="170">
        <v>6948000</v>
      </c>
      <c r="E43" s="106">
        <v>5941957</v>
      </c>
    </row>
    <row r="44" spans="1:5" s="181" customFormat="1" ht="12" customHeight="1" x14ac:dyDescent="0.2">
      <c r="A44" s="12" t="s">
        <v>116</v>
      </c>
      <c r="B44" s="374" t="s">
        <v>189</v>
      </c>
      <c r="C44" s="106">
        <v>4419372</v>
      </c>
      <c r="D44" s="170">
        <v>4364000</v>
      </c>
      <c r="E44" s="106">
        <v>4858807</v>
      </c>
    </row>
    <row r="45" spans="1:5" s="181" customFormat="1" ht="12" customHeight="1" x14ac:dyDescent="0.2">
      <c r="A45" s="12" t="s">
        <v>117</v>
      </c>
      <c r="B45" s="374" t="s">
        <v>190</v>
      </c>
      <c r="C45" s="106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06">
        <v>12571</v>
      </c>
      <c r="D46" s="170"/>
      <c r="E46" s="106">
        <v>128212</v>
      </c>
    </row>
    <row r="47" spans="1:5" s="181" customFormat="1" ht="12" customHeight="1" x14ac:dyDescent="0.2">
      <c r="A47" s="12" t="s">
        <v>182</v>
      </c>
      <c r="B47" s="374" t="s">
        <v>192</v>
      </c>
      <c r="C47" s="106"/>
      <c r="D47" s="173"/>
      <c r="E47" s="109"/>
    </row>
    <row r="48" spans="1:5" s="181" customFormat="1" ht="12" customHeight="1" x14ac:dyDescent="0.2">
      <c r="A48" s="12" t="s">
        <v>183</v>
      </c>
      <c r="B48" s="374" t="s">
        <v>336</v>
      </c>
      <c r="C48" s="109"/>
      <c r="D48" s="174"/>
      <c r="E48" s="110">
        <v>677818</v>
      </c>
    </row>
    <row r="49" spans="1:5" s="181" customFormat="1" ht="12" customHeight="1" thickBot="1" x14ac:dyDescent="0.25">
      <c r="A49" s="14" t="s">
        <v>335</v>
      </c>
      <c r="B49" s="375" t="s">
        <v>193</v>
      </c>
      <c r="C49" s="110">
        <v>3567213</v>
      </c>
      <c r="D49" s="174"/>
      <c r="E49" s="110">
        <v>1064754</v>
      </c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2849803</v>
      </c>
      <c r="D50" s="169">
        <f>SUM(D51:D55)</f>
        <v>0</v>
      </c>
      <c r="E50" s="105">
        <f>SUM(E51:E55)</f>
        <v>6114370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09">
        <v>2849803</v>
      </c>
      <c r="D52" s="173"/>
      <c r="E52" s="109">
        <v>5839370</v>
      </c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>
        <v>275000</v>
      </c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5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0</v>
      </c>
      <c r="E56" s="105">
        <f>SUM(E57:E59)</f>
        <v>71418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528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/>
      <c r="E59" s="106">
        <v>71418</v>
      </c>
    </row>
    <row r="60" spans="1:5" s="181" customFormat="1" ht="13.5" thickBot="1" x14ac:dyDescent="0.25">
      <c r="A60" s="14" t="s">
        <v>208</v>
      </c>
      <c r="B60" s="375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6" t="s">
        <v>209</v>
      </c>
      <c r="C61" s="169">
        <f>SUM(C62:C64)</f>
        <v>0</v>
      </c>
      <c r="D61" s="169">
        <f>SUM(D62:D64)</f>
        <v>0</v>
      </c>
      <c r="E61" s="105">
        <f>SUM(E62:E64)</f>
        <v>2035000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529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/>
      <c r="E64" s="109">
        <v>2035000</v>
      </c>
    </row>
    <row r="65" spans="1:5" s="181" customFormat="1" ht="13.5" thickBot="1" x14ac:dyDescent="0.25">
      <c r="A65" s="12" t="s">
        <v>210</v>
      </c>
      <c r="B65" s="375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1666622508</v>
      </c>
      <c r="D66" s="175">
        <f>+D9+D16+D23+D30+D38+D50+D56+D61</f>
        <v>1107085759</v>
      </c>
      <c r="E66" s="211">
        <f>+E9+E16+E23+E30+E38+E50+E56+E61</f>
        <v>851405780</v>
      </c>
    </row>
    <row r="67" spans="1:5" s="181" customFormat="1" ht="13.5" thickBot="1" x14ac:dyDescent="0.25">
      <c r="A67" s="223" t="s">
        <v>215</v>
      </c>
      <c r="B67" s="376" t="s">
        <v>530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870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6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7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7" t="s">
        <v>489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7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78" t="s">
        <v>490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6" t="s">
        <v>225</v>
      </c>
      <c r="C76" s="169">
        <f>SUM(C77:C78)</f>
        <v>484686793</v>
      </c>
      <c r="D76" s="169">
        <f>SUM(D77:D78)</f>
        <v>966125877</v>
      </c>
      <c r="E76" s="105">
        <f>SUM(E77:E78)</f>
        <v>1010559168</v>
      </c>
    </row>
    <row r="77" spans="1:5" s="181" customFormat="1" ht="12" customHeight="1" x14ac:dyDescent="0.2">
      <c r="A77" s="12" t="s">
        <v>247</v>
      </c>
      <c r="B77" s="373" t="s">
        <v>226</v>
      </c>
      <c r="C77" s="109">
        <v>484686793</v>
      </c>
      <c r="D77" s="173">
        <v>966125877</v>
      </c>
      <c r="E77" s="109">
        <v>1010559168</v>
      </c>
    </row>
    <row r="78" spans="1:5" s="181" customFormat="1" ht="12" customHeight="1" thickBot="1" x14ac:dyDescent="0.25">
      <c r="A78" s="12" t="s">
        <v>248</v>
      </c>
      <c r="B78" s="375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6" t="s">
        <v>229</v>
      </c>
      <c r="C79" s="169">
        <f>SUM(C80:C82)</f>
        <v>14337363</v>
      </c>
      <c r="D79" s="169">
        <f>SUM(D80:D82)</f>
        <v>0</v>
      </c>
      <c r="E79" s="105">
        <f>SUM(E80:E82)</f>
        <v>16034856</v>
      </c>
    </row>
    <row r="80" spans="1:5" s="181" customFormat="1" ht="12" customHeight="1" x14ac:dyDescent="0.2">
      <c r="A80" s="12" t="s">
        <v>249</v>
      </c>
      <c r="B80" s="373" t="s">
        <v>230</v>
      </c>
      <c r="C80" s="109">
        <v>14337363</v>
      </c>
      <c r="D80" s="173"/>
      <c r="E80" s="109">
        <v>16034856</v>
      </c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79" t="s">
        <v>531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6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0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1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1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2" t="s">
        <v>239</v>
      </c>
      <c r="B87" s="375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6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3" t="s">
        <v>532</v>
      </c>
      <c r="C89" s="175">
        <f>+C67+C71+C76+C79+C83+C88</f>
        <v>499024156</v>
      </c>
      <c r="D89" s="175">
        <f>+D67+D71+D76+D79+D83+D88</f>
        <v>966125877</v>
      </c>
      <c r="E89" s="211">
        <f>+E67+E71+E76+E79+E83+E88</f>
        <v>1026594024</v>
      </c>
    </row>
    <row r="90" spans="1:5" s="181" customFormat="1" ht="12" customHeight="1" thickBot="1" x14ac:dyDescent="0.25">
      <c r="A90" s="224" t="s">
        <v>255</v>
      </c>
      <c r="B90" s="384" t="s">
        <v>533</v>
      </c>
      <c r="C90" s="175">
        <f>+C66+C89</f>
        <v>2165646664</v>
      </c>
      <c r="D90" s="175">
        <f>+D66+D89</f>
        <v>2073211636</v>
      </c>
      <c r="E90" s="211">
        <f>+E66+E89</f>
        <v>1877999804</v>
      </c>
    </row>
    <row r="91" spans="1:5" ht="16.5" customHeight="1" x14ac:dyDescent="0.25">
      <c r="A91" s="803" t="s">
        <v>34</v>
      </c>
      <c r="B91" s="803"/>
      <c r="C91" s="803"/>
      <c r="D91" s="803"/>
      <c r="E91" s="803"/>
    </row>
    <row r="92" spans="1:5" s="191" customFormat="1" ht="16.5" customHeight="1" thickBot="1" x14ac:dyDescent="0.3">
      <c r="A92" s="385" t="s">
        <v>101</v>
      </c>
      <c r="B92" s="385"/>
      <c r="C92" s="385"/>
      <c r="D92" s="63"/>
      <c r="E92" s="63" t="str">
        <f>E5</f>
        <v xml:space="preserve"> Forintban!</v>
      </c>
    </row>
    <row r="93" spans="1:5" s="191" customFormat="1" ht="16.5" customHeight="1" x14ac:dyDescent="0.25">
      <c r="A93" s="890" t="s">
        <v>51</v>
      </c>
      <c r="B93" s="799" t="s">
        <v>419</v>
      </c>
      <c r="C93" s="796" t="str">
        <f>+C6</f>
        <v>2019 évi tény</v>
      </c>
      <c r="D93" s="893" t="str">
        <f>+D6</f>
        <v>2020. évi</v>
      </c>
      <c r="E93" s="894"/>
    </row>
    <row r="94" spans="1:5" ht="38.1" customHeight="1" thickBot="1" x14ac:dyDescent="0.3">
      <c r="A94" s="891"/>
      <c r="B94" s="892"/>
      <c r="C94" s="797"/>
      <c r="D94" s="253" t="s">
        <v>449</v>
      </c>
      <c r="E94" s="371" t="s">
        <v>444</v>
      </c>
    </row>
    <row r="95" spans="1:5" s="180" customFormat="1" ht="12" customHeight="1" thickBot="1" x14ac:dyDescent="0.25">
      <c r="A95" s="25" t="s">
        <v>384</v>
      </c>
      <c r="B95" s="26" t="s">
        <v>385</v>
      </c>
      <c r="C95" s="26" t="s">
        <v>386</v>
      </c>
      <c r="D95" s="26" t="s">
        <v>387</v>
      </c>
      <c r="E95" s="386" t="s">
        <v>389</v>
      </c>
    </row>
    <row r="96" spans="1:5" ht="12" customHeight="1" thickBot="1" x14ac:dyDescent="0.3">
      <c r="A96" s="20" t="s">
        <v>6</v>
      </c>
      <c r="B96" s="24" t="s">
        <v>319</v>
      </c>
      <c r="C96" s="168">
        <f>SUM(C97:C101)</f>
        <v>789674896</v>
      </c>
      <c r="D96" s="168">
        <f>+D97+D98+D99+D100+D101</f>
        <v>989252708</v>
      </c>
      <c r="E96" s="240">
        <f>+E97+E98+E99+E100+E101</f>
        <v>802196523</v>
      </c>
    </row>
    <row r="97" spans="1:5" ht="12" customHeight="1" x14ac:dyDescent="0.25">
      <c r="A97" s="15" t="s">
        <v>63</v>
      </c>
      <c r="B97" s="387" t="s">
        <v>35</v>
      </c>
      <c r="C97" s="241">
        <v>311162017</v>
      </c>
      <c r="D97" s="247">
        <v>405921000</v>
      </c>
      <c r="E97" s="241">
        <v>336089039</v>
      </c>
    </row>
    <row r="98" spans="1:5" ht="12" customHeight="1" x14ac:dyDescent="0.25">
      <c r="A98" s="12" t="s">
        <v>64</v>
      </c>
      <c r="B98" s="388" t="s">
        <v>122</v>
      </c>
      <c r="C98" s="106">
        <v>43104407</v>
      </c>
      <c r="D98" s="170">
        <v>68805000</v>
      </c>
      <c r="E98" s="106">
        <v>45311145</v>
      </c>
    </row>
    <row r="99" spans="1:5" ht="12" customHeight="1" x14ac:dyDescent="0.25">
      <c r="A99" s="12" t="s">
        <v>65</v>
      </c>
      <c r="B99" s="388" t="s">
        <v>90</v>
      </c>
      <c r="C99" s="108">
        <v>301512069</v>
      </c>
      <c r="D99" s="172">
        <v>321461877</v>
      </c>
      <c r="E99" s="108">
        <v>263964404</v>
      </c>
    </row>
    <row r="100" spans="1:5" ht="12" customHeight="1" x14ac:dyDescent="0.25">
      <c r="A100" s="12" t="s">
        <v>66</v>
      </c>
      <c r="B100" s="389" t="s">
        <v>123</v>
      </c>
      <c r="C100" s="108">
        <v>2840030</v>
      </c>
      <c r="D100" s="172">
        <v>14197000</v>
      </c>
      <c r="E100" s="108">
        <v>2542400</v>
      </c>
    </row>
    <row r="101" spans="1:5" ht="12" customHeight="1" x14ac:dyDescent="0.25">
      <c r="A101" s="12" t="s">
        <v>75</v>
      </c>
      <c r="B101" s="390" t="s">
        <v>124</v>
      </c>
      <c r="C101" s="108">
        <v>131056373</v>
      </c>
      <c r="D101" s="172">
        <v>178867831</v>
      </c>
      <c r="E101" s="108">
        <v>154289535</v>
      </c>
    </row>
    <row r="102" spans="1:5" ht="12" customHeight="1" x14ac:dyDescent="0.25">
      <c r="A102" s="12" t="s">
        <v>67</v>
      </c>
      <c r="B102" s="388" t="s">
        <v>342</v>
      </c>
      <c r="C102" s="108">
        <v>5880993</v>
      </c>
      <c r="D102" s="172">
        <v>4272678</v>
      </c>
      <c r="E102" s="108">
        <v>4272678</v>
      </c>
    </row>
    <row r="103" spans="1:5" ht="12" customHeight="1" x14ac:dyDescent="0.25">
      <c r="A103" s="12" t="s">
        <v>68</v>
      </c>
      <c r="B103" s="391" t="s">
        <v>341</v>
      </c>
      <c r="C103" s="108"/>
      <c r="D103" s="172"/>
      <c r="E103" s="108"/>
    </row>
    <row r="104" spans="1:5" ht="12" customHeight="1" x14ac:dyDescent="0.25">
      <c r="A104" s="12" t="s">
        <v>76</v>
      </c>
      <c r="B104" s="388" t="s">
        <v>340</v>
      </c>
      <c r="C104" s="108"/>
      <c r="D104" s="172"/>
      <c r="E104" s="108"/>
    </row>
    <row r="105" spans="1:5" ht="12" customHeight="1" x14ac:dyDescent="0.25">
      <c r="A105" s="12" t="s">
        <v>77</v>
      </c>
      <c r="B105" s="388" t="s">
        <v>258</v>
      </c>
      <c r="C105" s="108"/>
      <c r="D105" s="172"/>
      <c r="E105" s="108"/>
    </row>
    <row r="106" spans="1:5" ht="12" customHeight="1" x14ac:dyDescent="0.25">
      <c r="A106" s="12" t="s">
        <v>78</v>
      </c>
      <c r="B106" s="391" t="s">
        <v>259</v>
      </c>
      <c r="C106" s="108"/>
      <c r="D106" s="172"/>
      <c r="E106" s="108"/>
    </row>
    <row r="107" spans="1:5" ht="12" customHeight="1" x14ac:dyDescent="0.25">
      <c r="A107" s="12" t="s">
        <v>79</v>
      </c>
      <c r="B107" s="391" t="s">
        <v>260</v>
      </c>
      <c r="C107" s="108"/>
      <c r="D107" s="172"/>
      <c r="E107" s="108"/>
    </row>
    <row r="108" spans="1:5" ht="12" customHeight="1" x14ac:dyDescent="0.25">
      <c r="A108" s="12" t="s">
        <v>81</v>
      </c>
      <c r="B108" s="391" t="s">
        <v>261</v>
      </c>
      <c r="C108" s="108">
        <v>123875380</v>
      </c>
      <c r="D108" s="172">
        <v>172814713</v>
      </c>
      <c r="E108" s="108">
        <v>148236417</v>
      </c>
    </row>
    <row r="109" spans="1:5" ht="12" customHeight="1" x14ac:dyDescent="0.25">
      <c r="A109" s="12" t="s">
        <v>125</v>
      </c>
      <c r="B109" s="391" t="s">
        <v>262</v>
      </c>
      <c r="C109" s="108"/>
      <c r="D109" s="172"/>
      <c r="E109" s="108"/>
    </row>
    <row r="110" spans="1:5" ht="12" customHeight="1" x14ac:dyDescent="0.25">
      <c r="A110" s="12" t="s">
        <v>256</v>
      </c>
      <c r="B110" s="391" t="s">
        <v>263</v>
      </c>
      <c r="C110" s="108"/>
      <c r="D110" s="172"/>
      <c r="E110" s="108"/>
    </row>
    <row r="111" spans="1:5" ht="12" customHeight="1" x14ac:dyDescent="0.25">
      <c r="A111" s="12" t="s">
        <v>257</v>
      </c>
      <c r="B111" s="391" t="s">
        <v>264</v>
      </c>
      <c r="C111" s="108"/>
      <c r="D111" s="172"/>
      <c r="E111" s="108"/>
    </row>
    <row r="112" spans="1:5" ht="12" customHeight="1" x14ac:dyDescent="0.25">
      <c r="A112" s="12" t="s">
        <v>338</v>
      </c>
      <c r="B112" s="391" t="s">
        <v>265</v>
      </c>
      <c r="C112" s="108"/>
      <c r="D112" s="172"/>
      <c r="E112" s="108"/>
    </row>
    <row r="113" spans="1:5" ht="12" customHeight="1" x14ac:dyDescent="0.25">
      <c r="A113" s="12" t="s">
        <v>339</v>
      </c>
      <c r="B113" s="388" t="s">
        <v>266</v>
      </c>
      <c r="C113" s="108">
        <v>1300000</v>
      </c>
      <c r="D113" s="172">
        <v>1780440</v>
      </c>
      <c r="E113" s="108">
        <v>1780440</v>
      </c>
    </row>
    <row r="114" spans="1:5" ht="12" customHeight="1" x14ac:dyDescent="0.25">
      <c r="A114" s="11" t="s">
        <v>343</v>
      </c>
      <c r="B114" s="392" t="s">
        <v>36</v>
      </c>
      <c r="C114" s="108"/>
      <c r="D114" s="170"/>
      <c r="E114" s="106"/>
    </row>
    <row r="115" spans="1:5" ht="12" customHeight="1" x14ac:dyDescent="0.25">
      <c r="A115" s="12" t="s">
        <v>344</v>
      </c>
      <c r="B115" s="392" t="s">
        <v>346</v>
      </c>
      <c r="C115" s="108"/>
      <c r="D115" s="170"/>
      <c r="E115" s="106"/>
    </row>
    <row r="116" spans="1:5" ht="12" customHeight="1" thickBot="1" x14ac:dyDescent="0.3">
      <c r="A116" s="16" t="s">
        <v>345</v>
      </c>
      <c r="B116" s="393" t="s">
        <v>347</v>
      </c>
      <c r="C116" s="242"/>
      <c r="D116" s="248"/>
      <c r="E116" s="242"/>
    </row>
    <row r="117" spans="1:5" ht="12" customHeight="1" thickBot="1" x14ac:dyDescent="0.3">
      <c r="A117" s="18" t="s">
        <v>7</v>
      </c>
      <c r="B117" s="23" t="s">
        <v>871</v>
      </c>
      <c r="C117" s="169">
        <f>+C118+C120+C122</f>
        <v>291307834</v>
      </c>
      <c r="D117" s="169">
        <f>+D118+D120+D122</f>
        <v>1069621565</v>
      </c>
      <c r="E117" s="105">
        <f>+E118+E120+E122</f>
        <v>685034634</v>
      </c>
    </row>
    <row r="118" spans="1:5" ht="12" customHeight="1" x14ac:dyDescent="0.25">
      <c r="A118" s="13" t="s">
        <v>69</v>
      </c>
      <c r="B118" s="388" t="s">
        <v>143</v>
      </c>
      <c r="C118" s="107">
        <v>44647015</v>
      </c>
      <c r="D118" s="258">
        <v>871608816</v>
      </c>
      <c r="E118" s="107">
        <v>505760074</v>
      </c>
    </row>
    <row r="119" spans="1:5" ht="12" customHeight="1" x14ac:dyDescent="0.25">
      <c r="A119" s="13" t="s">
        <v>70</v>
      </c>
      <c r="B119" s="392" t="s">
        <v>271</v>
      </c>
      <c r="C119" s="107"/>
      <c r="D119" s="258"/>
      <c r="E119" s="107"/>
    </row>
    <row r="120" spans="1:5" x14ac:dyDescent="0.25">
      <c r="A120" s="13" t="s">
        <v>71</v>
      </c>
      <c r="B120" s="392" t="s">
        <v>126</v>
      </c>
      <c r="C120" s="106">
        <v>246660819</v>
      </c>
      <c r="D120" s="259">
        <v>198012749</v>
      </c>
      <c r="E120" s="106">
        <v>179274560</v>
      </c>
    </row>
    <row r="121" spans="1:5" ht="12" customHeight="1" x14ac:dyDescent="0.25">
      <c r="A121" s="13" t="s">
        <v>72</v>
      </c>
      <c r="B121" s="392" t="s">
        <v>272</v>
      </c>
      <c r="C121" s="170"/>
      <c r="D121" s="259"/>
      <c r="E121" s="106"/>
    </row>
    <row r="122" spans="1:5" ht="12" customHeight="1" x14ac:dyDescent="0.25">
      <c r="A122" s="13" t="s">
        <v>73</v>
      </c>
      <c r="B122" s="375" t="s">
        <v>145</v>
      </c>
      <c r="C122" s="170"/>
      <c r="D122" s="259"/>
      <c r="E122" s="106"/>
    </row>
    <row r="123" spans="1:5" x14ac:dyDescent="0.25">
      <c r="A123" s="13" t="s">
        <v>80</v>
      </c>
      <c r="B123" s="374" t="s">
        <v>330</v>
      </c>
      <c r="C123" s="170"/>
      <c r="D123" s="259"/>
      <c r="E123" s="106"/>
    </row>
    <row r="124" spans="1:5" x14ac:dyDescent="0.25">
      <c r="A124" s="13" t="s">
        <v>82</v>
      </c>
      <c r="B124" s="394" t="s">
        <v>277</v>
      </c>
      <c r="C124" s="170"/>
      <c r="D124" s="259"/>
      <c r="E124" s="106"/>
    </row>
    <row r="125" spans="1:5" ht="12" customHeight="1" x14ac:dyDescent="0.25">
      <c r="A125" s="13" t="s">
        <v>127</v>
      </c>
      <c r="B125" s="388" t="s">
        <v>260</v>
      </c>
      <c r="C125" s="170"/>
      <c r="D125" s="259"/>
      <c r="E125" s="106"/>
    </row>
    <row r="126" spans="1:5" ht="12" customHeight="1" x14ac:dyDescent="0.25">
      <c r="A126" s="13" t="s">
        <v>128</v>
      </c>
      <c r="B126" s="388" t="s">
        <v>276</v>
      </c>
      <c r="C126" s="170"/>
      <c r="D126" s="259"/>
      <c r="E126" s="106"/>
    </row>
    <row r="127" spans="1:5" ht="12" customHeight="1" x14ac:dyDescent="0.25">
      <c r="A127" s="13" t="s">
        <v>129</v>
      </c>
      <c r="B127" s="388" t="s">
        <v>275</v>
      </c>
      <c r="C127" s="170"/>
      <c r="D127" s="259"/>
      <c r="E127" s="106"/>
    </row>
    <row r="128" spans="1:5" s="395" customFormat="1" ht="12" customHeight="1" x14ac:dyDescent="0.2">
      <c r="A128" s="13" t="s">
        <v>268</v>
      </c>
      <c r="B128" s="388" t="s">
        <v>263</v>
      </c>
      <c r="C128" s="170"/>
      <c r="D128" s="259"/>
      <c r="E128" s="106"/>
    </row>
    <row r="129" spans="1:5" ht="12" customHeight="1" x14ac:dyDescent="0.25">
      <c r="A129" s="13" t="s">
        <v>269</v>
      </c>
      <c r="B129" s="388" t="s">
        <v>274</v>
      </c>
      <c r="C129" s="170"/>
      <c r="D129" s="259"/>
      <c r="E129" s="106"/>
    </row>
    <row r="130" spans="1:5" ht="12" customHeight="1" thickBot="1" x14ac:dyDescent="0.3">
      <c r="A130" s="11" t="s">
        <v>270</v>
      </c>
      <c r="B130" s="388" t="s">
        <v>273</v>
      </c>
      <c r="C130" s="172"/>
      <c r="D130" s="260"/>
      <c r="E130" s="108"/>
    </row>
    <row r="131" spans="1:5" ht="12" customHeight="1" thickBot="1" x14ac:dyDescent="0.3">
      <c r="A131" s="18" t="s">
        <v>8</v>
      </c>
      <c r="B131" s="396" t="s">
        <v>348</v>
      </c>
      <c r="C131" s="169">
        <f>+C96+C117</f>
        <v>1080982730</v>
      </c>
      <c r="D131" s="169">
        <f>+D96+D117</f>
        <v>2058874273</v>
      </c>
      <c r="E131" s="105">
        <f>+E96+E117</f>
        <v>1487231157</v>
      </c>
    </row>
    <row r="132" spans="1:5" ht="12" customHeight="1" thickBot="1" x14ac:dyDescent="0.3">
      <c r="A132" s="18" t="s">
        <v>9</v>
      </c>
      <c r="B132" s="396" t="s">
        <v>349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4" t="s">
        <v>403</v>
      </c>
      <c r="C133" s="170"/>
      <c r="D133" s="170"/>
      <c r="E133" s="106"/>
    </row>
    <row r="134" spans="1:5" ht="12" customHeight="1" x14ac:dyDescent="0.25">
      <c r="A134" s="13" t="s">
        <v>178</v>
      </c>
      <c r="B134" s="394" t="s">
        <v>357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7" t="s">
        <v>402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6" t="s">
        <v>872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4" t="s">
        <v>359</v>
      </c>
      <c r="C137" s="170"/>
      <c r="D137" s="170"/>
      <c r="E137" s="106"/>
    </row>
    <row r="138" spans="1:5" ht="12" customHeight="1" x14ac:dyDescent="0.25">
      <c r="A138" s="13" t="s">
        <v>57</v>
      </c>
      <c r="B138" s="394" t="s">
        <v>534</v>
      </c>
      <c r="C138" s="170"/>
      <c r="D138" s="170"/>
      <c r="E138" s="106"/>
    </row>
    <row r="139" spans="1:5" ht="12" customHeight="1" x14ac:dyDescent="0.25">
      <c r="A139" s="13" t="s">
        <v>58</v>
      </c>
      <c r="B139" s="394" t="s">
        <v>351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7" t="s">
        <v>535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6" t="s">
        <v>363</v>
      </c>
      <c r="C141" s="175">
        <f>+C142+C143+C144+C145</f>
        <v>12541303</v>
      </c>
      <c r="D141" s="175">
        <f>+D142+D143+D144+D145</f>
        <v>14337363</v>
      </c>
      <c r="E141" s="211">
        <f>+E142+E143+E144+E145</f>
        <v>14337363</v>
      </c>
    </row>
    <row r="142" spans="1:5" ht="12" customHeight="1" x14ac:dyDescent="0.25">
      <c r="A142" s="13" t="s">
        <v>59</v>
      </c>
      <c r="B142" s="394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4" t="s">
        <v>279</v>
      </c>
      <c r="C143" s="106">
        <v>12541303</v>
      </c>
      <c r="D143" s="259">
        <v>14337363</v>
      </c>
      <c r="E143" s="106">
        <v>14337363</v>
      </c>
    </row>
    <row r="144" spans="1:5" ht="12" customHeight="1" x14ac:dyDescent="0.25">
      <c r="A144" s="13" t="s">
        <v>195</v>
      </c>
      <c r="B144" s="394" t="s">
        <v>536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7" t="s">
        <v>294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6" t="s">
        <v>873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4" t="s">
        <v>537</v>
      </c>
      <c r="C147" s="170"/>
      <c r="D147" s="170"/>
      <c r="E147" s="106"/>
    </row>
    <row r="148" spans="1:9" ht="13.5" customHeight="1" x14ac:dyDescent="0.25">
      <c r="A148" s="13" t="s">
        <v>62</v>
      </c>
      <c r="B148" s="394" t="s">
        <v>538</v>
      </c>
      <c r="C148" s="170"/>
      <c r="D148" s="170"/>
      <c r="E148" s="106"/>
    </row>
    <row r="149" spans="1:9" ht="13.5" customHeight="1" x14ac:dyDescent="0.25">
      <c r="A149" s="13" t="s">
        <v>207</v>
      </c>
      <c r="B149" s="394" t="s">
        <v>539</v>
      </c>
      <c r="C149" s="170"/>
      <c r="D149" s="170"/>
      <c r="E149" s="106"/>
    </row>
    <row r="150" spans="1:9" ht="13.5" customHeight="1" x14ac:dyDescent="0.25">
      <c r="A150" s="13" t="s">
        <v>208</v>
      </c>
      <c r="B150" s="394" t="s">
        <v>368</v>
      </c>
      <c r="C150" s="170"/>
      <c r="D150" s="170"/>
      <c r="E150" s="106"/>
    </row>
    <row r="151" spans="1:9" ht="13.5" customHeight="1" thickBot="1" x14ac:dyDescent="0.3">
      <c r="A151" s="11" t="s">
        <v>874</v>
      </c>
      <c r="B151" s="397" t="s">
        <v>369</v>
      </c>
      <c r="C151" s="767"/>
      <c r="D151" s="767"/>
      <c r="E151" s="768"/>
    </row>
    <row r="152" spans="1:9" ht="13.5" customHeight="1" thickBot="1" x14ac:dyDescent="0.3">
      <c r="A152" s="769" t="s">
        <v>13</v>
      </c>
      <c r="B152" s="770" t="s">
        <v>370</v>
      </c>
      <c r="C152" s="771"/>
      <c r="D152" s="771"/>
      <c r="E152" s="772"/>
    </row>
    <row r="153" spans="1:9" ht="13.5" customHeight="1" thickBot="1" x14ac:dyDescent="0.3">
      <c r="A153" s="769" t="s">
        <v>14</v>
      </c>
      <c r="B153" s="770" t="s">
        <v>371</v>
      </c>
      <c r="C153" s="771"/>
      <c r="D153" s="771"/>
      <c r="E153" s="772"/>
    </row>
    <row r="154" spans="1:9" ht="12.75" customHeight="1" thickBot="1" x14ac:dyDescent="0.3">
      <c r="A154" s="18" t="s">
        <v>15</v>
      </c>
      <c r="B154" s="396" t="s">
        <v>373</v>
      </c>
      <c r="C154" s="252">
        <f>+C132+C136+C141+C146+C152+C153</f>
        <v>12541303</v>
      </c>
      <c r="D154" s="252">
        <f>+D132+D136+D141+D146+D152+D153</f>
        <v>14337363</v>
      </c>
      <c r="E154" s="246">
        <f>+E132+E136+E141+E146+E152+E153</f>
        <v>14337363</v>
      </c>
    </row>
    <row r="155" spans="1:9" ht="13.5" customHeight="1" thickBot="1" x14ac:dyDescent="0.3">
      <c r="A155" s="115" t="s">
        <v>16</v>
      </c>
      <c r="B155" s="398" t="s">
        <v>372</v>
      </c>
      <c r="C155" s="252">
        <f>+C131+C154</f>
        <v>1093524033</v>
      </c>
      <c r="D155" s="252">
        <f>+D131+D154</f>
        <v>2073211636</v>
      </c>
      <c r="E155" s="246">
        <f>+E131+E154</f>
        <v>1501568520</v>
      </c>
    </row>
    <row r="156" spans="1:9" ht="13.5" customHeight="1" x14ac:dyDescent="0.25">
      <c r="C156" s="664"/>
      <c r="D156" s="664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</sheetPr>
  <dimension ref="A1:K19"/>
  <sheetViews>
    <sheetView zoomScale="120" zoomScaleNormal="120" workbookViewId="0">
      <selection activeCell="K2" sqref="K2:K19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10" t="s">
        <v>765</v>
      </c>
      <c r="B1" s="895"/>
      <c r="C1" s="895"/>
      <c r="D1" s="895"/>
      <c r="E1" s="895"/>
      <c r="F1" s="895"/>
      <c r="G1" s="895"/>
      <c r="H1" s="895"/>
      <c r="I1" s="895"/>
      <c r="J1" s="895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09" t="s">
        <v>962</v>
      </c>
    </row>
    <row r="3" spans="1:11" s="402" customFormat="1" ht="26.45" customHeight="1" x14ac:dyDescent="0.2">
      <c r="A3" s="896" t="s">
        <v>51</v>
      </c>
      <c r="B3" s="898" t="s">
        <v>540</v>
      </c>
      <c r="C3" s="898" t="s">
        <v>541</v>
      </c>
      <c r="D3" s="898" t="s">
        <v>542</v>
      </c>
      <c r="E3" s="898" t="str">
        <f>CONCATENATE(Z_ALAPADATOK!B1,". évi teljesítés")</f>
        <v>2020. évi teljesítés</v>
      </c>
      <c r="F3" s="399" t="s">
        <v>543</v>
      </c>
      <c r="G3" s="400"/>
      <c r="H3" s="400"/>
      <c r="I3" s="401"/>
      <c r="J3" s="901" t="s">
        <v>544</v>
      </c>
      <c r="K3" s="809"/>
    </row>
    <row r="4" spans="1:11" s="406" customFormat="1" ht="32.450000000000003" customHeight="1" thickBot="1" x14ac:dyDescent="0.25">
      <c r="A4" s="897"/>
      <c r="B4" s="899"/>
      <c r="C4" s="899"/>
      <c r="D4" s="900"/>
      <c r="E4" s="900"/>
      <c r="F4" s="403" t="str">
        <f>CONCATENATE(Z_ALAPADATOK!B1+1,".")</f>
        <v>2021.</v>
      </c>
      <c r="G4" s="404" t="str">
        <f>CONCATENATE(Z_ALAPADATOK!B1+2,".")</f>
        <v>2022.</v>
      </c>
      <c r="H4" s="404" t="str">
        <f>CONCATENATE(Z_ALAPADATOK!B1+3,".")</f>
        <v>2023.</v>
      </c>
      <c r="I4" s="405" t="str">
        <f>CONCATENATE(Z_ALAPADATOK!B1+3,". után")</f>
        <v>2023. után</v>
      </c>
      <c r="J4" s="902"/>
      <c r="K4" s="809"/>
    </row>
    <row r="5" spans="1:11" s="411" customFormat="1" ht="14.1" customHeight="1" thickBot="1" x14ac:dyDescent="0.25">
      <c r="A5" s="407" t="s">
        <v>384</v>
      </c>
      <c r="B5" s="408" t="s">
        <v>545</v>
      </c>
      <c r="C5" s="409" t="s">
        <v>386</v>
      </c>
      <c r="D5" s="409" t="s">
        <v>388</v>
      </c>
      <c r="E5" s="409" t="s">
        <v>387</v>
      </c>
      <c r="F5" s="409" t="s">
        <v>389</v>
      </c>
      <c r="G5" s="409" t="s">
        <v>390</v>
      </c>
      <c r="H5" s="409" t="s">
        <v>391</v>
      </c>
      <c r="I5" s="409" t="s">
        <v>422</v>
      </c>
      <c r="J5" s="410" t="s">
        <v>546</v>
      </c>
      <c r="K5" s="809"/>
    </row>
    <row r="6" spans="1:11" ht="33.75" customHeight="1" x14ac:dyDescent="0.2">
      <c r="A6" s="412" t="s">
        <v>6</v>
      </c>
      <c r="B6" s="413" t="s">
        <v>547</v>
      </c>
      <c r="C6" s="414"/>
      <c r="D6" s="415">
        <f t="shared" ref="D6:I6" si="0">SUM(D7:D8)</f>
        <v>0</v>
      </c>
      <c r="E6" s="415">
        <f t="shared" si="0"/>
        <v>0</v>
      </c>
      <c r="F6" s="415">
        <f t="shared" si="0"/>
        <v>0</v>
      </c>
      <c r="G6" s="415">
        <f t="shared" si="0"/>
        <v>0</v>
      </c>
      <c r="H6" s="415">
        <f t="shared" si="0"/>
        <v>0</v>
      </c>
      <c r="I6" s="416">
        <f t="shared" si="0"/>
        <v>0</v>
      </c>
      <c r="J6" s="417">
        <f t="shared" ref="J6:J18" si="1">SUM(F6:I6)</f>
        <v>0</v>
      </c>
      <c r="K6" s="809"/>
    </row>
    <row r="7" spans="1:11" ht="21.2" customHeight="1" x14ac:dyDescent="0.2">
      <c r="A7" s="418" t="s">
        <v>7</v>
      </c>
      <c r="B7" s="419" t="s">
        <v>548</v>
      </c>
      <c r="C7" s="420"/>
      <c r="D7" s="21"/>
      <c r="E7" s="21"/>
      <c r="F7" s="21"/>
      <c r="G7" s="21"/>
      <c r="H7" s="21"/>
      <c r="I7" s="421"/>
      <c r="J7" s="422">
        <f t="shared" si="1"/>
        <v>0</v>
      </c>
      <c r="K7" s="809"/>
    </row>
    <row r="8" spans="1:11" ht="21.2" customHeight="1" x14ac:dyDescent="0.2">
      <c r="A8" s="418" t="s">
        <v>8</v>
      </c>
      <c r="B8" s="419" t="s">
        <v>548</v>
      </c>
      <c r="C8" s="420"/>
      <c r="D8" s="21"/>
      <c r="E8" s="21"/>
      <c r="F8" s="21"/>
      <c r="G8" s="21"/>
      <c r="H8" s="21"/>
      <c r="I8" s="421"/>
      <c r="J8" s="422">
        <f t="shared" si="1"/>
        <v>0</v>
      </c>
      <c r="K8" s="809"/>
    </row>
    <row r="9" spans="1:11" ht="33" customHeight="1" x14ac:dyDescent="0.2">
      <c r="A9" s="418" t="s">
        <v>9</v>
      </c>
      <c r="B9" s="423" t="s">
        <v>549</v>
      </c>
      <c r="C9" s="424"/>
      <c r="D9" s="425">
        <f t="shared" ref="D9:I9" si="2">SUM(D10:D11)</f>
        <v>0</v>
      </c>
      <c r="E9" s="425">
        <f t="shared" si="2"/>
        <v>0</v>
      </c>
      <c r="F9" s="425">
        <f t="shared" si="2"/>
        <v>0</v>
      </c>
      <c r="G9" s="425">
        <f t="shared" si="2"/>
        <v>0</v>
      </c>
      <c r="H9" s="425">
        <f t="shared" si="2"/>
        <v>0</v>
      </c>
      <c r="I9" s="426">
        <f t="shared" si="2"/>
        <v>0</v>
      </c>
      <c r="J9" s="427">
        <f t="shared" si="1"/>
        <v>0</v>
      </c>
      <c r="K9" s="809"/>
    </row>
    <row r="10" spans="1:11" ht="21.2" customHeight="1" x14ac:dyDescent="0.2">
      <c r="A10" s="418" t="s">
        <v>10</v>
      </c>
      <c r="B10" s="419" t="s">
        <v>548</v>
      </c>
      <c r="C10" s="420"/>
      <c r="D10" s="21"/>
      <c r="E10" s="21"/>
      <c r="F10" s="21"/>
      <c r="G10" s="21"/>
      <c r="H10" s="21"/>
      <c r="I10" s="421"/>
      <c r="J10" s="422">
        <f t="shared" si="1"/>
        <v>0</v>
      </c>
      <c r="K10" s="809"/>
    </row>
    <row r="11" spans="1:11" ht="18" customHeight="1" x14ac:dyDescent="0.2">
      <c r="A11" s="418" t="s">
        <v>11</v>
      </c>
      <c r="B11" s="419" t="s">
        <v>548</v>
      </c>
      <c r="C11" s="420"/>
      <c r="D11" s="21"/>
      <c r="E11" s="21"/>
      <c r="F11" s="21"/>
      <c r="G11" s="21"/>
      <c r="H11" s="21"/>
      <c r="I11" s="421"/>
      <c r="J11" s="422">
        <f t="shared" si="1"/>
        <v>0</v>
      </c>
      <c r="K11" s="809"/>
    </row>
    <row r="12" spans="1:11" ht="21.2" customHeight="1" x14ac:dyDescent="0.2">
      <c r="A12" s="418" t="s">
        <v>12</v>
      </c>
      <c r="B12" s="428" t="s">
        <v>550</v>
      </c>
      <c r="C12" s="424"/>
      <c r="D12" s="425">
        <f t="shared" ref="D12:I12" si="3">SUM(D13:D13)</f>
        <v>0</v>
      </c>
      <c r="E12" s="425">
        <f t="shared" si="3"/>
        <v>0</v>
      </c>
      <c r="F12" s="425">
        <f t="shared" si="3"/>
        <v>0</v>
      </c>
      <c r="G12" s="425">
        <f t="shared" si="3"/>
        <v>0</v>
      </c>
      <c r="H12" s="425">
        <f t="shared" si="3"/>
        <v>0</v>
      </c>
      <c r="I12" s="426">
        <f t="shared" si="3"/>
        <v>0</v>
      </c>
      <c r="J12" s="427">
        <f t="shared" si="1"/>
        <v>0</v>
      </c>
      <c r="K12" s="809"/>
    </row>
    <row r="13" spans="1:11" ht="21.2" customHeight="1" x14ac:dyDescent="0.2">
      <c r="A13" s="418" t="s">
        <v>13</v>
      </c>
      <c r="B13" s="419" t="s">
        <v>548</v>
      </c>
      <c r="C13" s="420"/>
      <c r="D13" s="21"/>
      <c r="E13" s="21"/>
      <c r="F13" s="21"/>
      <c r="G13" s="21"/>
      <c r="H13" s="21"/>
      <c r="I13" s="421"/>
      <c r="J13" s="422">
        <f t="shared" si="1"/>
        <v>0</v>
      </c>
      <c r="K13" s="809"/>
    </row>
    <row r="14" spans="1:11" ht="21.2" customHeight="1" x14ac:dyDescent="0.2">
      <c r="A14" s="418" t="s">
        <v>14</v>
      </c>
      <c r="B14" s="428" t="s">
        <v>551</v>
      </c>
      <c r="C14" s="424"/>
      <c r="D14" s="425">
        <f t="shared" ref="D14:I14" si="4">SUM(D15:D15)</f>
        <v>0</v>
      </c>
      <c r="E14" s="425">
        <f t="shared" si="4"/>
        <v>0</v>
      </c>
      <c r="F14" s="425">
        <f t="shared" si="4"/>
        <v>0</v>
      </c>
      <c r="G14" s="425">
        <f t="shared" si="4"/>
        <v>0</v>
      </c>
      <c r="H14" s="425">
        <f t="shared" si="4"/>
        <v>0</v>
      </c>
      <c r="I14" s="426">
        <f t="shared" si="4"/>
        <v>0</v>
      </c>
      <c r="J14" s="427">
        <f t="shared" si="1"/>
        <v>0</v>
      </c>
      <c r="K14" s="809"/>
    </row>
    <row r="15" spans="1:11" ht="21.2" customHeight="1" x14ac:dyDescent="0.2">
      <c r="A15" s="418" t="s">
        <v>15</v>
      </c>
      <c r="B15" s="419" t="s">
        <v>548</v>
      </c>
      <c r="C15" s="420"/>
      <c r="D15" s="21"/>
      <c r="E15" s="21"/>
      <c r="F15" s="21"/>
      <c r="G15" s="21"/>
      <c r="H15" s="21"/>
      <c r="I15" s="421"/>
      <c r="J15" s="422">
        <f t="shared" si="1"/>
        <v>0</v>
      </c>
      <c r="K15" s="809"/>
    </row>
    <row r="16" spans="1:11" ht="21.2" customHeight="1" x14ac:dyDescent="0.2">
      <c r="A16" s="429" t="s">
        <v>16</v>
      </c>
      <c r="B16" s="430" t="s">
        <v>552</v>
      </c>
      <c r="C16" s="431"/>
      <c r="D16" s="432">
        <f t="shared" ref="D16:I16" si="5">SUM(D17:D18)</f>
        <v>0</v>
      </c>
      <c r="E16" s="432">
        <f t="shared" si="5"/>
        <v>0</v>
      </c>
      <c r="F16" s="432">
        <f t="shared" si="5"/>
        <v>0</v>
      </c>
      <c r="G16" s="432">
        <f t="shared" si="5"/>
        <v>0</v>
      </c>
      <c r="H16" s="432">
        <f t="shared" si="5"/>
        <v>0</v>
      </c>
      <c r="I16" s="433">
        <f t="shared" si="5"/>
        <v>0</v>
      </c>
      <c r="J16" s="427">
        <f t="shared" si="1"/>
        <v>0</v>
      </c>
      <c r="K16" s="809"/>
    </row>
    <row r="17" spans="1:11" ht="21.2" customHeight="1" x14ac:dyDescent="0.2">
      <c r="A17" s="429" t="s">
        <v>17</v>
      </c>
      <c r="B17" s="419" t="s">
        <v>548</v>
      </c>
      <c r="C17" s="420"/>
      <c r="D17" s="21"/>
      <c r="E17" s="21"/>
      <c r="F17" s="21"/>
      <c r="G17" s="21"/>
      <c r="H17" s="21"/>
      <c r="I17" s="421"/>
      <c r="J17" s="422">
        <f t="shared" si="1"/>
        <v>0</v>
      </c>
      <c r="K17" s="809"/>
    </row>
    <row r="18" spans="1:11" ht="21.2" customHeight="1" thickBot="1" x14ac:dyDescent="0.25">
      <c r="A18" s="429" t="s">
        <v>18</v>
      </c>
      <c r="B18" s="419" t="s">
        <v>548</v>
      </c>
      <c r="C18" s="434"/>
      <c r="D18" s="435"/>
      <c r="E18" s="435"/>
      <c r="F18" s="435"/>
      <c r="G18" s="435"/>
      <c r="H18" s="435"/>
      <c r="I18" s="436"/>
      <c r="J18" s="422">
        <f t="shared" si="1"/>
        <v>0</v>
      </c>
      <c r="K18" s="809"/>
    </row>
    <row r="19" spans="1:11" ht="21.2" customHeight="1" thickBot="1" x14ac:dyDescent="0.25">
      <c r="A19" s="437" t="s">
        <v>19</v>
      </c>
      <c r="B19" s="438" t="s">
        <v>553</v>
      </c>
      <c r="C19" s="439"/>
      <c r="D19" s="440">
        <f t="shared" ref="D19:J19" si="6">D6+D9+D12+D14+D16</f>
        <v>0</v>
      </c>
      <c r="E19" s="440">
        <f t="shared" si="6"/>
        <v>0</v>
      </c>
      <c r="F19" s="440">
        <f t="shared" si="6"/>
        <v>0</v>
      </c>
      <c r="G19" s="440">
        <f t="shared" si="6"/>
        <v>0</v>
      </c>
      <c r="H19" s="440">
        <f t="shared" si="6"/>
        <v>0</v>
      </c>
      <c r="I19" s="441">
        <f t="shared" si="6"/>
        <v>0</v>
      </c>
      <c r="J19" s="442">
        <f t="shared" si="6"/>
        <v>0</v>
      </c>
      <c r="K19" s="809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</sheetPr>
  <dimension ref="A1:I22"/>
  <sheetViews>
    <sheetView topLeftCell="A3" zoomScale="120" zoomScaleNormal="120" workbookViewId="0">
      <selection activeCell="I3" sqref="I3:I21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10" t="s">
        <v>829</v>
      </c>
      <c r="B1" s="895"/>
      <c r="C1" s="895"/>
      <c r="D1" s="895"/>
      <c r="E1" s="895"/>
      <c r="F1" s="895"/>
      <c r="G1" s="895"/>
      <c r="H1" s="895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3" customFormat="1" ht="15.75" thickBot="1" x14ac:dyDescent="0.25">
      <c r="A3" s="614"/>
      <c r="B3" s="343"/>
      <c r="C3" s="343"/>
      <c r="D3" s="343"/>
      <c r="E3" s="343"/>
      <c r="F3" s="343"/>
      <c r="G3" s="343"/>
      <c r="H3" s="353" t="str">
        <f>'Z_2.tájékoztató_t.'!J2</f>
        <v xml:space="preserve"> Forintban!</v>
      </c>
      <c r="I3" s="903" t="s">
        <v>963</v>
      </c>
    </row>
    <row r="4" spans="1:9" s="402" customFormat="1" ht="26.45" customHeight="1" x14ac:dyDescent="0.2">
      <c r="A4" s="904" t="s">
        <v>51</v>
      </c>
      <c r="B4" s="906" t="s">
        <v>554</v>
      </c>
      <c r="C4" s="904" t="s">
        <v>555</v>
      </c>
      <c r="D4" s="904" t="s">
        <v>556</v>
      </c>
      <c r="E4" s="908" t="str">
        <f>CONCATENATE("Hitel, kölcsön állomány ",Z_ALAPADATOK!B1,". dec. 31-én")</f>
        <v>Hitel, kölcsön állomány 2020. dec. 31-én</v>
      </c>
      <c r="F4" s="910" t="s">
        <v>557</v>
      </c>
      <c r="G4" s="911"/>
      <c r="H4" s="912" t="str">
        <f>CONCATENATE(G5," után")</f>
        <v>2022. után</v>
      </c>
      <c r="I4" s="903"/>
    </row>
    <row r="5" spans="1:9" s="406" customFormat="1" ht="40.5" customHeight="1" thickBot="1" x14ac:dyDescent="0.25">
      <c r="A5" s="905"/>
      <c r="B5" s="907"/>
      <c r="C5" s="907"/>
      <c r="D5" s="905"/>
      <c r="E5" s="909"/>
      <c r="F5" s="615" t="str">
        <f>'Z_2.tájékoztató_t.'!F4</f>
        <v>2021.</v>
      </c>
      <c r="G5" s="616" t="str">
        <f>'Z_2.tájékoztató_t.'!G4</f>
        <v>2022.</v>
      </c>
      <c r="H5" s="913"/>
      <c r="I5" s="903"/>
    </row>
    <row r="6" spans="1:9" s="444" customFormat="1" ht="12.95" customHeight="1" thickBot="1" x14ac:dyDescent="0.25">
      <c r="A6" s="617" t="s">
        <v>384</v>
      </c>
      <c r="B6" s="618" t="s">
        <v>385</v>
      </c>
      <c r="C6" s="618" t="s">
        <v>386</v>
      </c>
      <c r="D6" s="619" t="s">
        <v>388</v>
      </c>
      <c r="E6" s="617" t="s">
        <v>387</v>
      </c>
      <c r="F6" s="619" t="s">
        <v>389</v>
      </c>
      <c r="G6" s="619" t="s">
        <v>390</v>
      </c>
      <c r="H6" s="318" t="s">
        <v>391</v>
      </c>
      <c r="I6" s="903"/>
    </row>
    <row r="7" spans="1:9" ht="22.5" customHeight="1" thickBot="1" x14ac:dyDescent="0.25">
      <c r="A7" s="445" t="s">
        <v>6</v>
      </c>
      <c r="B7" s="446" t="s">
        <v>558</v>
      </c>
      <c r="C7" s="447"/>
      <c r="D7" s="448"/>
      <c r="E7" s="449">
        <f>SUM(E8:E13)</f>
        <v>0</v>
      </c>
      <c r="F7" s="450">
        <f>SUM(F8:F13)</f>
        <v>0</v>
      </c>
      <c r="G7" s="450">
        <f>SUM(G8:G13)</f>
        <v>0</v>
      </c>
      <c r="H7" s="451">
        <f>SUM(H8:H13)</f>
        <v>0</v>
      </c>
      <c r="I7" s="903"/>
    </row>
    <row r="8" spans="1:9" ht="22.5" customHeight="1" x14ac:dyDescent="0.2">
      <c r="A8" s="452" t="s">
        <v>7</v>
      </c>
      <c r="B8" s="453" t="s">
        <v>913</v>
      </c>
      <c r="C8" s="454"/>
      <c r="D8" s="455"/>
      <c r="E8" s="456"/>
      <c r="F8" s="21"/>
      <c r="G8" s="21"/>
      <c r="H8" s="457"/>
      <c r="I8" s="903"/>
    </row>
    <row r="9" spans="1:9" ht="22.5" customHeight="1" x14ac:dyDescent="0.2">
      <c r="A9" s="452" t="s">
        <v>8</v>
      </c>
      <c r="B9" s="453" t="s">
        <v>548</v>
      </c>
      <c r="C9" s="454"/>
      <c r="D9" s="455"/>
      <c r="E9" s="456"/>
      <c r="F9" s="21"/>
      <c r="G9" s="21"/>
      <c r="H9" s="457"/>
      <c r="I9" s="903"/>
    </row>
    <row r="10" spans="1:9" ht="22.5" customHeight="1" x14ac:dyDescent="0.2">
      <c r="A10" s="452" t="s">
        <v>9</v>
      </c>
      <c r="B10" s="453" t="s">
        <v>548</v>
      </c>
      <c r="C10" s="454"/>
      <c r="D10" s="455"/>
      <c r="E10" s="456"/>
      <c r="F10" s="21"/>
      <c r="G10" s="21"/>
      <c r="H10" s="457"/>
      <c r="I10" s="903"/>
    </row>
    <row r="11" spans="1:9" ht="22.5" customHeight="1" x14ac:dyDescent="0.2">
      <c r="A11" s="452" t="s">
        <v>10</v>
      </c>
      <c r="B11" s="453" t="s">
        <v>548</v>
      </c>
      <c r="C11" s="454"/>
      <c r="D11" s="455"/>
      <c r="E11" s="456"/>
      <c r="F11" s="21"/>
      <c r="G11" s="21"/>
      <c r="H11" s="457"/>
      <c r="I11" s="903"/>
    </row>
    <row r="12" spans="1:9" ht="22.5" customHeight="1" x14ac:dyDescent="0.2">
      <c r="A12" s="452" t="s">
        <v>11</v>
      </c>
      <c r="B12" s="453" t="s">
        <v>548</v>
      </c>
      <c r="C12" s="454"/>
      <c r="D12" s="455"/>
      <c r="E12" s="456"/>
      <c r="F12" s="21"/>
      <c r="G12" s="21"/>
      <c r="H12" s="457"/>
      <c r="I12" s="903"/>
    </row>
    <row r="13" spans="1:9" ht="22.5" customHeight="1" thickBot="1" x14ac:dyDescent="0.25">
      <c r="A13" s="452" t="s">
        <v>12</v>
      </c>
      <c r="B13" s="453" t="s">
        <v>548</v>
      </c>
      <c r="C13" s="454"/>
      <c r="D13" s="455"/>
      <c r="E13" s="456"/>
      <c r="F13" s="21"/>
      <c r="G13" s="21"/>
      <c r="H13" s="457"/>
      <c r="I13" s="903"/>
    </row>
    <row r="14" spans="1:9" ht="22.5" customHeight="1" thickBot="1" x14ac:dyDescent="0.25">
      <c r="A14" s="445" t="s">
        <v>13</v>
      </c>
      <c r="B14" s="446" t="s">
        <v>559</v>
      </c>
      <c r="C14" s="458"/>
      <c r="D14" s="459"/>
      <c r="E14" s="449">
        <f>SUM(E15:E20)</f>
        <v>0</v>
      </c>
      <c r="F14" s="450">
        <f>SUM(F15:F20)</f>
        <v>0</v>
      </c>
      <c r="G14" s="450">
        <f>SUM(G15:G20)</f>
        <v>0</v>
      </c>
      <c r="H14" s="451">
        <f>SUM(H15:H20)</f>
        <v>0</v>
      </c>
      <c r="I14" s="903"/>
    </row>
    <row r="15" spans="1:9" ht="22.5" customHeight="1" x14ac:dyDescent="0.2">
      <c r="A15" s="452" t="s">
        <v>14</v>
      </c>
      <c r="B15" s="453" t="s">
        <v>913</v>
      </c>
      <c r="C15" s="454"/>
      <c r="D15" s="455"/>
      <c r="E15" s="456"/>
      <c r="F15" s="21"/>
      <c r="G15" s="21"/>
      <c r="H15" s="457"/>
      <c r="I15" s="903"/>
    </row>
    <row r="16" spans="1:9" ht="22.5" customHeight="1" x14ac:dyDescent="0.2">
      <c r="A16" s="452" t="s">
        <v>15</v>
      </c>
      <c r="B16" s="453" t="s">
        <v>548</v>
      </c>
      <c r="C16" s="454"/>
      <c r="D16" s="455"/>
      <c r="E16" s="456"/>
      <c r="F16" s="21"/>
      <c r="G16" s="21"/>
      <c r="H16" s="457"/>
      <c r="I16" s="903"/>
    </row>
    <row r="17" spans="1:9" ht="22.5" customHeight="1" x14ac:dyDescent="0.2">
      <c r="A17" s="452" t="s">
        <v>16</v>
      </c>
      <c r="B17" s="453" t="s">
        <v>548</v>
      </c>
      <c r="C17" s="454"/>
      <c r="D17" s="455"/>
      <c r="E17" s="456"/>
      <c r="F17" s="21"/>
      <c r="G17" s="21"/>
      <c r="H17" s="457"/>
      <c r="I17" s="903"/>
    </row>
    <row r="18" spans="1:9" ht="22.5" customHeight="1" x14ac:dyDescent="0.2">
      <c r="A18" s="452" t="s">
        <v>17</v>
      </c>
      <c r="B18" s="453" t="s">
        <v>548</v>
      </c>
      <c r="C18" s="454"/>
      <c r="D18" s="455"/>
      <c r="E18" s="456"/>
      <c r="F18" s="21"/>
      <c r="G18" s="21"/>
      <c r="H18" s="457"/>
      <c r="I18" s="903"/>
    </row>
    <row r="19" spans="1:9" ht="22.5" customHeight="1" x14ac:dyDescent="0.2">
      <c r="A19" s="452" t="s">
        <v>18</v>
      </c>
      <c r="B19" s="453" t="s">
        <v>548</v>
      </c>
      <c r="C19" s="454"/>
      <c r="D19" s="455"/>
      <c r="E19" s="456"/>
      <c r="F19" s="21"/>
      <c r="G19" s="21"/>
      <c r="H19" s="457"/>
      <c r="I19" s="903"/>
    </row>
    <row r="20" spans="1:9" ht="22.5" customHeight="1" thickBot="1" x14ac:dyDescent="0.25">
      <c r="A20" s="452" t="s">
        <v>19</v>
      </c>
      <c r="B20" s="453" t="s">
        <v>548</v>
      </c>
      <c r="C20" s="454"/>
      <c r="D20" s="455"/>
      <c r="E20" s="456"/>
      <c r="F20" s="21"/>
      <c r="G20" s="21"/>
      <c r="H20" s="457"/>
      <c r="I20" s="903"/>
    </row>
    <row r="21" spans="1:9" ht="22.5" customHeight="1" thickBot="1" x14ac:dyDescent="0.25">
      <c r="A21" s="445" t="s">
        <v>20</v>
      </c>
      <c r="B21" s="446" t="s">
        <v>560</v>
      </c>
      <c r="C21" s="447"/>
      <c r="D21" s="448"/>
      <c r="E21" s="449">
        <f>E7+E14</f>
        <v>0</v>
      </c>
      <c r="F21" s="450">
        <f>F7+F14</f>
        <v>0</v>
      </c>
      <c r="G21" s="450">
        <f>G7+G14</f>
        <v>0</v>
      </c>
      <c r="H21" s="451">
        <f>H7+H14</f>
        <v>0</v>
      </c>
      <c r="I21" s="903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J19"/>
  <sheetViews>
    <sheetView zoomScale="120" zoomScaleNormal="120" workbookViewId="0">
      <selection activeCell="J1" sqref="J1:J19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14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15"/>
      <c r="C1" s="915"/>
      <c r="D1" s="915"/>
      <c r="E1" s="915"/>
      <c r="F1" s="915"/>
      <c r="G1" s="915"/>
      <c r="H1" s="915"/>
      <c r="I1" s="915"/>
      <c r="J1" s="903" t="s">
        <v>964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16" t="str">
        <f>'Z_3.tájékoztató_t.'!H3</f>
        <v xml:space="preserve"> Forintban!</v>
      </c>
      <c r="I2" s="916"/>
      <c r="J2" s="903"/>
    </row>
    <row r="3" spans="1:10" ht="13.5" thickBot="1" x14ac:dyDescent="0.25">
      <c r="A3" s="917" t="s">
        <v>4</v>
      </c>
      <c r="B3" s="919" t="s">
        <v>561</v>
      </c>
      <c r="C3" s="921" t="s">
        <v>562</v>
      </c>
      <c r="D3" s="923" t="s">
        <v>563</v>
      </c>
      <c r="E3" s="924"/>
      <c r="F3" s="924"/>
      <c r="G3" s="924"/>
      <c r="H3" s="924"/>
      <c r="I3" s="925" t="s">
        <v>866</v>
      </c>
      <c r="J3" s="903"/>
    </row>
    <row r="4" spans="1:10" s="48" customFormat="1" ht="42" customHeight="1" thickBot="1" x14ac:dyDescent="0.25">
      <c r="A4" s="918"/>
      <c r="B4" s="920"/>
      <c r="C4" s="922"/>
      <c r="D4" s="336" t="s">
        <v>564</v>
      </c>
      <c r="E4" s="336" t="s">
        <v>565</v>
      </c>
      <c r="F4" s="336" t="s">
        <v>566</v>
      </c>
      <c r="G4" s="620" t="s">
        <v>567</v>
      </c>
      <c r="H4" s="620" t="s">
        <v>568</v>
      </c>
      <c r="I4" s="926"/>
      <c r="J4" s="903"/>
    </row>
    <row r="5" spans="1:10" s="48" customFormat="1" ht="12" customHeight="1" thickBot="1" x14ac:dyDescent="0.25">
      <c r="A5" s="367" t="s">
        <v>384</v>
      </c>
      <c r="B5" s="368" t="s">
        <v>385</v>
      </c>
      <c r="C5" s="368" t="s">
        <v>386</v>
      </c>
      <c r="D5" s="368" t="s">
        <v>388</v>
      </c>
      <c r="E5" s="368" t="s">
        <v>387</v>
      </c>
      <c r="F5" s="368" t="s">
        <v>389</v>
      </c>
      <c r="G5" s="368" t="s">
        <v>390</v>
      </c>
      <c r="H5" s="368" t="s">
        <v>569</v>
      </c>
      <c r="I5" s="370" t="s">
        <v>570</v>
      </c>
      <c r="J5" s="903"/>
    </row>
    <row r="6" spans="1:10" s="48" customFormat="1" ht="18" customHeight="1" x14ac:dyDescent="0.2">
      <c r="A6" s="927" t="s">
        <v>571</v>
      </c>
      <c r="B6" s="928"/>
      <c r="C6" s="928"/>
      <c r="D6" s="928"/>
      <c r="E6" s="928"/>
      <c r="F6" s="928"/>
      <c r="G6" s="928"/>
      <c r="H6" s="928"/>
      <c r="I6" s="929"/>
      <c r="J6" s="903"/>
    </row>
    <row r="7" spans="1:10" ht="15.95" customHeight="1" x14ac:dyDescent="0.2">
      <c r="A7" s="99" t="s">
        <v>6</v>
      </c>
      <c r="B7" s="80" t="s">
        <v>572</v>
      </c>
      <c r="C7" s="71"/>
      <c r="D7" s="71"/>
      <c r="E7" s="71"/>
      <c r="F7" s="71"/>
      <c r="G7" s="460"/>
      <c r="H7" s="461">
        <f t="shared" ref="H7:H13" si="0">SUM(D7:G7)</f>
        <v>0</v>
      </c>
      <c r="I7" s="100">
        <f t="shared" ref="I7:I13" si="1">C7+H7</f>
        <v>0</v>
      </c>
      <c r="J7" s="903"/>
    </row>
    <row r="8" spans="1:10" ht="22.5" x14ac:dyDescent="0.2">
      <c r="A8" s="99" t="s">
        <v>7</v>
      </c>
      <c r="B8" s="80" t="s">
        <v>137</v>
      </c>
      <c r="C8" s="71">
        <v>16034856</v>
      </c>
      <c r="D8" s="71"/>
      <c r="E8" s="71"/>
      <c r="F8" s="71"/>
      <c r="G8" s="460"/>
      <c r="H8" s="461">
        <f t="shared" si="0"/>
        <v>0</v>
      </c>
      <c r="I8" s="100">
        <f t="shared" si="1"/>
        <v>16034856</v>
      </c>
      <c r="J8" s="903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0"/>
      <c r="H9" s="461">
        <f t="shared" si="0"/>
        <v>0</v>
      </c>
      <c r="I9" s="100">
        <f t="shared" si="1"/>
        <v>0</v>
      </c>
      <c r="J9" s="903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0"/>
      <c r="H10" s="461">
        <f t="shared" si="0"/>
        <v>0</v>
      </c>
      <c r="I10" s="100">
        <f t="shared" si="1"/>
        <v>0</v>
      </c>
      <c r="J10" s="903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0"/>
      <c r="H11" s="461">
        <f t="shared" si="0"/>
        <v>0</v>
      </c>
      <c r="I11" s="100">
        <f t="shared" si="1"/>
        <v>0</v>
      </c>
      <c r="J11" s="903"/>
    </row>
    <row r="12" spans="1:10" ht="15.95" customHeight="1" x14ac:dyDescent="0.2">
      <c r="A12" s="101" t="s">
        <v>11</v>
      </c>
      <c r="B12" s="102" t="s">
        <v>573</v>
      </c>
      <c r="C12" s="72"/>
      <c r="D12" s="72"/>
      <c r="E12" s="72"/>
      <c r="F12" s="72">
        <v>2421404</v>
      </c>
      <c r="G12" s="462">
        <v>60636</v>
      </c>
      <c r="H12" s="461">
        <f t="shared" si="0"/>
        <v>2482040</v>
      </c>
      <c r="I12" s="100">
        <f t="shared" si="1"/>
        <v>2482040</v>
      </c>
      <c r="J12" s="903"/>
    </row>
    <row r="13" spans="1:10" ht="15.95" customHeight="1" thickBot="1" x14ac:dyDescent="0.25">
      <c r="A13" s="463" t="s">
        <v>12</v>
      </c>
      <c r="B13" s="464" t="s">
        <v>574</v>
      </c>
      <c r="C13" s="465"/>
      <c r="D13" s="465"/>
      <c r="E13" s="465"/>
      <c r="F13" s="465"/>
      <c r="G13" s="466">
        <v>0</v>
      </c>
      <c r="H13" s="461">
        <f t="shared" si="0"/>
        <v>0</v>
      </c>
      <c r="I13" s="100">
        <f t="shared" si="1"/>
        <v>0</v>
      </c>
      <c r="J13" s="903"/>
    </row>
    <row r="14" spans="1:10" s="73" customFormat="1" ht="18" customHeight="1" thickBot="1" x14ac:dyDescent="0.25">
      <c r="A14" s="930" t="s">
        <v>575</v>
      </c>
      <c r="B14" s="931"/>
      <c r="C14" s="103">
        <f t="shared" ref="C14:I14" si="2">SUM(C7:C13)</f>
        <v>16034856</v>
      </c>
      <c r="D14" s="103">
        <f>SUM(D7:D13)</f>
        <v>0</v>
      </c>
      <c r="E14" s="103">
        <f t="shared" si="2"/>
        <v>0</v>
      </c>
      <c r="F14" s="103">
        <f t="shared" si="2"/>
        <v>2421404</v>
      </c>
      <c r="G14" s="467">
        <f t="shared" si="2"/>
        <v>60636</v>
      </c>
      <c r="H14" s="467">
        <f t="shared" si="2"/>
        <v>2482040</v>
      </c>
      <c r="I14" s="104">
        <f t="shared" si="2"/>
        <v>18516896</v>
      </c>
      <c r="J14" s="903"/>
    </row>
    <row r="15" spans="1:10" s="70" customFormat="1" ht="18" customHeight="1" x14ac:dyDescent="0.2">
      <c r="A15" s="932" t="s">
        <v>576</v>
      </c>
      <c r="B15" s="933"/>
      <c r="C15" s="933"/>
      <c r="D15" s="933"/>
      <c r="E15" s="933"/>
      <c r="F15" s="933"/>
      <c r="G15" s="933"/>
      <c r="H15" s="933"/>
      <c r="I15" s="934"/>
      <c r="J15" s="903"/>
    </row>
    <row r="16" spans="1:10" s="70" customFormat="1" x14ac:dyDescent="0.2">
      <c r="A16" s="99" t="s">
        <v>6</v>
      </c>
      <c r="B16" s="80" t="s">
        <v>577</v>
      </c>
      <c r="C16" s="71"/>
      <c r="D16" s="71"/>
      <c r="E16" s="71"/>
      <c r="F16" s="71"/>
      <c r="G16" s="460"/>
      <c r="H16" s="461">
        <f>SUM(D16:G16)</f>
        <v>0</v>
      </c>
      <c r="I16" s="100">
        <f>C16+H16</f>
        <v>0</v>
      </c>
      <c r="J16" s="903"/>
    </row>
    <row r="17" spans="1:10" ht="13.5" thickBot="1" x14ac:dyDescent="0.25">
      <c r="A17" s="463" t="s">
        <v>7</v>
      </c>
      <c r="B17" s="464" t="s">
        <v>574</v>
      </c>
      <c r="C17" s="465"/>
      <c r="D17" s="465"/>
      <c r="E17" s="465"/>
      <c r="F17" s="465"/>
      <c r="G17" s="466"/>
      <c r="H17" s="461">
        <f>SUM(D17:G17)</f>
        <v>0</v>
      </c>
      <c r="I17" s="468">
        <f>C17+H17</f>
        <v>0</v>
      </c>
      <c r="J17" s="903"/>
    </row>
    <row r="18" spans="1:10" ht="15.95" customHeight="1" thickBot="1" x14ac:dyDescent="0.25">
      <c r="A18" s="930" t="s">
        <v>578</v>
      </c>
      <c r="B18" s="931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7">
        <f t="shared" si="3"/>
        <v>0</v>
      </c>
      <c r="H18" s="467">
        <f t="shared" si="3"/>
        <v>0</v>
      </c>
      <c r="I18" s="104">
        <f t="shared" si="3"/>
        <v>0</v>
      </c>
      <c r="J18" s="903"/>
    </row>
    <row r="19" spans="1:10" ht="18" customHeight="1" thickBot="1" x14ac:dyDescent="0.25">
      <c r="A19" s="935" t="s">
        <v>579</v>
      </c>
      <c r="B19" s="936"/>
      <c r="C19" s="469">
        <f t="shared" ref="C19:I19" si="4">C14+C18</f>
        <v>16034856</v>
      </c>
      <c r="D19" s="469">
        <f t="shared" si="4"/>
        <v>0</v>
      </c>
      <c r="E19" s="469">
        <f t="shared" si="4"/>
        <v>0</v>
      </c>
      <c r="F19" s="469">
        <f t="shared" si="4"/>
        <v>2421404</v>
      </c>
      <c r="G19" s="469">
        <f t="shared" si="4"/>
        <v>60636</v>
      </c>
      <c r="H19" s="469">
        <f t="shared" si="4"/>
        <v>2482040</v>
      </c>
      <c r="I19" s="104">
        <f t="shared" si="4"/>
        <v>18516896</v>
      </c>
      <c r="J19" s="903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D34"/>
  <sheetViews>
    <sheetView zoomScale="120" zoomScaleNormal="120" workbookViewId="0">
      <selection sqref="A1:D1"/>
    </sheetView>
  </sheetViews>
  <sheetFormatPr defaultRowHeight="12.75" x14ac:dyDescent="0.2"/>
  <cols>
    <col min="1" max="1" width="5.83203125" style="487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8" t="s">
        <v>965</v>
      </c>
      <c r="B1" s="812"/>
      <c r="C1" s="812"/>
      <c r="D1" s="812"/>
    </row>
    <row r="2" spans="1:4" x14ac:dyDescent="0.2">
      <c r="A2" s="622"/>
      <c r="B2" s="623"/>
      <c r="C2" s="623"/>
      <c r="D2" s="623"/>
    </row>
    <row r="3" spans="1:4" ht="15.75" x14ac:dyDescent="0.2">
      <c r="A3" s="914" t="s">
        <v>770</v>
      </c>
      <c r="B3" s="895"/>
      <c r="C3" s="895"/>
      <c r="D3" s="895"/>
    </row>
    <row r="4" spans="1:4" ht="15.75" x14ac:dyDescent="0.2">
      <c r="A4" s="914" t="s">
        <v>771</v>
      </c>
      <c r="B4" s="895"/>
      <c r="C4" s="895"/>
      <c r="D4" s="895"/>
    </row>
    <row r="5" spans="1:4" s="443" customFormat="1" ht="15.75" thickBot="1" x14ac:dyDescent="0.25">
      <c r="A5" s="614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580</v>
      </c>
      <c r="D6" s="624" t="s">
        <v>581</v>
      </c>
    </row>
    <row r="7" spans="1:4" s="48" customFormat="1" ht="14.1" customHeight="1" thickBot="1" x14ac:dyDescent="0.25">
      <c r="A7" s="625" t="s">
        <v>384</v>
      </c>
      <c r="B7" s="626" t="s">
        <v>385</v>
      </c>
      <c r="C7" s="626" t="s">
        <v>386</v>
      </c>
      <c r="D7" s="627" t="s">
        <v>388</v>
      </c>
    </row>
    <row r="8" spans="1:4" ht="18" customHeight="1" x14ac:dyDescent="0.2">
      <c r="A8" s="470" t="s">
        <v>6</v>
      </c>
      <c r="B8" s="471" t="s">
        <v>582</v>
      </c>
      <c r="C8" s="472"/>
      <c r="D8" s="473"/>
    </row>
    <row r="9" spans="1:4" ht="18" customHeight="1" x14ac:dyDescent="0.2">
      <c r="A9" s="474" t="s">
        <v>7</v>
      </c>
      <c r="B9" s="475" t="s">
        <v>583</v>
      </c>
      <c r="C9" s="476"/>
      <c r="D9" s="477"/>
    </row>
    <row r="10" spans="1:4" ht="18" customHeight="1" x14ac:dyDescent="0.2">
      <c r="A10" s="474" t="s">
        <v>8</v>
      </c>
      <c r="B10" s="475" t="s">
        <v>584</v>
      </c>
      <c r="C10" s="476"/>
      <c r="D10" s="477"/>
    </row>
    <row r="11" spans="1:4" ht="18" customHeight="1" x14ac:dyDescent="0.2">
      <c r="A11" s="474" t="s">
        <v>9</v>
      </c>
      <c r="B11" s="475" t="s">
        <v>585</v>
      </c>
      <c r="C11" s="476"/>
      <c r="D11" s="477"/>
    </row>
    <row r="12" spans="1:4" ht="18" customHeight="1" x14ac:dyDescent="0.2">
      <c r="A12" s="478" t="s">
        <v>10</v>
      </c>
      <c r="B12" s="475" t="s">
        <v>586</v>
      </c>
      <c r="C12" s="476"/>
      <c r="D12" s="477"/>
    </row>
    <row r="13" spans="1:4" ht="18" customHeight="1" x14ac:dyDescent="0.2">
      <c r="A13" s="474" t="s">
        <v>11</v>
      </c>
      <c r="B13" s="475" t="s">
        <v>587</v>
      </c>
      <c r="C13" s="476"/>
      <c r="D13" s="477"/>
    </row>
    <row r="14" spans="1:4" ht="18" customHeight="1" x14ac:dyDescent="0.2">
      <c r="A14" s="478" t="s">
        <v>12</v>
      </c>
      <c r="B14" s="479" t="s">
        <v>588</v>
      </c>
      <c r="C14" s="476"/>
      <c r="D14" s="477"/>
    </row>
    <row r="15" spans="1:4" ht="18" customHeight="1" x14ac:dyDescent="0.2">
      <c r="A15" s="478" t="s">
        <v>13</v>
      </c>
      <c r="B15" s="479" t="s">
        <v>589</v>
      </c>
      <c r="C15" s="476">
        <v>1074450</v>
      </c>
      <c r="D15" s="477"/>
    </row>
    <row r="16" spans="1:4" ht="18" customHeight="1" x14ac:dyDescent="0.2">
      <c r="A16" s="474" t="s">
        <v>14</v>
      </c>
      <c r="B16" s="479" t="s">
        <v>590</v>
      </c>
      <c r="C16" s="476"/>
      <c r="D16" s="477"/>
    </row>
    <row r="17" spans="1:4" ht="18" customHeight="1" x14ac:dyDescent="0.2">
      <c r="A17" s="478" t="s">
        <v>15</v>
      </c>
      <c r="B17" s="479" t="s">
        <v>591</v>
      </c>
      <c r="C17" s="476"/>
      <c r="D17" s="477"/>
    </row>
    <row r="18" spans="1:4" ht="22.5" x14ac:dyDescent="0.2">
      <c r="A18" s="474" t="s">
        <v>16</v>
      </c>
      <c r="B18" s="479" t="s">
        <v>592</v>
      </c>
      <c r="C18" s="476"/>
      <c r="D18" s="477"/>
    </row>
    <row r="19" spans="1:4" ht="18" customHeight="1" x14ac:dyDescent="0.2">
      <c r="A19" s="478" t="s">
        <v>17</v>
      </c>
      <c r="B19" s="475" t="s">
        <v>593</v>
      </c>
      <c r="C19" s="476">
        <v>1030796</v>
      </c>
      <c r="D19" s="477"/>
    </row>
    <row r="20" spans="1:4" ht="18" customHeight="1" x14ac:dyDescent="0.2">
      <c r="A20" s="474" t="s">
        <v>18</v>
      </c>
      <c r="B20" s="475" t="s">
        <v>594</v>
      </c>
      <c r="C20" s="476"/>
      <c r="D20" s="477"/>
    </row>
    <row r="21" spans="1:4" ht="18" customHeight="1" x14ac:dyDescent="0.2">
      <c r="A21" s="478" t="s">
        <v>19</v>
      </c>
      <c r="B21" s="475" t="s">
        <v>595</v>
      </c>
      <c r="C21" s="476"/>
      <c r="D21" s="477"/>
    </row>
    <row r="22" spans="1:4" ht="18" customHeight="1" x14ac:dyDescent="0.2">
      <c r="A22" s="474" t="s">
        <v>20</v>
      </c>
      <c r="B22" s="475" t="s">
        <v>596</v>
      </c>
      <c r="C22" s="476"/>
      <c r="D22" s="477"/>
    </row>
    <row r="23" spans="1:4" ht="18" customHeight="1" x14ac:dyDescent="0.2">
      <c r="A23" s="478" t="s">
        <v>21</v>
      </c>
      <c r="B23" s="475" t="s">
        <v>597</v>
      </c>
      <c r="C23" s="476"/>
      <c r="D23" s="477"/>
    </row>
    <row r="24" spans="1:4" ht="18" customHeight="1" x14ac:dyDescent="0.2">
      <c r="A24" s="474" t="s">
        <v>22</v>
      </c>
      <c r="B24" s="480"/>
      <c r="C24" s="476"/>
      <c r="D24" s="477"/>
    </row>
    <row r="25" spans="1:4" ht="18" customHeight="1" x14ac:dyDescent="0.2">
      <c r="A25" s="478" t="s">
        <v>23</v>
      </c>
      <c r="B25" s="480"/>
      <c r="C25" s="476"/>
      <c r="D25" s="477"/>
    </row>
    <row r="26" spans="1:4" ht="18" customHeight="1" x14ac:dyDescent="0.2">
      <c r="A26" s="474" t="s">
        <v>24</v>
      </c>
      <c r="B26" s="480"/>
      <c r="C26" s="476"/>
      <c r="D26" s="477"/>
    </row>
    <row r="27" spans="1:4" ht="18" customHeight="1" x14ac:dyDescent="0.2">
      <c r="A27" s="478" t="s">
        <v>25</v>
      </c>
      <c r="B27" s="480"/>
      <c r="C27" s="476"/>
      <c r="D27" s="477"/>
    </row>
    <row r="28" spans="1:4" ht="18" customHeight="1" x14ac:dyDescent="0.2">
      <c r="A28" s="474" t="s">
        <v>26</v>
      </c>
      <c r="B28" s="480"/>
      <c r="C28" s="476"/>
      <c r="D28" s="477"/>
    </row>
    <row r="29" spans="1:4" ht="18" customHeight="1" x14ac:dyDescent="0.2">
      <c r="A29" s="478" t="s">
        <v>27</v>
      </c>
      <c r="B29" s="480"/>
      <c r="C29" s="476"/>
      <c r="D29" s="477"/>
    </row>
    <row r="30" spans="1:4" ht="18" customHeight="1" x14ac:dyDescent="0.2">
      <c r="A30" s="474" t="s">
        <v>28</v>
      </c>
      <c r="B30" s="480"/>
      <c r="C30" s="476"/>
      <c r="D30" s="477"/>
    </row>
    <row r="31" spans="1:4" ht="18" customHeight="1" x14ac:dyDescent="0.2">
      <c r="A31" s="478" t="s">
        <v>29</v>
      </c>
      <c r="B31" s="480"/>
      <c r="C31" s="476"/>
      <c r="D31" s="477"/>
    </row>
    <row r="32" spans="1:4" ht="18" customHeight="1" thickBot="1" x14ac:dyDescent="0.25">
      <c r="A32" s="481" t="s">
        <v>30</v>
      </c>
      <c r="B32" s="482"/>
      <c r="C32" s="483"/>
      <c r="D32" s="484"/>
    </row>
    <row r="33" spans="1:4" ht="18" customHeight="1" thickBot="1" x14ac:dyDescent="0.25">
      <c r="A33" s="485" t="s">
        <v>31</v>
      </c>
      <c r="B33" s="621" t="s">
        <v>37</v>
      </c>
      <c r="C33" s="450">
        <f>+C8+C9+C10+C11+C12+C19+C20+C21+C22+C23+C24+C25+C26+C27+C28+C29+C30+C31+C32</f>
        <v>1030796</v>
      </c>
      <c r="D33" s="451">
        <f>+D8+D9+D10+D11+D12+D19+D20+D21+D22+D23+D24+D25+D26+D27+D28+D29+D30+D31+D32</f>
        <v>0</v>
      </c>
    </row>
    <row r="34" spans="1:4" ht="25.5" customHeight="1" x14ac:dyDescent="0.2">
      <c r="A34" s="486"/>
      <c r="B34" s="937" t="s">
        <v>598</v>
      </c>
      <c r="C34" s="937"/>
      <c r="D34" s="937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2D050"/>
  </sheetPr>
  <dimension ref="A1:E41"/>
  <sheetViews>
    <sheetView zoomScale="112" zoomScaleNormal="112" workbookViewId="0">
      <selection sqref="A1:E1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41" t="s">
        <v>966</v>
      </c>
      <c r="B1" s="941"/>
      <c r="C1" s="941"/>
      <c r="D1" s="941"/>
      <c r="E1" s="941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42" t="s">
        <v>772</v>
      </c>
      <c r="B3" s="942"/>
      <c r="C3" s="942"/>
      <c r="D3" s="942"/>
      <c r="E3" s="942"/>
    </row>
    <row r="4" spans="1:5" ht="15.75" x14ac:dyDescent="0.25">
      <c r="A4" s="942" t="str">
        <f>CONCATENATE("A ",Z_ALAPADATOK!B1,". évi céljelleggel juttatott támogatások felhasználásáról")</f>
        <v>A 2020. évi céljelleggel juttatott támogatások felhasználásáról</v>
      </c>
      <c r="B4" s="942"/>
      <c r="C4" s="942"/>
      <c r="D4" s="942"/>
      <c r="E4" s="942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28"/>
      <c r="D6" s="628"/>
      <c r="E6" s="628" t="str">
        <f>'Z_5.tájékoztató_t.'!D5</f>
        <v xml:space="preserve"> Forintban!</v>
      </c>
    </row>
    <row r="7" spans="1:5" ht="42.75" customHeight="1" thickBot="1" x14ac:dyDescent="0.25">
      <c r="A7" s="629" t="s">
        <v>51</v>
      </c>
      <c r="B7" s="630" t="s">
        <v>599</v>
      </c>
      <c r="C7" s="630" t="s">
        <v>600</v>
      </c>
      <c r="D7" s="631" t="s">
        <v>601</v>
      </c>
      <c r="E7" s="632" t="s">
        <v>602</v>
      </c>
    </row>
    <row r="8" spans="1:5" ht="15.95" customHeight="1" x14ac:dyDescent="0.2">
      <c r="A8" s="488" t="s">
        <v>6</v>
      </c>
      <c r="B8" s="489" t="s">
        <v>913</v>
      </c>
      <c r="C8" s="489"/>
      <c r="D8" s="490"/>
      <c r="E8" s="491"/>
    </row>
    <row r="9" spans="1:5" ht="15.95" customHeight="1" x14ac:dyDescent="0.2">
      <c r="A9" s="492" t="s">
        <v>7</v>
      </c>
      <c r="B9" s="493"/>
      <c r="C9" s="493"/>
      <c r="D9" s="494"/>
      <c r="E9" s="495"/>
    </row>
    <row r="10" spans="1:5" ht="15.95" customHeight="1" x14ac:dyDescent="0.2">
      <c r="A10" s="492" t="s">
        <v>8</v>
      </c>
      <c r="B10" s="493"/>
      <c r="C10" s="493"/>
      <c r="D10" s="494"/>
      <c r="E10" s="495"/>
    </row>
    <row r="11" spans="1:5" ht="15.95" customHeight="1" x14ac:dyDescent="0.2">
      <c r="A11" s="492" t="s">
        <v>9</v>
      </c>
      <c r="B11" s="493"/>
      <c r="C11" s="493"/>
      <c r="D11" s="494"/>
      <c r="E11" s="495"/>
    </row>
    <row r="12" spans="1:5" ht="15.95" customHeight="1" x14ac:dyDescent="0.2">
      <c r="A12" s="492" t="s">
        <v>10</v>
      </c>
      <c r="B12" s="493"/>
      <c r="C12" s="493"/>
      <c r="D12" s="494"/>
      <c r="E12" s="495"/>
    </row>
    <row r="13" spans="1:5" ht="15.95" customHeight="1" x14ac:dyDescent="0.2">
      <c r="A13" s="492" t="s">
        <v>11</v>
      </c>
      <c r="B13" s="493"/>
      <c r="C13" s="493"/>
      <c r="D13" s="494"/>
      <c r="E13" s="495"/>
    </row>
    <row r="14" spans="1:5" ht="15.95" customHeight="1" x14ac:dyDescent="0.2">
      <c r="A14" s="492" t="s">
        <v>12</v>
      </c>
      <c r="B14" s="493"/>
      <c r="C14" s="493"/>
      <c r="D14" s="494"/>
      <c r="E14" s="495"/>
    </row>
    <row r="15" spans="1:5" ht="15.95" customHeight="1" x14ac:dyDescent="0.2">
      <c r="A15" s="492" t="s">
        <v>13</v>
      </c>
      <c r="B15" s="493"/>
      <c r="C15" s="493"/>
      <c r="D15" s="494"/>
      <c r="E15" s="495"/>
    </row>
    <row r="16" spans="1:5" ht="15.95" customHeight="1" x14ac:dyDescent="0.2">
      <c r="A16" s="492" t="s">
        <v>14</v>
      </c>
      <c r="B16" s="493"/>
      <c r="C16" s="493"/>
      <c r="D16" s="494"/>
      <c r="E16" s="495"/>
    </row>
    <row r="17" spans="1:5" ht="15.95" customHeight="1" x14ac:dyDescent="0.2">
      <c r="A17" s="492" t="s">
        <v>15</v>
      </c>
      <c r="B17" s="493"/>
      <c r="C17" s="493"/>
      <c r="D17" s="494"/>
      <c r="E17" s="495"/>
    </row>
    <row r="18" spans="1:5" ht="15.95" customHeight="1" x14ac:dyDescent="0.2">
      <c r="A18" s="492" t="s">
        <v>16</v>
      </c>
      <c r="B18" s="493"/>
      <c r="C18" s="493"/>
      <c r="D18" s="494"/>
      <c r="E18" s="495"/>
    </row>
    <row r="19" spans="1:5" ht="15.95" customHeight="1" x14ac:dyDescent="0.2">
      <c r="A19" s="492" t="s">
        <v>17</v>
      </c>
      <c r="B19" s="493"/>
      <c r="C19" s="493"/>
      <c r="D19" s="494"/>
      <c r="E19" s="495"/>
    </row>
    <row r="20" spans="1:5" ht="15.95" customHeight="1" x14ac:dyDescent="0.2">
      <c r="A20" s="492" t="s">
        <v>18</v>
      </c>
      <c r="B20" s="493"/>
      <c r="C20" s="493"/>
      <c r="D20" s="494"/>
      <c r="E20" s="495"/>
    </row>
    <row r="21" spans="1:5" ht="15.95" customHeight="1" x14ac:dyDescent="0.2">
      <c r="A21" s="492" t="s">
        <v>19</v>
      </c>
      <c r="B21" s="493"/>
      <c r="C21" s="493"/>
      <c r="D21" s="494"/>
      <c r="E21" s="495"/>
    </row>
    <row r="22" spans="1:5" ht="15.95" customHeight="1" x14ac:dyDescent="0.2">
      <c r="A22" s="492" t="s">
        <v>20</v>
      </c>
      <c r="B22" s="493"/>
      <c r="C22" s="493"/>
      <c r="D22" s="494"/>
      <c r="E22" s="495"/>
    </row>
    <row r="23" spans="1:5" ht="15.95" customHeight="1" x14ac:dyDescent="0.2">
      <c r="A23" s="492" t="s">
        <v>21</v>
      </c>
      <c r="B23" s="493"/>
      <c r="C23" s="493"/>
      <c r="D23" s="494"/>
      <c r="E23" s="495"/>
    </row>
    <row r="24" spans="1:5" ht="15.95" customHeight="1" x14ac:dyDescent="0.2">
      <c r="A24" s="492" t="s">
        <v>22</v>
      </c>
      <c r="B24" s="493"/>
      <c r="C24" s="493"/>
      <c r="D24" s="494"/>
      <c r="E24" s="495"/>
    </row>
    <row r="25" spans="1:5" ht="15.95" customHeight="1" x14ac:dyDescent="0.2">
      <c r="A25" s="492" t="s">
        <v>23</v>
      </c>
      <c r="B25" s="493"/>
      <c r="C25" s="493"/>
      <c r="D25" s="494"/>
      <c r="E25" s="495"/>
    </row>
    <row r="26" spans="1:5" ht="15.95" customHeight="1" x14ac:dyDescent="0.2">
      <c r="A26" s="492" t="s">
        <v>24</v>
      </c>
      <c r="B26" s="493"/>
      <c r="C26" s="493"/>
      <c r="D26" s="494"/>
      <c r="E26" s="495"/>
    </row>
    <row r="27" spans="1:5" ht="15.95" customHeight="1" x14ac:dyDescent="0.2">
      <c r="A27" s="492" t="s">
        <v>25</v>
      </c>
      <c r="B27" s="493"/>
      <c r="C27" s="493"/>
      <c r="D27" s="494"/>
      <c r="E27" s="495"/>
    </row>
    <row r="28" spans="1:5" ht="15.95" customHeight="1" x14ac:dyDescent="0.2">
      <c r="A28" s="492" t="s">
        <v>26</v>
      </c>
      <c r="B28" s="493"/>
      <c r="C28" s="493"/>
      <c r="D28" s="494"/>
      <c r="E28" s="495"/>
    </row>
    <row r="29" spans="1:5" ht="15.95" customHeight="1" x14ac:dyDescent="0.2">
      <c r="A29" s="492" t="s">
        <v>27</v>
      </c>
      <c r="B29" s="493"/>
      <c r="C29" s="493"/>
      <c r="D29" s="494"/>
      <c r="E29" s="495"/>
    </row>
    <row r="30" spans="1:5" ht="15.95" customHeight="1" x14ac:dyDescent="0.2">
      <c r="A30" s="492" t="s">
        <v>28</v>
      </c>
      <c r="B30" s="493"/>
      <c r="C30" s="493"/>
      <c r="D30" s="494"/>
      <c r="E30" s="495"/>
    </row>
    <row r="31" spans="1:5" ht="15.95" customHeight="1" x14ac:dyDescent="0.2">
      <c r="A31" s="492" t="s">
        <v>29</v>
      </c>
      <c r="B31" s="493"/>
      <c r="C31" s="493"/>
      <c r="D31" s="494"/>
      <c r="E31" s="495"/>
    </row>
    <row r="32" spans="1:5" ht="15.95" customHeight="1" x14ac:dyDescent="0.2">
      <c r="A32" s="492" t="s">
        <v>30</v>
      </c>
      <c r="B32" s="493"/>
      <c r="C32" s="493"/>
      <c r="D32" s="494"/>
      <c r="E32" s="495"/>
    </row>
    <row r="33" spans="1:5" ht="15.95" customHeight="1" x14ac:dyDescent="0.2">
      <c r="A33" s="492" t="s">
        <v>31</v>
      </c>
      <c r="B33" s="493"/>
      <c r="C33" s="493"/>
      <c r="D33" s="494"/>
      <c r="E33" s="495"/>
    </row>
    <row r="34" spans="1:5" ht="15.95" customHeight="1" x14ac:dyDescent="0.2">
      <c r="A34" s="492" t="s">
        <v>32</v>
      </c>
      <c r="B34" s="493"/>
      <c r="C34" s="493"/>
      <c r="D34" s="494"/>
      <c r="E34" s="495"/>
    </row>
    <row r="35" spans="1:5" ht="15.95" customHeight="1" x14ac:dyDescent="0.2">
      <c r="A35" s="492" t="s">
        <v>33</v>
      </c>
      <c r="B35" s="493"/>
      <c r="C35" s="493"/>
      <c r="D35" s="494"/>
      <c r="E35" s="495"/>
    </row>
    <row r="36" spans="1:5" ht="15.95" customHeight="1" x14ac:dyDescent="0.2">
      <c r="A36" s="492" t="s">
        <v>603</v>
      </c>
      <c r="B36" s="493"/>
      <c r="C36" s="493"/>
      <c r="D36" s="494"/>
      <c r="E36" s="495"/>
    </row>
    <row r="37" spans="1:5" ht="15.95" customHeight="1" x14ac:dyDescent="0.2">
      <c r="A37" s="492" t="s">
        <v>604</v>
      </c>
      <c r="B37" s="493"/>
      <c r="C37" s="493"/>
      <c r="D37" s="494"/>
      <c r="E37" s="495"/>
    </row>
    <row r="38" spans="1:5" ht="15.95" customHeight="1" x14ac:dyDescent="0.2">
      <c r="A38" s="492" t="s">
        <v>605</v>
      </c>
      <c r="B38" s="493"/>
      <c r="C38" s="493"/>
      <c r="D38" s="494"/>
      <c r="E38" s="495"/>
    </row>
    <row r="39" spans="1:5" ht="15.95" customHeight="1" x14ac:dyDescent="0.2">
      <c r="A39" s="492" t="s">
        <v>606</v>
      </c>
      <c r="B39" s="493"/>
      <c r="C39" s="493"/>
      <c r="D39" s="494"/>
      <c r="E39" s="495"/>
    </row>
    <row r="40" spans="1:5" ht="15.95" customHeight="1" thickBot="1" x14ac:dyDescent="0.25">
      <c r="A40" s="496" t="s">
        <v>607</v>
      </c>
      <c r="B40" s="497"/>
      <c r="C40" s="497"/>
      <c r="D40" s="498"/>
      <c r="E40" s="499"/>
    </row>
    <row r="41" spans="1:5" ht="15.95" customHeight="1" thickBot="1" x14ac:dyDescent="0.25">
      <c r="A41" s="939" t="s">
        <v>37</v>
      </c>
      <c r="B41" s="940"/>
      <c r="C41" s="500"/>
      <c r="D41" s="501">
        <f>SUM(D8:D40)</f>
        <v>0</v>
      </c>
      <c r="E41" s="502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6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8" t="s">
        <v>937</v>
      </c>
      <c r="C1" s="789"/>
      <c r="D1" s="789"/>
      <c r="E1" s="789"/>
    </row>
    <row r="2" spans="1:5" x14ac:dyDescent="0.25">
      <c r="A2" s="790" t="str">
        <f>CONCATENATE(Z_ALAPADATOK!A3)</f>
        <v>Gönc Város Önkormányzata</v>
      </c>
      <c r="B2" s="791"/>
      <c r="C2" s="791"/>
      <c r="D2" s="791"/>
      <c r="E2" s="791"/>
    </row>
    <row r="3" spans="1:5" x14ac:dyDescent="0.25">
      <c r="A3" s="782" t="str">
        <f>CONCATENATE(Z_ALAPADATOK!B1,". ÉVI ZÁRSZÁMADÁS")</f>
        <v>2020. ÉVI ZÁRSZÁMADÁS</v>
      </c>
      <c r="B3" s="782"/>
      <c r="C3" s="782"/>
      <c r="D3" s="782"/>
      <c r="E3" s="782"/>
    </row>
    <row r="4" spans="1:5" ht="17.25" customHeight="1" x14ac:dyDescent="0.25">
      <c r="A4" s="782" t="s">
        <v>849</v>
      </c>
      <c r="B4" s="782"/>
      <c r="C4" s="782"/>
      <c r="D4" s="782"/>
      <c r="E4" s="782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2" t="s">
        <v>3</v>
      </c>
      <c r="B6" s="802"/>
      <c r="C6" s="802"/>
      <c r="D6" s="802"/>
      <c r="E6" s="802"/>
    </row>
    <row r="7" spans="1:5" ht="15.95" customHeight="1" thickBot="1" x14ac:dyDescent="0.3">
      <c r="A7" s="804" t="s">
        <v>100</v>
      </c>
      <c r="B7" s="804"/>
      <c r="C7" s="324"/>
      <c r="D7" s="323"/>
      <c r="E7" s="324" t="str">
        <f>CONCATENATE('Z_1.3.sz.mell.'!E7)</f>
        <v xml:space="preserve"> Forintban!</v>
      </c>
    </row>
    <row r="8" spans="1:5" x14ac:dyDescent="0.25">
      <c r="A8" s="794" t="s">
        <v>51</v>
      </c>
      <c r="B8" s="796" t="s">
        <v>5</v>
      </c>
      <c r="C8" s="798" t="str">
        <f>+CONCATENATE(LEFT(Z_ÖSSZEFÜGGÉSEK!A6,4),". évi")</f>
        <v>2020. évi</v>
      </c>
      <c r="D8" s="799"/>
      <c r="E8" s="800"/>
    </row>
    <row r="9" spans="1:5" ht="24.75" thickBot="1" x14ac:dyDescent="0.3">
      <c r="A9" s="795"/>
      <c r="B9" s="797"/>
      <c r="C9" s="254" t="s">
        <v>417</v>
      </c>
      <c r="D9" s="253" t="s">
        <v>418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384</v>
      </c>
      <c r="B10" s="177" t="s">
        <v>385</v>
      </c>
      <c r="C10" s="177" t="s">
        <v>386</v>
      </c>
      <c r="D10" s="177" t="s">
        <v>388</v>
      </c>
      <c r="E10" s="255" t="s">
        <v>387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145651000</v>
      </c>
      <c r="D11" s="169">
        <f>+D12+D13+D14+D15+D16+D17</f>
        <v>158791000</v>
      </c>
      <c r="E11" s="105">
        <f>+E12+E13+E14+E15+E16+E17</f>
        <v>138036748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77310400</v>
      </c>
      <c r="D12" s="171">
        <v>158791000</v>
      </c>
      <c r="E12" s="107">
        <v>138036748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332</v>
      </c>
      <c r="C16" s="170">
        <v>68340600</v>
      </c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333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9556000</v>
      </c>
      <c r="D18" s="169">
        <f>+D19+D20+D21+D22+D23</f>
        <v>9556000</v>
      </c>
      <c r="E18" s="105">
        <f>+E19+E20+E21+E22+E23</f>
        <v>10398831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324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325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9556000</v>
      </c>
      <c r="D23" s="170">
        <v>9556000</v>
      </c>
      <c r="E23" s="106">
        <v>10398831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326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327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475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479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480</v>
      </c>
      <c r="B38" s="182" t="str">
        <f>'Z_1.1.sz.mell.'!B38</f>
        <v>Egyéb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481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334</v>
      </c>
      <c r="C40" s="169">
        <f>SUM(C41:C51)</f>
        <v>1648000</v>
      </c>
      <c r="D40" s="169">
        <f>SUM(D41:D51)</f>
        <v>1648000</v>
      </c>
      <c r="E40" s="105">
        <f>SUM(E41:E51)</f>
        <v>243127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>
        <v>96627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1298000</v>
      </c>
      <c r="D43" s="170">
        <v>1298000</v>
      </c>
      <c r="E43" s="106">
        <v>11027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>
        <v>350000</v>
      </c>
      <c r="D46" s="170">
        <v>350000</v>
      </c>
      <c r="E46" s="106">
        <v>24031</v>
      </c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482</v>
      </c>
      <c r="C48" s="170"/>
      <c r="D48" s="170"/>
      <c r="E48" s="106">
        <v>104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336</v>
      </c>
      <c r="C50" s="174"/>
      <c r="D50" s="174"/>
      <c r="E50" s="110"/>
    </row>
    <row r="51" spans="1:5" s="181" customFormat="1" ht="12" customHeight="1" thickBot="1" x14ac:dyDescent="0.25">
      <c r="A51" s="14" t="s">
        <v>335</v>
      </c>
      <c r="B51" s="114" t="s">
        <v>193</v>
      </c>
      <c r="C51" s="174"/>
      <c r="D51" s="174"/>
      <c r="E51" s="110">
        <v>111338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175000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>
        <v>175000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328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329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376</v>
      </c>
      <c r="B68" s="19" t="s">
        <v>214</v>
      </c>
      <c r="C68" s="175">
        <f>+C11+C18+C25+C32+C40+C52+C58+C63</f>
        <v>156855000</v>
      </c>
      <c r="D68" s="175">
        <f>+D11+D18+D25+D32+D40+D52+D58+D63</f>
        <v>169995000</v>
      </c>
      <c r="E68" s="211">
        <f>+E11+E18+E25+E32+E40+E52+E58+E63</f>
        <v>148853706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361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489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490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16832000</v>
      </c>
      <c r="E78" s="105">
        <f>SUM(E79:E80)</f>
        <v>5560877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>
        <v>16832000</v>
      </c>
      <c r="E79" s="109">
        <v>5560877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491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375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378</v>
      </c>
      <c r="C92" s="175">
        <f>+C69+C73+C78+C81+C85+C91+C90</f>
        <v>0</v>
      </c>
      <c r="D92" s="175">
        <f>+D69+D73+D78+D81+D85+D91+D90</f>
        <v>16832000</v>
      </c>
      <c r="E92" s="211">
        <f>+E69+E73+E78+E81+E85+E91+E90</f>
        <v>5560877</v>
      </c>
    </row>
    <row r="93" spans="1:5" s="181" customFormat="1" ht="25.5" customHeight="1" thickBot="1" x14ac:dyDescent="0.25">
      <c r="A93" s="224" t="s">
        <v>377</v>
      </c>
      <c r="B93" s="190" t="s">
        <v>379</v>
      </c>
      <c r="C93" s="175">
        <f>+C68+C92</f>
        <v>156855000</v>
      </c>
      <c r="D93" s="175">
        <f>+D68+D92</f>
        <v>186827000</v>
      </c>
      <c r="E93" s="211">
        <f>+E68+E92</f>
        <v>154414583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3" t="s">
        <v>34</v>
      </c>
      <c r="B95" s="803"/>
      <c r="C95" s="803"/>
      <c r="D95" s="803"/>
      <c r="E95" s="803"/>
    </row>
    <row r="96" spans="1:5" s="191" customFormat="1" ht="16.5" customHeight="1" thickBot="1" x14ac:dyDescent="0.3">
      <c r="A96" s="805" t="s">
        <v>101</v>
      </c>
      <c r="B96" s="805"/>
      <c r="C96" s="63"/>
      <c r="E96" s="63" t="str">
        <f>E7</f>
        <v xml:space="preserve"> Forintban!</v>
      </c>
    </row>
    <row r="97" spans="1:5" x14ac:dyDescent="0.25">
      <c r="A97" s="794" t="s">
        <v>51</v>
      </c>
      <c r="B97" s="796" t="s">
        <v>419</v>
      </c>
      <c r="C97" s="798" t="str">
        <f>+CONCATENATE(LEFT(Z_ÖSSZEFÜGGÉSEK!A6,4),". évi")</f>
        <v>2020. évi</v>
      </c>
      <c r="D97" s="799"/>
      <c r="E97" s="800"/>
    </row>
    <row r="98" spans="1:5" ht="24.75" thickBot="1" x14ac:dyDescent="0.3">
      <c r="A98" s="795"/>
      <c r="B98" s="797"/>
      <c r="C98" s="254" t="s">
        <v>417</v>
      </c>
      <c r="D98" s="253" t="s">
        <v>418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384</v>
      </c>
      <c r="B99" s="26" t="s">
        <v>385</v>
      </c>
      <c r="C99" s="26" t="s">
        <v>386</v>
      </c>
      <c r="D99" s="26" t="s">
        <v>388</v>
      </c>
      <c r="E99" s="265" t="s">
        <v>387</v>
      </c>
    </row>
    <row r="100" spans="1:5" ht="12" customHeight="1" thickBot="1" x14ac:dyDescent="0.3">
      <c r="A100" s="20" t="s">
        <v>6</v>
      </c>
      <c r="B100" s="24" t="s">
        <v>337</v>
      </c>
      <c r="C100" s="168">
        <f>C101+C102+C103+C104+C105+C118</f>
        <v>156855000</v>
      </c>
      <c r="D100" s="168">
        <f>D101+D102+D103+D104+D105+D118</f>
        <v>186577000</v>
      </c>
      <c r="E100" s="240">
        <f>E101+E102+E103+E104+E105+E118</f>
        <v>151781344</v>
      </c>
    </row>
    <row r="101" spans="1:5" ht="12" customHeight="1" x14ac:dyDescent="0.25">
      <c r="A101" s="15" t="s">
        <v>63</v>
      </c>
      <c r="B101" s="8" t="s">
        <v>35</v>
      </c>
      <c r="C101" s="247">
        <v>115699000</v>
      </c>
      <c r="D101" s="247">
        <v>136691000</v>
      </c>
      <c r="E101" s="241">
        <v>117946759</v>
      </c>
    </row>
    <row r="102" spans="1:5" ht="12" customHeight="1" x14ac:dyDescent="0.25">
      <c r="A102" s="12" t="s">
        <v>64</v>
      </c>
      <c r="B102" s="6" t="s">
        <v>122</v>
      </c>
      <c r="C102" s="170">
        <v>21474000</v>
      </c>
      <c r="D102" s="170">
        <v>29774000</v>
      </c>
      <c r="E102" s="106">
        <v>19225708</v>
      </c>
    </row>
    <row r="103" spans="1:5" ht="12" customHeight="1" x14ac:dyDescent="0.25">
      <c r="A103" s="12" t="s">
        <v>65</v>
      </c>
      <c r="B103" s="6" t="s">
        <v>90</v>
      </c>
      <c r="C103" s="172">
        <v>19682000</v>
      </c>
      <c r="D103" s="172">
        <v>20112000</v>
      </c>
      <c r="E103" s="108">
        <v>14608877</v>
      </c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342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341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340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338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339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343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344</v>
      </c>
      <c r="B119" s="6" t="s">
        <v>346</v>
      </c>
      <c r="C119" s="170"/>
      <c r="D119" s="170"/>
      <c r="E119" s="106"/>
    </row>
    <row r="120" spans="1:5" ht="12" customHeight="1" thickBot="1" x14ac:dyDescent="0.3">
      <c r="A120" s="16" t="s">
        <v>345</v>
      </c>
      <c r="B120" s="236" t="s">
        <v>347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250000</v>
      </c>
      <c r="E121" s="243">
        <f>+E122+E124+E126</f>
        <v>76601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>
        <v>250000</v>
      </c>
      <c r="E122" s="107">
        <v>76601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330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348</v>
      </c>
      <c r="C135" s="169">
        <f>+C100+C121</f>
        <v>156855000</v>
      </c>
      <c r="D135" s="257">
        <f>+D100+D121</f>
        <v>186827000</v>
      </c>
      <c r="E135" s="105">
        <f>+E100+E121</f>
        <v>151857945</v>
      </c>
    </row>
    <row r="136" spans="1:5" ht="12" customHeight="1" thickBot="1" x14ac:dyDescent="0.3">
      <c r="A136" s="18" t="s">
        <v>9</v>
      </c>
      <c r="B136" s="59" t="s">
        <v>420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356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357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358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350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359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351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352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353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354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355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363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364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294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365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360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367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362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368</v>
      </c>
      <c r="C156" s="170"/>
      <c r="D156" s="259"/>
      <c r="E156" s="106"/>
    </row>
    <row r="157" spans="1:9" ht="12" customHeight="1" thickBot="1" x14ac:dyDescent="0.3">
      <c r="A157" s="13" t="s">
        <v>366</v>
      </c>
      <c r="B157" s="7" t="s">
        <v>369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370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371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373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372</v>
      </c>
      <c r="C161" s="252">
        <f>+C135+C160</f>
        <v>156855000</v>
      </c>
      <c r="D161" s="264">
        <f>+D135+D160</f>
        <v>186827000</v>
      </c>
      <c r="E161" s="246">
        <f>+E135+E160</f>
        <v>151857945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801" t="s">
        <v>280</v>
      </c>
      <c r="B163" s="801"/>
      <c r="C163" s="801"/>
      <c r="D163" s="801"/>
      <c r="E163" s="801"/>
    </row>
    <row r="164" spans="1:5" ht="15.2" customHeight="1" thickBot="1" x14ac:dyDescent="0.3">
      <c r="A164" s="793" t="s">
        <v>102</v>
      </c>
      <c r="B164" s="793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374</v>
      </c>
      <c r="C165" s="256">
        <f>+C68-C135</f>
        <v>0</v>
      </c>
      <c r="D165" s="169">
        <f>+D68-D135</f>
        <v>-16832000</v>
      </c>
      <c r="E165" s="105">
        <f>+E68-E135</f>
        <v>-3004239</v>
      </c>
    </row>
    <row r="166" spans="1:5" ht="32.450000000000003" customHeight="1" thickBot="1" x14ac:dyDescent="0.3">
      <c r="A166" s="18" t="s">
        <v>7</v>
      </c>
      <c r="B166" s="23" t="s">
        <v>380</v>
      </c>
      <c r="C166" s="169">
        <f>+C92-C160</f>
        <v>0</v>
      </c>
      <c r="D166" s="169">
        <f>+D92-D160</f>
        <v>16832000</v>
      </c>
      <c r="E166" s="105">
        <f>+E92-E160</f>
        <v>5560877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2D050"/>
  </sheetPr>
  <dimension ref="A1:E76"/>
  <sheetViews>
    <sheetView zoomScale="120" zoomScaleNormal="120" zoomScaleSheetLayoutView="120" workbookViewId="0">
      <selection sqref="A1:E1"/>
    </sheetView>
  </sheetViews>
  <sheetFormatPr defaultColWidth="12" defaultRowHeight="15.75" x14ac:dyDescent="0.25"/>
  <cols>
    <col min="1" max="1" width="67.1640625" style="503" customWidth="1"/>
    <col min="2" max="2" width="6.1640625" style="504" customWidth="1"/>
    <col min="3" max="4" width="12.1640625" style="503" customWidth="1"/>
    <col min="5" max="5" width="12.1640625" style="530" customWidth="1"/>
    <col min="6" max="16384" width="12" style="503"/>
  </cols>
  <sheetData>
    <row r="1" spans="1:5" x14ac:dyDescent="0.25">
      <c r="A1" s="956" t="s">
        <v>967</v>
      </c>
      <c r="B1" s="789"/>
      <c r="C1" s="789"/>
      <c r="D1" s="789"/>
      <c r="E1" s="789"/>
    </row>
    <row r="2" spans="1:5" x14ac:dyDescent="0.25">
      <c r="A2" s="957" t="s">
        <v>776</v>
      </c>
      <c r="B2" s="958"/>
      <c r="C2" s="958"/>
      <c r="D2" s="958"/>
      <c r="E2" s="958"/>
    </row>
    <row r="3" spans="1:5" ht="16.5" customHeight="1" x14ac:dyDescent="0.25">
      <c r="A3" s="957" t="s">
        <v>777</v>
      </c>
      <c r="B3" s="958"/>
      <c r="C3" s="958"/>
      <c r="D3" s="958"/>
      <c r="E3" s="958"/>
    </row>
    <row r="4" spans="1:5" ht="16.5" customHeight="1" x14ac:dyDescent="0.25">
      <c r="A4" s="959" t="str">
        <f>CONCATENATE(Z_ALAPADATOK!B1,". év")</f>
        <v>2020. év</v>
      </c>
      <c r="B4" s="960"/>
      <c r="C4" s="960"/>
      <c r="D4" s="960"/>
      <c r="E4" s="960"/>
    </row>
    <row r="5" spans="1:5" ht="16.5" customHeight="1" thickBot="1" x14ac:dyDescent="0.3">
      <c r="A5" s="633"/>
      <c r="B5" s="634"/>
      <c r="C5" s="961" t="str">
        <f>'Z_6.tájékoztató_t.'!E6</f>
        <v xml:space="preserve"> Forintban!</v>
      </c>
      <c r="D5" s="961"/>
      <c r="E5" s="961"/>
    </row>
    <row r="6" spans="1:5" ht="15.75" customHeight="1" x14ac:dyDescent="0.25">
      <c r="A6" s="943" t="s">
        <v>608</v>
      </c>
      <c r="B6" s="946" t="s">
        <v>609</v>
      </c>
      <c r="C6" s="949" t="s">
        <v>610</v>
      </c>
      <c r="D6" s="949" t="s">
        <v>611</v>
      </c>
      <c r="E6" s="951" t="s">
        <v>612</v>
      </c>
    </row>
    <row r="7" spans="1:5" ht="11.25" customHeight="1" x14ac:dyDescent="0.25">
      <c r="A7" s="944"/>
      <c r="B7" s="947"/>
      <c r="C7" s="950"/>
      <c r="D7" s="950"/>
      <c r="E7" s="952"/>
    </row>
    <row r="8" spans="1:5" x14ac:dyDescent="0.25">
      <c r="A8" s="945"/>
      <c r="B8" s="948"/>
      <c r="C8" s="953" t="s">
        <v>613</v>
      </c>
      <c r="D8" s="953"/>
      <c r="E8" s="954"/>
    </row>
    <row r="9" spans="1:5" s="505" customFormat="1" ht="16.5" thickBot="1" x14ac:dyDescent="0.25">
      <c r="A9" s="635" t="s">
        <v>614</v>
      </c>
      <c r="B9" s="636" t="s">
        <v>385</v>
      </c>
      <c r="C9" s="636" t="s">
        <v>386</v>
      </c>
      <c r="D9" s="636" t="s">
        <v>388</v>
      </c>
      <c r="E9" s="637" t="s">
        <v>387</v>
      </c>
    </row>
    <row r="10" spans="1:5" s="510" customFormat="1" x14ac:dyDescent="0.2">
      <c r="A10" s="506" t="s">
        <v>615</v>
      </c>
      <c r="B10" s="507" t="s">
        <v>616</v>
      </c>
      <c r="C10" s="508">
        <v>2066237</v>
      </c>
      <c r="D10" s="508">
        <v>424626</v>
      </c>
      <c r="E10" s="509"/>
    </row>
    <row r="11" spans="1:5" s="510" customFormat="1" x14ac:dyDescent="0.2">
      <c r="A11" s="511" t="s">
        <v>617</v>
      </c>
      <c r="B11" s="512" t="s">
        <v>618</v>
      </c>
      <c r="C11" s="513">
        <f>+C12+C17+C22+C27+C32</f>
        <v>4138084603</v>
      </c>
      <c r="D11" s="513">
        <f>+D12+D17+D22+D27+D32</f>
        <v>2730867757</v>
      </c>
      <c r="E11" s="514">
        <f>+E12+E17+E22+E27+E32</f>
        <v>0</v>
      </c>
    </row>
    <row r="12" spans="1:5" s="510" customFormat="1" x14ac:dyDescent="0.2">
      <c r="A12" s="511" t="s">
        <v>619</v>
      </c>
      <c r="B12" s="512" t="s">
        <v>620</v>
      </c>
      <c r="C12" s="513">
        <f>+C13+C14+C15+C16</f>
        <v>2257114304</v>
      </c>
      <c r="D12" s="513">
        <f>+D13+D14+D15+D16</f>
        <v>1372024231</v>
      </c>
      <c r="E12" s="514">
        <f>+E13+E14+E15+E16</f>
        <v>0</v>
      </c>
    </row>
    <row r="13" spans="1:5" s="510" customFormat="1" x14ac:dyDescent="0.2">
      <c r="A13" s="515" t="s">
        <v>621</v>
      </c>
      <c r="B13" s="512" t="s">
        <v>622</v>
      </c>
      <c r="C13" s="516">
        <v>2257114304</v>
      </c>
      <c r="D13" s="516">
        <v>1372024231</v>
      </c>
      <c r="E13" s="517"/>
    </row>
    <row r="14" spans="1:5" s="510" customFormat="1" ht="26.45" customHeight="1" x14ac:dyDescent="0.2">
      <c r="A14" s="515" t="s">
        <v>623</v>
      </c>
      <c r="B14" s="512" t="s">
        <v>624</v>
      </c>
      <c r="C14" s="518"/>
      <c r="D14" s="518"/>
      <c r="E14" s="519"/>
    </row>
    <row r="15" spans="1:5" s="510" customFormat="1" x14ac:dyDescent="0.2">
      <c r="A15" s="515" t="s">
        <v>625</v>
      </c>
      <c r="B15" s="512" t="s">
        <v>626</v>
      </c>
      <c r="C15" s="518"/>
      <c r="D15" s="518"/>
      <c r="E15" s="519"/>
    </row>
    <row r="16" spans="1:5" s="510" customFormat="1" x14ac:dyDescent="0.2">
      <c r="A16" s="515" t="s">
        <v>627</v>
      </c>
      <c r="B16" s="512" t="s">
        <v>628</v>
      </c>
      <c r="C16" s="518"/>
      <c r="D16" s="518"/>
      <c r="E16" s="519"/>
    </row>
    <row r="17" spans="1:5" s="510" customFormat="1" x14ac:dyDescent="0.2">
      <c r="A17" s="511" t="s">
        <v>629</v>
      </c>
      <c r="B17" s="512" t="s">
        <v>630</v>
      </c>
      <c r="C17" s="520">
        <f>+C18+C19+C20+C21</f>
        <v>609217648</v>
      </c>
      <c r="D17" s="520">
        <f>+D18+D19+D20+D21</f>
        <v>87090875</v>
      </c>
      <c r="E17" s="521">
        <f>+E18+E19+E20+E21</f>
        <v>0</v>
      </c>
    </row>
    <row r="18" spans="1:5" s="510" customFormat="1" x14ac:dyDescent="0.2">
      <c r="A18" s="515" t="s">
        <v>631</v>
      </c>
      <c r="B18" s="512" t="s">
        <v>632</v>
      </c>
      <c r="C18" s="518"/>
      <c r="D18" s="518"/>
      <c r="E18" s="519"/>
    </row>
    <row r="19" spans="1:5" s="510" customFormat="1" ht="22.5" x14ac:dyDescent="0.2">
      <c r="A19" s="515" t="s">
        <v>633</v>
      </c>
      <c r="B19" s="512" t="s">
        <v>15</v>
      </c>
      <c r="C19" s="518"/>
      <c r="D19" s="518"/>
      <c r="E19" s="519"/>
    </row>
    <row r="20" spans="1:5" s="510" customFormat="1" x14ac:dyDescent="0.2">
      <c r="A20" s="515" t="s">
        <v>634</v>
      </c>
      <c r="B20" s="512" t="s">
        <v>16</v>
      </c>
      <c r="C20" s="518">
        <v>609217648</v>
      </c>
      <c r="D20" s="518">
        <v>87090875</v>
      </c>
      <c r="E20" s="519"/>
    </row>
    <row r="21" spans="1:5" s="510" customFormat="1" x14ac:dyDescent="0.2">
      <c r="A21" s="515" t="s">
        <v>635</v>
      </c>
      <c r="B21" s="512" t="s">
        <v>17</v>
      </c>
      <c r="C21" s="518"/>
      <c r="D21" s="518"/>
      <c r="E21" s="519"/>
    </row>
    <row r="22" spans="1:5" s="510" customFormat="1" x14ac:dyDescent="0.2">
      <c r="A22" s="511" t="s">
        <v>636</v>
      </c>
      <c r="B22" s="512" t="s">
        <v>18</v>
      </c>
      <c r="C22" s="520">
        <f>+C23+C24+C25+C26</f>
        <v>0</v>
      </c>
      <c r="D22" s="520">
        <f>+D23+D24+D25+D26</f>
        <v>0</v>
      </c>
      <c r="E22" s="521">
        <f>+E23+E24+E25+E26</f>
        <v>0</v>
      </c>
    </row>
    <row r="23" spans="1:5" s="510" customFormat="1" x14ac:dyDescent="0.2">
      <c r="A23" s="515" t="s">
        <v>637</v>
      </c>
      <c r="B23" s="512" t="s">
        <v>19</v>
      </c>
      <c r="C23" s="518"/>
      <c r="D23" s="518"/>
      <c r="E23" s="519"/>
    </row>
    <row r="24" spans="1:5" s="510" customFormat="1" x14ac:dyDescent="0.2">
      <c r="A24" s="515" t="s">
        <v>638</v>
      </c>
      <c r="B24" s="512" t="s">
        <v>20</v>
      </c>
      <c r="C24" s="518"/>
      <c r="D24" s="518"/>
      <c r="E24" s="519"/>
    </row>
    <row r="25" spans="1:5" s="510" customFormat="1" x14ac:dyDescent="0.2">
      <c r="A25" s="515" t="s">
        <v>639</v>
      </c>
      <c r="B25" s="512" t="s">
        <v>21</v>
      </c>
      <c r="C25" s="518"/>
      <c r="D25" s="518"/>
      <c r="E25" s="519"/>
    </row>
    <row r="26" spans="1:5" s="510" customFormat="1" x14ac:dyDescent="0.2">
      <c r="A26" s="515" t="s">
        <v>640</v>
      </c>
      <c r="B26" s="512" t="s">
        <v>22</v>
      </c>
      <c r="C26" s="518"/>
      <c r="D26" s="518"/>
      <c r="E26" s="519"/>
    </row>
    <row r="27" spans="1:5" s="510" customFormat="1" x14ac:dyDescent="0.2">
      <c r="A27" s="511" t="s">
        <v>641</v>
      </c>
      <c r="B27" s="512" t="s">
        <v>23</v>
      </c>
      <c r="C27" s="520">
        <f>+C28+C29+C30+C31</f>
        <v>1271752651</v>
      </c>
      <c r="D27" s="520">
        <f>+D28+D29+D30+D31</f>
        <v>1271752651</v>
      </c>
      <c r="E27" s="521">
        <f>+E28+E29+E30+E31</f>
        <v>0</v>
      </c>
    </row>
    <row r="28" spans="1:5" s="510" customFormat="1" x14ac:dyDescent="0.2">
      <c r="A28" s="515" t="s">
        <v>642</v>
      </c>
      <c r="B28" s="512" t="s">
        <v>24</v>
      </c>
      <c r="C28" s="518"/>
      <c r="D28" s="518"/>
      <c r="E28" s="519"/>
    </row>
    <row r="29" spans="1:5" s="510" customFormat="1" x14ac:dyDescent="0.2">
      <c r="A29" s="515" t="s">
        <v>643</v>
      </c>
      <c r="B29" s="512" t="s">
        <v>25</v>
      </c>
      <c r="C29" s="518"/>
      <c r="D29" s="518"/>
      <c r="E29" s="519"/>
    </row>
    <row r="30" spans="1:5" s="510" customFormat="1" x14ac:dyDescent="0.2">
      <c r="A30" s="515" t="s">
        <v>644</v>
      </c>
      <c r="B30" s="512" t="s">
        <v>26</v>
      </c>
      <c r="C30" s="518">
        <v>1271752651</v>
      </c>
      <c r="D30" s="518">
        <v>1271752651</v>
      </c>
      <c r="E30" s="519"/>
    </row>
    <row r="31" spans="1:5" s="510" customFormat="1" x14ac:dyDescent="0.2">
      <c r="A31" s="515" t="s">
        <v>645</v>
      </c>
      <c r="B31" s="512" t="s">
        <v>27</v>
      </c>
      <c r="C31" s="518"/>
      <c r="D31" s="518"/>
      <c r="E31" s="519"/>
    </row>
    <row r="32" spans="1:5" s="510" customFormat="1" x14ac:dyDescent="0.2">
      <c r="A32" s="511" t="s">
        <v>646</v>
      </c>
      <c r="B32" s="512" t="s">
        <v>28</v>
      </c>
      <c r="C32" s="520">
        <f>+C33+C34+C35+C36</f>
        <v>0</v>
      </c>
      <c r="D32" s="520">
        <f>+D33+D34+D35+D36</f>
        <v>0</v>
      </c>
      <c r="E32" s="521">
        <f>+E33+E34+E35+E36</f>
        <v>0</v>
      </c>
    </row>
    <row r="33" spans="1:5" s="510" customFormat="1" x14ac:dyDescent="0.2">
      <c r="A33" s="515" t="s">
        <v>647</v>
      </c>
      <c r="B33" s="512" t="s">
        <v>29</v>
      </c>
      <c r="C33" s="518"/>
      <c r="D33" s="518"/>
      <c r="E33" s="519"/>
    </row>
    <row r="34" spans="1:5" s="510" customFormat="1" ht="22.5" x14ac:dyDescent="0.2">
      <c r="A34" s="515" t="s">
        <v>648</v>
      </c>
      <c r="B34" s="512" t="s">
        <v>30</v>
      </c>
      <c r="C34" s="518"/>
      <c r="D34" s="518"/>
      <c r="E34" s="519"/>
    </row>
    <row r="35" spans="1:5" s="510" customFormat="1" x14ac:dyDescent="0.2">
      <c r="A35" s="515" t="s">
        <v>649</v>
      </c>
      <c r="B35" s="512" t="s">
        <v>31</v>
      </c>
      <c r="C35" s="518"/>
      <c r="D35" s="518"/>
      <c r="E35" s="519"/>
    </row>
    <row r="36" spans="1:5" s="510" customFormat="1" x14ac:dyDescent="0.2">
      <c r="A36" s="515" t="s">
        <v>650</v>
      </c>
      <c r="B36" s="512" t="s">
        <v>32</v>
      </c>
      <c r="C36" s="518"/>
      <c r="D36" s="518"/>
      <c r="E36" s="519"/>
    </row>
    <row r="37" spans="1:5" s="510" customFormat="1" x14ac:dyDescent="0.2">
      <c r="A37" s="511" t="s">
        <v>651</v>
      </c>
      <c r="B37" s="512" t="s">
        <v>33</v>
      </c>
      <c r="C37" s="520">
        <f>+C38+C43+C48</f>
        <v>87231335</v>
      </c>
      <c r="D37" s="520">
        <f>+D38+D43+D48</f>
        <v>87231335</v>
      </c>
      <c r="E37" s="521">
        <f>+E38+E43+E48</f>
        <v>0</v>
      </c>
    </row>
    <row r="38" spans="1:5" s="510" customFormat="1" x14ac:dyDescent="0.2">
      <c r="A38" s="511" t="s">
        <v>652</v>
      </c>
      <c r="B38" s="512" t="s">
        <v>603</v>
      </c>
      <c r="C38" s="520">
        <f>+C39+C40+C41+C42</f>
        <v>87231335</v>
      </c>
      <c r="D38" s="520">
        <f>+D39+D40+D41+D42</f>
        <v>87231335</v>
      </c>
      <c r="E38" s="521">
        <f>+E39+E40+E41+E42</f>
        <v>0</v>
      </c>
    </row>
    <row r="39" spans="1:5" s="510" customFormat="1" x14ac:dyDescent="0.2">
      <c r="A39" s="515" t="s">
        <v>653</v>
      </c>
      <c r="B39" s="512" t="s">
        <v>604</v>
      </c>
      <c r="C39" s="518"/>
      <c r="D39" s="518"/>
      <c r="E39" s="519"/>
    </row>
    <row r="40" spans="1:5" s="510" customFormat="1" x14ac:dyDescent="0.2">
      <c r="A40" s="515" t="s">
        <v>654</v>
      </c>
      <c r="B40" s="512" t="s">
        <v>605</v>
      </c>
      <c r="C40" s="518"/>
      <c r="D40" s="518"/>
      <c r="E40" s="519"/>
    </row>
    <row r="41" spans="1:5" s="510" customFormat="1" x14ac:dyDescent="0.2">
      <c r="A41" s="515" t="s">
        <v>655</v>
      </c>
      <c r="B41" s="512" t="s">
        <v>606</v>
      </c>
      <c r="C41" s="518">
        <v>87231335</v>
      </c>
      <c r="D41" s="518">
        <v>87231335</v>
      </c>
      <c r="E41" s="519"/>
    </row>
    <row r="42" spans="1:5" s="510" customFormat="1" x14ac:dyDescent="0.2">
      <c r="A42" s="515" t="s">
        <v>656</v>
      </c>
      <c r="B42" s="512" t="s">
        <v>607</v>
      </c>
      <c r="C42" s="518"/>
      <c r="D42" s="518"/>
      <c r="E42" s="519"/>
    </row>
    <row r="43" spans="1:5" s="510" customFormat="1" x14ac:dyDescent="0.2">
      <c r="A43" s="511" t="s">
        <v>657</v>
      </c>
      <c r="B43" s="512" t="s">
        <v>658</v>
      </c>
      <c r="C43" s="520">
        <f>+C44+C45+C46+C47</f>
        <v>0</v>
      </c>
      <c r="D43" s="520">
        <f>+D44+D45+D46+D47</f>
        <v>0</v>
      </c>
      <c r="E43" s="521">
        <f>+E44+E45+E46+E47</f>
        <v>0</v>
      </c>
    </row>
    <row r="44" spans="1:5" s="510" customFormat="1" x14ac:dyDescent="0.2">
      <c r="A44" s="515" t="s">
        <v>659</v>
      </c>
      <c r="B44" s="512" t="s">
        <v>660</v>
      </c>
      <c r="C44" s="518"/>
      <c r="D44" s="518"/>
      <c r="E44" s="519"/>
    </row>
    <row r="45" spans="1:5" s="510" customFormat="1" ht="22.5" x14ac:dyDescent="0.2">
      <c r="A45" s="515" t="s">
        <v>661</v>
      </c>
      <c r="B45" s="512" t="s">
        <v>662</v>
      </c>
      <c r="C45" s="518"/>
      <c r="D45" s="518"/>
      <c r="E45" s="519"/>
    </row>
    <row r="46" spans="1:5" s="510" customFormat="1" x14ac:dyDescent="0.2">
      <c r="A46" s="515" t="s">
        <v>663</v>
      </c>
      <c r="B46" s="512" t="s">
        <v>664</v>
      </c>
      <c r="C46" s="518"/>
      <c r="D46" s="518"/>
      <c r="E46" s="519"/>
    </row>
    <row r="47" spans="1:5" s="510" customFormat="1" x14ac:dyDescent="0.2">
      <c r="A47" s="515" t="s">
        <v>665</v>
      </c>
      <c r="B47" s="512" t="s">
        <v>666</v>
      </c>
      <c r="C47" s="518"/>
      <c r="D47" s="518"/>
      <c r="E47" s="519"/>
    </row>
    <row r="48" spans="1:5" s="510" customFormat="1" x14ac:dyDescent="0.2">
      <c r="A48" s="511" t="s">
        <v>667</v>
      </c>
      <c r="B48" s="512" t="s">
        <v>668</v>
      </c>
      <c r="C48" s="520">
        <f>+C49+C50+C51+C52</f>
        <v>0</v>
      </c>
      <c r="D48" s="520">
        <f>+D49+D50+D51+D52</f>
        <v>0</v>
      </c>
      <c r="E48" s="521">
        <f>+E49+E50+E51+E52</f>
        <v>0</v>
      </c>
    </row>
    <row r="49" spans="1:5" s="510" customFormat="1" x14ac:dyDescent="0.2">
      <c r="A49" s="515" t="s">
        <v>669</v>
      </c>
      <c r="B49" s="512" t="s">
        <v>670</v>
      </c>
      <c r="C49" s="518"/>
      <c r="D49" s="518"/>
      <c r="E49" s="519"/>
    </row>
    <row r="50" spans="1:5" s="510" customFormat="1" ht="22.5" x14ac:dyDescent="0.2">
      <c r="A50" s="515" t="s">
        <v>671</v>
      </c>
      <c r="B50" s="512" t="s">
        <v>672</v>
      </c>
      <c r="C50" s="518"/>
      <c r="D50" s="518"/>
      <c r="E50" s="519"/>
    </row>
    <row r="51" spans="1:5" s="510" customFormat="1" x14ac:dyDescent="0.2">
      <c r="A51" s="515" t="s">
        <v>673</v>
      </c>
      <c r="B51" s="512" t="s">
        <v>674</v>
      </c>
      <c r="C51" s="518"/>
      <c r="D51" s="518"/>
      <c r="E51" s="519"/>
    </row>
    <row r="52" spans="1:5" s="510" customFormat="1" x14ac:dyDescent="0.2">
      <c r="A52" s="515" t="s">
        <v>675</v>
      </c>
      <c r="B52" s="512" t="s">
        <v>676</v>
      </c>
      <c r="C52" s="518"/>
      <c r="D52" s="518"/>
      <c r="E52" s="519"/>
    </row>
    <row r="53" spans="1:5" s="510" customFormat="1" x14ac:dyDescent="0.2">
      <c r="A53" s="511" t="s">
        <v>677</v>
      </c>
      <c r="B53" s="512" t="s">
        <v>678</v>
      </c>
      <c r="C53" s="518"/>
      <c r="D53" s="518"/>
      <c r="E53" s="519"/>
    </row>
    <row r="54" spans="1:5" s="510" customFormat="1" ht="21" x14ac:dyDescent="0.2">
      <c r="A54" s="511" t="s">
        <v>679</v>
      </c>
      <c r="B54" s="512" t="s">
        <v>680</v>
      </c>
      <c r="C54" s="520">
        <f>+C10+C11+C37+C53</f>
        <v>4227382175</v>
      </c>
      <c r="D54" s="520">
        <f>+D10+D11+D37+D53</f>
        <v>2818523718</v>
      </c>
      <c r="E54" s="521">
        <f>+E10+E11+E37+E53</f>
        <v>0</v>
      </c>
    </row>
    <row r="55" spans="1:5" s="510" customFormat="1" x14ac:dyDescent="0.2">
      <c r="A55" s="511" t="s">
        <v>681</v>
      </c>
      <c r="B55" s="512" t="s">
        <v>682</v>
      </c>
      <c r="C55" s="518">
        <v>1040922</v>
      </c>
      <c r="D55" s="518">
        <v>1040922</v>
      </c>
      <c r="E55" s="519"/>
    </row>
    <row r="56" spans="1:5" s="510" customFormat="1" x14ac:dyDescent="0.2">
      <c r="A56" s="511" t="s">
        <v>683</v>
      </c>
      <c r="B56" s="512" t="s">
        <v>684</v>
      </c>
      <c r="C56" s="518"/>
      <c r="D56" s="518"/>
      <c r="E56" s="519"/>
    </row>
    <row r="57" spans="1:5" s="510" customFormat="1" x14ac:dyDescent="0.2">
      <c r="A57" s="511" t="s">
        <v>685</v>
      </c>
      <c r="B57" s="512" t="s">
        <v>686</v>
      </c>
      <c r="C57" s="520">
        <f>+C55+C56</f>
        <v>1040922</v>
      </c>
      <c r="D57" s="520">
        <f>+D55+D56</f>
        <v>1040922</v>
      </c>
      <c r="E57" s="521">
        <f>+E55+E56</f>
        <v>0</v>
      </c>
    </row>
    <row r="58" spans="1:5" s="510" customFormat="1" x14ac:dyDescent="0.2">
      <c r="A58" s="511" t="s">
        <v>687</v>
      </c>
      <c r="B58" s="512" t="s">
        <v>688</v>
      </c>
      <c r="C58" s="518"/>
      <c r="D58" s="518"/>
      <c r="E58" s="519"/>
    </row>
    <row r="59" spans="1:5" s="510" customFormat="1" x14ac:dyDescent="0.2">
      <c r="A59" s="511" t="s">
        <v>689</v>
      </c>
      <c r="B59" s="512" t="s">
        <v>690</v>
      </c>
      <c r="C59" s="518">
        <v>74820</v>
      </c>
      <c r="D59" s="518">
        <v>74820</v>
      </c>
      <c r="E59" s="519"/>
    </row>
    <row r="60" spans="1:5" s="510" customFormat="1" x14ac:dyDescent="0.2">
      <c r="A60" s="511" t="s">
        <v>691</v>
      </c>
      <c r="B60" s="512" t="s">
        <v>692</v>
      </c>
      <c r="C60" s="518">
        <v>377908187</v>
      </c>
      <c r="D60" s="518">
        <v>377908187</v>
      </c>
      <c r="E60" s="519"/>
    </row>
    <row r="61" spans="1:5" s="510" customFormat="1" x14ac:dyDescent="0.2">
      <c r="A61" s="511" t="s">
        <v>693</v>
      </c>
      <c r="B61" s="512" t="s">
        <v>694</v>
      </c>
      <c r="C61" s="518"/>
      <c r="D61" s="518"/>
      <c r="E61" s="519"/>
    </row>
    <row r="62" spans="1:5" s="510" customFormat="1" x14ac:dyDescent="0.2">
      <c r="A62" s="511" t="s">
        <v>695</v>
      </c>
      <c r="B62" s="512" t="s">
        <v>696</v>
      </c>
      <c r="C62" s="520">
        <f>+C58+C59+C60+C61</f>
        <v>377983007</v>
      </c>
      <c r="D62" s="520">
        <f>+D58+D59+D60+D61</f>
        <v>377983007</v>
      </c>
      <c r="E62" s="521">
        <f>+E58+E59+E60+E61</f>
        <v>0</v>
      </c>
    </row>
    <row r="63" spans="1:5" s="510" customFormat="1" x14ac:dyDescent="0.2">
      <c r="A63" s="511" t="s">
        <v>697</v>
      </c>
      <c r="B63" s="512" t="s">
        <v>698</v>
      </c>
      <c r="C63" s="518">
        <v>33518882</v>
      </c>
      <c r="D63" s="518">
        <v>33518882</v>
      </c>
      <c r="E63" s="519"/>
    </row>
    <row r="64" spans="1:5" s="510" customFormat="1" x14ac:dyDescent="0.2">
      <c r="A64" s="511" t="s">
        <v>699</v>
      </c>
      <c r="B64" s="512" t="s">
        <v>700</v>
      </c>
      <c r="C64" s="518">
        <v>1905858</v>
      </c>
      <c r="D64" s="518">
        <v>1905858</v>
      </c>
      <c r="E64" s="519"/>
    </row>
    <row r="65" spans="1:5" s="510" customFormat="1" x14ac:dyDescent="0.2">
      <c r="A65" s="511" t="s">
        <v>701</v>
      </c>
      <c r="B65" s="512" t="s">
        <v>702</v>
      </c>
      <c r="C65" s="518">
        <v>1139651</v>
      </c>
      <c r="D65" s="518">
        <v>1139651</v>
      </c>
      <c r="E65" s="519"/>
    </row>
    <row r="66" spans="1:5" s="510" customFormat="1" x14ac:dyDescent="0.2">
      <c r="A66" s="511" t="s">
        <v>703</v>
      </c>
      <c r="B66" s="512" t="s">
        <v>704</v>
      </c>
      <c r="C66" s="520">
        <f>+C63+C64+C65</f>
        <v>36564391</v>
      </c>
      <c r="D66" s="520">
        <f>+D63+D64+D65</f>
        <v>36564391</v>
      </c>
      <c r="E66" s="521">
        <f>+E63+E64+E65</f>
        <v>0</v>
      </c>
    </row>
    <row r="67" spans="1:5" s="510" customFormat="1" x14ac:dyDescent="0.2">
      <c r="A67" s="511" t="s">
        <v>705</v>
      </c>
      <c r="B67" s="512" t="s">
        <v>706</v>
      </c>
      <c r="C67" s="518"/>
      <c r="D67" s="518"/>
      <c r="E67" s="519"/>
    </row>
    <row r="68" spans="1:5" s="510" customFormat="1" ht="21" x14ac:dyDescent="0.2">
      <c r="A68" s="511" t="s">
        <v>707</v>
      </c>
      <c r="B68" s="512" t="s">
        <v>708</v>
      </c>
      <c r="C68" s="518">
        <v>-1620245</v>
      </c>
      <c r="D68" s="518">
        <v>-1620245</v>
      </c>
      <c r="E68" s="519"/>
    </row>
    <row r="69" spans="1:5" s="510" customFormat="1" x14ac:dyDescent="0.2">
      <c r="A69" s="511" t="s">
        <v>774</v>
      </c>
      <c r="B69" s="512" t="s">
        <v>709</v>
      </c>
      <c r="C69" s="520">
        <f>+C67+C68</f>
        <v>-1620245</v>
      </c>
      <c r="D69" s="520">
        <f>+D67+D68</f>
        <v>-1620245</v>
      </c>
      <c r="E69" s="521">
        <f>+E67+E68</f>
        <v>0</v>
      </c>
    </row>
    <row r="70" spans="1:5" s="510" customFormat="1" x14ac:dyDescent="0.2">
      <c r="A70" s="511" t="s">
        <v>710</v>
      </c>
      <c r="B70" s="512" t="s">
        <v>711</v>
      </c>
      <c r="C70" s="518"/>
      <c r="D70" s="518"/>
      <c r="E70" s="519"/>
    </row>
    <row r="71" spans="1:5" s="510" customFormat="1" ht="16.5" thickBot="1" x14ac:dyDescent="0.25">
      <c r="A71" s="522" t="s">
        <v>712</v>
      </c>
      <c r="B71" s="523" t="s">
        <v>713</v>
      </c>
      <c r="C71" s="524">
        <f>+C54+C57+C62+C66+C69+C70</f>
        <v>4641350250</v>
      </c>
      <c r="D71" s="524">
        <f>+D54+D57+D62+D66+D69+D70</f>
        <v>3232491793</v>
      </c>
      <c r="E71" s="525">
        <f>+E54+E57+E62+E66+E69+E70</f>
        <v>0</v>
      </c>
    </row>
    <row r="72" spans="1:5" x14ac:dyDescent="0.25">
      <c r="A72" s="526"/>
      <c r="C72" s="527"/>
      <c r="D72" s="527"/>
      <c r="E72" s="528"/>
    </row>
    <row r="73" spans="1:5" x14ac:dyDescent="0.25">
      <c r="A73" s="526"/>
      <c r="C73" s="527"/>
      <c r="D73" s="527"/>
      <c r="E73" s="528"/>
    </row>
    <row r="74" spans="1:5" x14ac:dyDescent="0.25">
      <c r="A74" s="529"/>
      <c r="C74" s="527"/>
      <c r="D74" s="527"/>
      <c r="E74" s="528"/>
    </row>
    <row r="75" spans="1:5" x14ac:dyDescent="0.25">
      <c r="A75" s="955"/>
      <c r="B75" s="955"/>
      <c r="C75" s="955"/>
      <c r="D75" s="955"/>
      <c r="E75" s="955"/>
    </row>
    <row r="76" spans="1:5" x14ac:dyDescent="0.25">
      <c r="A76" s="955"/>
      <c r="B76" s="955"/>
      <c r="C76" s="955"/>
      <c r="D76" s="955"/>
      <c r="E76" s="955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2D050"/>
  </sheetPr>
  <dimension ref="A1:E28"/>
  <sheetViews>
    <sheetView zoomScale="120" zoomScaleNormal="120" workbookViewId="0">
      <selection sqref="A1:C1"/>
    </sheetView>
  </sheetViews>
  <sheetFormatPr defaultRowHeight="12.75" x14ac:dyDescent="0.2"/>
  <cols>
    <col min="1" max="1" width="71.1640625" style="532" customWidth="1"/>
    <col min="2" max="2" width="6.1640625" style="544" customWidth="1"/>
    <col min="3" max="3" width="18" style="531" customWidth="1"/>
    <col min="4" max="16384" width="9.33203125" style="531"/>
  </cols>
  <sheetData>
    <row r="1" spans="1:3" ht="16.5" customHeight="1" x14ac:dyDescent="0.2">
      <c r="A1" s="963" t="s">
        <v>968</v>
      </c>
      <c r="B1" s="964"/>
      <c r="C1" s="964"/>
    </row>
    <row r="2" spans="1:3" ht="16.5" customHeight="1" x14ac:dyDescent="0.2">
      <c r="A2" s="638"/>
      <c r="B2" s="639"/>
      <c r="C2" s="640"/>
    </row>
    <row r="3" spans="1:3" ht="16.5" customHeight="1" x14ac:dyDescent="0.2">
      <c r="A3" s="967" t="s">
        <v>776</v>
      </c>
      <c r="B3" s="967"/>
      <c r="C3" s="967"/>
    </row>
    <row r="4" spans="1:3" ht="16.5" customHeight="1" x14ac:dyDescent="0.2">
      <c r="A4" s="965" t="s">
        <v>820</v>
      </c>
      <c r="B4" s="965"/>
      <c r="C4" s="965"/>
    </row>
    <row r="5" spans="1:3" ht="16.5" customHeight="1" x14ac:dyDescent="0.2">
      <c r="A5" s="965" t="str">
        <f>'Z_7.1.tájékoztató_t.'!A4</f>
        <v>2020. év</v>
      </c>
      <c r="B5" s="966"/>
      <c r="C5" s="966"/>
    </row>
    <row r="6" spans="1:3" ht="13.5" thickBot="1" x14ac:dyDescent="0.25">
      <c r="A6" s="638"/>
      <c r="B6" s="968" t="str">
        <f>'Z_6.tájékoztató_t.'!E6</f>
        <v xml:space="preserve"> Forintban!</v>
      </c>
      <c r="C6" s="968"/>
    </row>
    <row r="7" spans="1:3" s="533" customFormat="1" ht="31.5" customHeight="1" x14ac:dyDescent="0.2">
      <c r="A7" s="969" t="s">
        <v>714</v>
      </c>
      <c r="B7" s="971" t="s">
        <v>609</v>
      </c>
      <c r="C7" s="973" t="s">
        <v>715</v>
      </c>
    </row>
    <row r="8" spans="1:3" s="533" customFormat="1" x14ac:dyDescent="0.2">
      <c r="A8" s="970"/>
      <c r="B8" s="972"/>
      <c r="C8" s="974"/>
    </row>
    <row r="9" spans="1:3" s="534" customFormat="1" ht="13.5" thickBot="1" x14ac:dyDescent="0.25">
      <c r="A9" s="641" t="s">
        <v>384</v>
      </c>
      <c r="B9" s="642" t="s">
        <v>385</v>
      </c>
      <c r="C9" s="643" t="s">
        <v>386</v>
      </c>
    </row>
    <row r="10" spans="1:3" ht="15.75" customHeight="1" x14ac:dyDescent="0.2">
      <c r="A10" s="511" t="s">
        <v>716</v>
      </c>
      <c r="B10" s="535" t="s">
        <v>616</v>
      </c>
      <c r="C10" s="536">
        <v>1689152754</v>
      </c>
    </row>
    <row r="11" spans="1:3" ht="15.75" customHeight="1" x14ac:dyDescent="0.2">
      <c r="A11" s="511" t="s">
        <v>717</v>
      </c>
      <c r="B11" s="512" t="s">
        <v>618</v>
      </c>
      <c r="C11" s="536"/>
    </row>
    <row r="12" spans="1:3" ht="15.75" customHeight="1" x14ac:dyDescent="0.2">
      <c r="A12" s="511" t="s">
        <v>718</v>
      </c>
      <c r="B12" s="512" t="s">
        <v>620</v>
      </c>
      <c r="C12" s="536">
        <v>113051949</v>
      </c>
    </row>
    <row r="13" spans="1:3" ht="15.75" customHeight="1" x14ac:dyDescent="0.2">
      <c r="A13" s="511" t="s">
        <v>719</v>
      </c>
      <c r="B13" s="512" t="s">
        <v>622</v>
      </c>
      <c r="C13" s="537">
        <v>1387596495</v>
      </c>
    </row>
    <row r="14" spans="1:3" ht="15.75" customHeight="1" x14ac:dyDescent="0.2">
      <c r="A14" s="511" t="s">
        <v>720</v>
      </c>
      <c r="B14" s="512" t="s">
        <v>624</v>
      </c>
      <c r="C14" s="537"/>
    </row>
    <row r="15" spans="1:3" ht="15.75" customHeight="1" x14ac:dyDescent="0.2">
      <c r="A15" s="511" t="s">
        <v>721</v>
      </c>
      <c r="B15" s="512" t="s">
        <v>626</v>
      </c>
      <c r="C15" s="537">
        <v>-303307742</v>
      </c>
    </row>
    <row r="16" spans="1:3" ht="15.75" customHeight="1" x14ac:dyDescent="0.2">
      <c r="A16" s="511" t="s">
        <v>722</v>
      </c>
      <c r="B16" s="512" t="s">
        <v>628</v>
      </c>
      <c r="C16" s="538">
        <f>+C10+C11+C12+C13+C14+C15</f>
        <v>2886493456</v>
      </c>
    </row>
    <row r="17" spans="1:5" ht="15.75" customHeight="1" x14ac:dyDescent="0.2">
      <c r="A17" s="511" t="s">
        <v>723</v>
      </c>
      <c r="B17" s="512" t="s">
        <v>630</v>
      </c>
      <c r="C17" s="539">
        <v>55084512</v>
      </c>
    </row>
    <row r="18" spans="1:5" ht="15.75" customHeight="1" x14ac:dyDescent="0.2">
      <c r="A18" s="511" t="s">
        <v>724</v>
      </c>
      <c r="B18" s="512" t="s">
        <v>632</v>
      </c>
      <c r="C18" s="537">
        <v>16034856</v>
      </c>
    </row>
    <row r="19" spans="1:5" ht="15.75" customHeight="1" x14ac:dyDescent="0.2">
      <c r="A19" s="511" t="s">
        <v>725</v>
      </c>
      <c r="B19" s="512" t="s">
        <v>15</v>
      </c>
      <c r="C19" s="537">
        <v>2691374</v>
      </c>
    </row>
    <row r="20" spans="1:5" ht="15.75" customHeight="1" x14ac:dyDescent="0.2">
      <c r="A20" s="511" t="s">
        <v>726</v>
      </c>
      <c r="B20" s="512" t="s">
        <v>16</v>
      </c>
      <c r="C20" s="538">
        <f>+C17+C18+C19</f>
        <v>73810742</v>
      </c>
    </row>
    <row r="21" spans="1:5" s="540" customFormat="1" ht="15.75" customHeight="1" x14ac:dyDescent="0.2">
      <c r="A21" s="511" t="s">
        <v>727</v>
      </c>
      <c r="B21" s="512" t="s">
        <v>17</v>
      </c>
      <c r="C21" s="537"/>
    </row>
    <row r="22" spans="1:5" ht="15.75" customHeight="1" x14ac:dyDescent="0.2">
      <c r="A22" s="511" t="s">
        <v>728</v>
      </c>
      <c r="B22" s="512" t="s">
        <v>18</v>
      </c>
      <c r="C22" s="537">
        <v>272187595</v>
      </c>
    </row>
    <row r="23" spans="1:5" ht="15.75" customHeight="1" thickBot="1" x14ac:dyDescent="0.25">
      <c r="A23" s="541" t="s">
        <v>729</v>
      </c>
      <c r="B23" s="523" t="s">
        <v>19</v>
      </c>
      <c r="C23" s="542">
        <f>+C16+C20+C21+C22</f>
        <v>3232491793</v>
      </c>
    </row>
    <row r="24" spans="1:5" ht="15.75" x14ac:dyDescent="0.25">
      <c r="A24" s="526"/>
      <c r="B24" s="529"/>
      <c r="C24" s="527"/>
      <c r="D24" s="527"/>
      <c r="E24" s="527"/>
    </row>
    <row r="25" spans="1:5" ht="15.75" x14ac:dyDescent="0.25">
      <c r="A25" s="526"/>
      <c r="B25" s="529"/>
      <c r="C25" s="527"/>
      <c r="D25" s="527"/>
      <c r="E25" s="527"/>
    </row>
    <row r="26" spans="1:5" ht="15.75" x14ac:dyDescent="0.25">
      <c r="A26" s="529"/>
      <c r="B26" s="529"/>
      <c r="C26" s="527"/>
      <c r="D26" s="527"/>
      <c r="E26" s="527"/>
    </row>
    <row r="27" spans="1:5" ht="15.75" x14ac:dyDescent="0.25">
      <c r="A27" s="962"/>
      <c r="B27" s="962"/>
      <c r="C27" s="962"/>
      <c r="D27" s="543"/>
      <c r="E27" s="543"/>
    </row>
    <row r="28" spans="1:5" ht="15.75" x14ac:dyDescent="0.25">
      <c r="A28" s="962"/>
      <c r="B28" s="962"/>
      <c r="C28" s="962"/>
      <c r="D28" s="543"/>
      <c r="E28" s="543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</sheetPr>
  <dimension ref="A1:F46"/>
  <sheetViews>
    <sheetView zoomScale="120" zoomScaleNormal="120" workbookViewId="0">
      <selection sqref="A1:D1"/>
    </sheetView>
  </sheetViews>
  <sheetFormatPr defaultColWidth="12" defaultRowHeight="15.75" x14ac:dyDescent="0.25"/>
  <cols>
    <col min="1" max="1" width="58.83203125" style="545" customWidth="1"/>
    <col min="2" max="2" width="6.83203125" style="545" customWidth="1"/>
    <col min="3" max="3" width="17.1640625" style="545" customWidth="1"/>
    <col min="4" max="4" width="19.1640625" style="545" customWidth="1"/>
    <col min="5" max="16384" width="12" style="545"/>
  </cols>
  <sheetData>
    <row r="1" spans="1:4" ht="16.5" customHeight="1" x14ac:dyDescent="0.25">
      <c r="A1" s="980" t="s">
        <v>969</v>
      </c>
      <c r="B1" s="980"/>
      <c r="C1" s="980"/>
      <c r="D1" s="980"/>
    </row>
    <row r="2" spans="1:4" s="644" customFormat="1" ht="16.5" customHeight="1" x14ac:dyDescent="0.25"/>
    <row r="3" spans="1:4" s="573" customFormat="1" ht="16.5" customHeight="1" x14ac:dyDescent="0.25">
      <c r="A3" s="981" t="s">
        <v>776</v>
      </c>
      <c r="B3" s="981"/>
      <c r="C3" s="981"/>
      <c r="D3" s="981"/>
    </row>
    <row r="4" spans="1:4" s="573" customFormat="1" ht="16.5" customHeight="1" x14ac:dyDescent="0.25">
      <c r="A4" s="981" t="s">
        <v>780</v>
      </c>
      <c r="B4" s="981"/>
      <c r="C4" s="981"/>
      <c r="D4" s="981"/>
    </row>
    <row r="5" spans="1:4" s="573" customFormat="1" ht="16.5" customHeight="1" x14ac:dyDescent="0.25">
      <c r="A5" s="975" t="str">
        <f>'Z_7.1.tájékoztató_t.'!A4</f>
        <v>2020. év</v>
      </c>
      <c r="B5" s="976"/>
      <c r="C5" s="976"/>
      <c r="D5" s="976"/>
    </row>
    <row r="6" spans="1:4" ht="16.5" customHeight="1" thickBot="1" x14ac:dyDescent="0.3"/>
    <row r="7" spans="1:4" ht="43.5" customHeight="1" thickBot="1" x14ac:dyDescent="0.3">
      <c r="A7" s="546" t="s">
        <v>44</v>
      </c>
      <c r="B7" s="547" t="s">
        <v>609</v>
      </c>
      <c r="C7" s="548" t="s">
        <v>730</v>
      </c>
      <c r="D7" s="549" t="s">
        <v>731</v>
      </c>
    </row>
    <row r="8" spans="1:4" ht="16.5" thickBot="1" x14ac:dyDescent="0.3">
      <c r="A8" s="550" t="s">
        <v>384</v>
      </c>
      <c r="B8" s="551" t="s">
        <v>385</v>
      </c>
      <c r="C8" s="551" t="s">
        <v>386</v>
      </c>
      <c r="D8" s="552" t="s">
        <v>388</v>
      </c>
    </row>
    <row r="9" spans="1:4" ht="15.75" customHeight="1" x14ac:dyDescent="0.25">
      <c r="A9" s="553" t="s">
        <v>732</v>
      </c>
      <c r="B9" s="554" t="s">
        <v>6</v>
      </c>
      <c r="C9" s="555"/>
      <c r="D9" s="556"/>
    </row>
    <row r="10" spans="1:4" ht="15.75" customHeight="1" x14ac:dyDescent="0.25">
      <c r="A10" s="553" t="s">
        <v>733</v>
      </c>
      <c r="B10" s="557" t="s">
        <v>7</v>
      </c>
      <c r="C10" s="558"/>
      <c r="D10" s="559"/>
    </row>
    <row r="11" spans="1:4" ht="15.75" customHeight="1" x14ac:dyDescent="0.25">
      <c r="A11" s="553" t="s">
        <v>734</v>
      </c>
      <c r="B11" s="557" t="s">
        <v>8</v>
      </c>
      <c r="C11" s="558"/>
      <c r="D11" s="559"/>
    </row>
    <row r="12" spans="1:4" ht="15.75" customHeight="1" thickBot="1" x14ac:dyDescent="0.3">
      <c r="A12" s="560" t="s">
        <v>735</v>
      </c>
      <c r="B12" s="561" t="s">
        <v>9</v>
      </c>
      <c r="C12" s="562"/>
      <c r="D12" s="563"/>
    </row>
    <row r="13" spans="1:4" ht="15.75" customHeight="1" thickBot="1" x14ac:dyDescent="0.3">
      <c r="A13" s="564" t="s">
        <v>736</v>
      </c>
      <c r="B13" s="565" t="s">
        <v>10</v>
      </c>
      <c r="C13" s="757"/>
      <c r="D13" s="566">
        <f>+D14+D15+D16+D17</f>
        <v>0</v>
      </c>
    </row>
    <row r="14" spans="1:4" ht="15.75" customHeight="1" x14ac:dyDescent="0.25">
      <c r="A14" s="567" t="s">
        <v>737</v>
      </c>
      <c r="B14" s="554" t="s">
        <v>11</v>
      </c>
      <c r="C14" s="555"/>
      <c r="D14" s="556"/>
    </row>
    <row r="15" spans="1:4" ht="15.75" customHeight="1" x14ac:dyDescent="0.25">
      <c r="A15" s="553" t="s">
        <v>738</v>
      </c>
      <c r="B15" s="557" t="s">
        <v>12</v>
      </c>
      <c r="C15" s="558"/>
      <c r="D15" s="559"/>
    </row>
    <row r="16" spans="1:4" ht="15.75" customHeight="1" x14ac:dyDescent="0.25">
      <c r="A16" s="553" t="s">
        <v>739</v>
      </c>
      <c r="B16" s="557" t="s">
        <v>13</v>
      </c>
      <c r="C16" s="558"/>
      <c r="D16" s="559"/>
    </row>
    <row r="17" spans="1:4" ht="15.75" customHeight="1" thickBot="1" x14ac:dyDescent="0.3">
      <c r="A17" s="560" t="s">
        <v>740</v>
      </c>
      <c r="B17" s="561" t="s">
        <v>14</v>
      </c>
      <c r="C17" s="562"/>
      <c r="D17" s="563"/>
    </row>
    <row r="18" spans="1:4" ht="15.75" customHeight="1" thickBot="1" x14ac:dyDescent="0.3">
      <c r="A18" s="564" t="s">
        <v>741</v>
      </c>
      <c r="B18" s="565" t="s">
        <v>15</v>
      </c>
      <c r="C18" s="757"/>
      <c r="D18" s="566">
        <f>+D19+D20+D21</f>
        <v>0</v>
      </c>
    </row>
    <row r="19" spans="1:4" ht="15.75" customHeight="1" x14ac:dyDescent="0.25">
      <c r="A19" s="567" t="s">
        <v>742</v>
      </c>
      <c r="B19" s="554" t="s">
        <v>16</v>
      </c>
      <c r="C19" s="555"/>
      <c r="D19" s="556"/>
    </row>
    <row r="20" spans="1:4" ht="15.75" customHeight="1" x14ac:dyDescent="0.25">
      <c r="A20" s="553" t="s">
        <v>743</v>
      </c>
      <c r="B20" s="557" t="s">
        <v>17</v>
      </c>
      <c r="C20" s="558"/>
      <c r="D20" s="559"/>
    </row>
    <row r="21" spans="1:4" ht="15.75" customHeight="1" thickBot="1" x14ac:dyDescent="0.3">
      <c r="A21" s="560" t="s">
        <v>744</v>
      </c>
      <c r="B21" s="561" t="s">
        <v>18</v>
      </c>
      <c r="C21" s="562"/>
      <c r="D21" s="563"/>
    </row>
    <row r="22" spans="1:4" ht="15.75" customHeight="1" thickBot="1" x14ac:dyDescent="0.3">
      <c r="A22" s="564" t="s">
        <v>745</v>
      </c>
      <c r="B22" s="565" t="s">
        <v>19</v>
      </c>
      <c r="C22" s="757"/>
      <c r="D22" s="566">
        <f>+D23+D24+D25</f>
        <v>0</v>
      </c>
    </row>
    <row r="23" spans="1:4" ht="15.75" customHeight="1" x14ac:dyDescent="0.25">
      <c r="A23" s="567" t="s">
        <v>746</v>
      </c>
      <c r="B23" s="554" t="s">
        <v>20</v>
      </c>
      <c r="C23" s="555"/>
      <c r="D23" s="556"/>
    </row>
    <row r="24" spans="1:4" ht="15.75" customHeight="1" x14ac:dyDescent="0.25">
      <c r="A24" s="553" t="s">
        <v>747</v>
      </c>
      <c r="B24" s="557" t="s">
        <v>21</v>
      </c>
      <c r="C24" s="558"/>
      <c r="D24" s="559"/>
    </row>
    <row r="25" spans="1:4" ht="15.75" customHeight="1" x14ac:dyDescent="0.25">
      <c r="A25" s="553" t="s">
        <v>748</v>
      </c>
      <c r="B25" s="557" t="s">
        <v>22</v>
      </c>
      <c r="C25" s="558"/>
      <c r="D25" s="559"/>
    </row>
    <row r="26" spans="1:4" ht="15.75" customHeight="1" x14ac:dyDescent="0.25">
      <c r="A26" s="553" t="s">
        <v>749</v>
      </c>
      <c r="B26" s="557" t="s">
        <v>23</v>
      </c>
      <c r="C26" s="558"/>
      <c r="D26" s="559"/>
    </row>
    <row r="27" spans="1:4" ht="15.75" customHeight="1" x14ac:dyDescent="0.25">
      <c r="A27" s="553"/>
      <c r="B27" s="557" t="s">
        <v>24</v>
      </c>
      <c r="C27" s="558"/>
      <c r="D27" s="559"/>
    </row>
    <row r="28" spans="1:4" ht="15.75" customHeight="1" x14ac:dyDescent="0.25">
      <c r="A28" s="553"/>
      <c r="B28" s="557" t="s">
        <v>25</v>
      </c>
      <c r="C28" s="558"/>
      <c r="D28" s="559"/>
    </row>
    <row r="29" spans="1:4" ht="15.75" customHeight="1" x14ac:dyDescent="0.25">
      <c r="A29" s="553"/>
      <c r="B29" s="557" t="s">
        <v>26</v>
      </c>
      <c r="C29" s="558"/>
      <c r="D29" s="559"/>
    </row>
    <row r="30" spans="1:4" ht="15.75" customHeight="1" x14ac:dyDescent="0.25">
      <c r="A30" s="553"/>
      <c r="B30" s="557" t="s">
        <v>27</v>
      </c>
      <c r="C30" s="558"/>
      <c r="D30" s="559"/>
    </row>
    <row r="31" spans="1:4" ht="15.75" customHeight="1" x14ac:dyDescent="0.25">
      <c r="A31" s="553"/>
      <c r="B31" s="557" t="s">
        <v>28</v>
      </c>
      <c r="C31" s="558"/>
      <c r="D31" s="559"/>
    </row>
    <row r="32" spans="1:4" ht="15.75" customHeight="1" x14ac:dyDescent="0.25">
      <c r="A32" s="553"/>
      <c r="B32" s="557" t="s">
        <v>29</v>
      </c>
      <c r="C32" s="558"/>
      <c r="D32" s="559"/>
    </row>
    <row r="33" spans="1:6" ht="15.75" customHeight="1" x14ac:dyDescent="0.25">
      <c r="A33" s="553"/>
      <c r="B33" s="557" t="s">
        <v>30</v>
      </c>
      <c r="C33" s="558"/>
      <c r="D33" s="559"/>
    </row>
    <row r="34" spans="1:6" ht="15.75" customHeight="1" x14ac:dyDescent="0.25">
      <c r="A34" s="553"/>
      <c r="B34" s="557" t="s">
        <v>31</v>
      </c>
      <c r="C34" s="558"/>
      <c r="D34" s="559"/>
    </row>
    <row r="35" spans="1:6" ht="15.75" customHeight="1" x14ac:dyDescent="0.25">
      <c r="A35" s="553"/>
      <c r="B35" s="557" t="s">
        <v>32</v>
      </c>
      <c r="C35" s="558"/>
      <c r="D35" s="559"/>
    </row>
    <row r="36" spans="1:6" ht="15.75" customHeight="1" x14ac:dyDescent="0.25">
      <c r="A36" s="553"/>
      <c r="B36" s="557" t="s">
        <v>33</v>
      </c>
      <c r="C36" s="558"/>
      <c r="D36" s="559"/>
    </row>
    <row r="37" spans="1:6" ht="15.75" customHeight="1" x14ac:dyDescent="0.25">
      <c r="A37" s="553"/>
      <c r="B37" s="557" t="s">
        <v>603</v>
      </c>
      <c r="C37" s="558"/>
      <c r="D37" s="559"/>
    </row>
    <row r="38" spans="1:6" ht="15.75" customHeight="1" x14ac:dyDescent="0.25">
      <c r="A38" s="553"/>
      <c r="B38" s="557" t="s">
        <v>604</v>
      </c>
      <c r="C38" s="558"/>
      <c r="D38" s="559"/>
    </row>
    <row r="39" spans="1:6" ht="15.75" customHeight="1" x14ac:dyDescent="0.25">
      <c r="A39" s="553"/>
      <c r="B39" s="557" t="s">
        <v>605</v>
      </c>
      <c r="C39" s="558"/>
      <c r="D39" s="559"/>
    </row>
    <row r="40" spans="1:6" ht="15.75" customHeight="1" x14ac:dyDescent="0.25">
      <c r="A40" s="553"/>
      <c r="B40" s="557" t="s">
        <v>606</v>
      </c>
      <c r="C40" s="558"/>
      <c r="D40" s="559"/>
    </row>
    <row r="41" spans="1:6" ht="15.75" customHeight="1" thickBot="1" x14ac:dyDescent="0.3">
      <c r="A41" s="560"/>
      <c r="B41" s="561" t="s">
        <v>607</v>
      </c>
      <c r="C41" s="562"/>
      <c r="D41" s="563"/>
    </row>
    <row r="42" spans="1:6" ht="15.75" customHeight="1" thickBot="1" x14ac:dyDescent="0.3">
      <c r="A42" s="977" t="s">
        <v>750</v>
      </c>
      <c r="B42" s="978"/>
      <c r="C42" s="568"/>
      <c r="D42" s="566">
        <f>+D9+D10+D11+D12+D13+D18+D22+D26+D27+D28+D29+D30+D31+D32+D33+D34+D35+D36+D37+D38+D39+D40+D41</f>
        <v>0</v>
      </c>
      <c r="F42" s="569"/>
    </row>
    <row r="43" spans="1:6" x14ac:dyDescent="0.25">
      <c r="A43" s="570" t="s">
        <v>751</v>
      </c>
    </row>
    <row r="44" spans="1:6" x14ac:dyDescent="0.25">
      <c r="A44" s="571"/>
      <c r="B44" s="571"/>
      <c r="C44" s="979"/>
      <c r="D44" s="979"/>
    </row>
    <row r="45" spans="1:6" x14ac:dyDescent="0.25">
      <c r="A45" s="572"/>
      <c r="B45" s="572"/>
    </row>
    <row r="46" spans="1:6" x14ac:dyDescent="0.25">
      <c r="A46" s="572"/>
      <c r="B46" s="572"/>
      <c r="C46" s="572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92D050"/>
  </sheetPr>
  <dimension ref="A1:F24"/>
  <sheetViews>
    <sheetView zoomScale="120" zoomScaleNormal="120" workbookViewId="0">
      <selection activeCell="F3" sqref="F3:F23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48"/>
      <c r="B1" s="648"/>
      <c r="C1" s="648"/>
      <c r="D1" s="648"/>
      <c r="E1" s="648"/>
    </row>
    <row r="2" spans="1:6" ht="15.75" x14ac:dyDescent="0.25">
      <c r="A2" s="782" t="str">
        <f>CONCATENATE(PROPER(Z_ALAPADATOK!A3)," tulajdonában álló gazdálkodó szervezetek működéséből származó")</f>
        <v>Gönc Város Önkormányzata tulajdonában álló gazdálkodó szervezetek működéséből származó</v>
      </c>
      <c r="B2" s="782"/>
      <c r="C2" s="782"/>
      <c r="D2" s="782"/>
      <c r="E2" s="782"/>
    </row>
    <row r="3" spans="1:6" ht="15.75" x14ac:dyDescent="0.25">
      <c r="A3" s="985" t="str">
        <f>CONCATENATE("kötelezettségek és részesedések alakulása ",Z_ALAPADATOK!B1,". évben")</f>
        <v>kötelezettségek és részesedések alakulása 2020. évben</v>
      </c>
      <c r="B3" s="782"/>
      <c r="C3" s="782"/>
      <c r="D3" s="782"/>
      <c r="E3" s="782"/>
      <c r="F3" s="982" t="s">
        <v>970</v>
      </c>
    </row>
    <row r="4" spans="1:6" ht="16.5" thickBot="1" x14ac:dyDescent="0.3">
      <c r="A4" s="649"/>
      <c r="B4" s="648"/>
      <c r="C4" s="648"/>
      <c r="D4" s="648"/>
      <c r="E4" s="648"/>
      <c r="F4" s="982"/>
    </row>
    <row r="5" spans="1:6" ht="79.5" thickBot="1" x14ac:dyDescent="0.25">
      <c r="A5" s="650" t="s">
        <v>609</v>
      </c>
      <c r="B5" s="651" t="s">
        <v>752</v>
      </c>
      <c r="C5" s="651" t="s">
        <v>753</v>
      </c>
      <c r="D5" s="651" t="s">
        <v>754</v>
      </c>
      <c r="E5" s="652" t="s">
        <v>755</v>
      </c>
      <c r="F5" s="982"/>
    </row>
    <row r="6" spans="1:6" ht="15.75" x14ac:dyDescent="0.2">
      <c r="A6" s="645" t="s">
        <v>6</v>
      </c>
      <c r="B6" s="575" t="s">
        <v>913</v>
      </c>
      <c r="C6" s="576"/>
      <c r="D6" s="577"/>
      <c r="E6" s="578"/>
      <c r="F6" s="982"/>
    </row>
    <row r="7" spans="1:6" ht="15.75" x14ac:dyDescent="0.2">
      <c r="A7" s="646" t="s">
        <v>7</v>
      </c>
      <c r="B7" s="579"/>
      <c r="C7" s="580"/>
      <c r="D7" s="581"/>
      <c r="E7" s="582"/>
      <c r="F7" s="982"/>
    </row>
    <row r="8" spans="1:6" ht="15.75" x14ac:dyDescent="0.2">
      <c r="A8" s="646" t="s">
        <v>8</v>
      </c>
      <c r="B8" s="579"/>
      <c r="C8" s="580"/>
      <c r="D8" s="581"/>
      <c r="E8" s="582"/>
      <c r="F8" s="982"/>
    </row>
    <row r="9" spans="1:6" ht="15.75" x14ac:dyDescent="0.2">
      <c r="A9" s="646" t="s">
        <v>9</v>
      </c>
      <c r="B9" s="579"/>
      <c r="C9" s="580"/>
      <c r="D9" s="581"/>
      <c r="E9" s="582"/>
      <c r="F9" s="982"/>
    </row>
    <row r="10" spans="1:6" ht="15.75" x14ac:dyDescent="0.2">
      <c r="A10" s="646" t="s">
        <v>10</v>
      </c>
      <c r="B10" s="579"/>
      <c r="C10" s="580"/>
      <c r="D10" s="581"/>
      <c r="E10" s="582"/>
      <c r="F10" s="982"/>
    </row>
    <row r="11" spans="1:6" ht="15.75" x14ac:dyDescent="0.2">
      <c r="A11" s="646" t="s">
        <v>11</v>
      </c>
      <c r="B11" s="579"/>
      <c r="C11" s="580"/>
      <c r="D11" s="581"/>
      <c r="E11" s="582"/>
      <c r="F11" s="982"/>
    </row>
    <row r="12" spans="1:6" ht="15.75" x14ac:dyDescent="0.2">
      <c r="A12" s="646" t="s">
        <v>12</v>
      </c>
      <c r="B12" s="579"/>
      <c r="C12" s="580"/>
      <c r="D12" s="581"/>
      <c r="E12" s="582"/>
      <c r="F12" s="982"/>
    </row>
    <row r="13" spans="1:6" ht="15.75" x14ac:dyDescent="0.2">
      <c r="A13" s="646" t="s">
        <v>13</v>
      </c>
      <c r="B13" s="579"/>
      <c r="C13" s="580"/>
      <c r="D13" s="581"/>
      <c r="E13" s="582"/>
      <c r="F13" s="982"/>
    </row>
    <row r="14" spans="1:6" ht="15.75" x14ac:dyDescent="0.2">
      <c r="A14" s="646" t="s">
        <v>14</v>
      </c>
      <c r="B14" s="579"/>
      <c r="C14" s="580"/>
      <c r="D14" s="581"/>
      <c r="E14" s="582"/>
      <c r="F14" s="982"/>
    </row>
    <row r="15" spans="1:6" ht="15.75" x14ac:dyDescent="0.2">
      <c r="A15" s="646" t="s">
        <v>15</v>
      </c>
      <c r="B15" s="579"/>
      <c r="C15" s="580"/>
      <c r="D15" s="581"/>
      <c r="E15" s="582"/>
      <c r="F15" s="982"/>
    </row>
    <row r="16" spans="1:6" ht="15.75" x14ac:dyDescent="0.2">
      <c r="A16" s="646" t="s">
        <v>16</v>
      </c>
      <c r="B16" s="579"/>
      <c r="C16" s="580"/>
      <c r="D16" s="581"/>
      <c r="E16" s="582"/>
      <c r="F16" s="982"/>
    </row>
    <row r="17" spans="1:6" ht="15.75" x14ac:dyDescent="0.2">
      <c r="A17" s="646" t="s">
        <v>17</v>
      </c>
      <c r="B17" s="579"/>
      <c r="C17" s="580"/>
      <c r="D17" s="581"/>
      <c r="E17" s="582"/>
      <c r="F17" s="982"/>
    </row>
    <row r="18" spans="1:6" ht="15.75" x14ac:dyDescent="0.2">
      <c r="A18" s="646" t="s">
        <v>18</v>
      </c>
      <c r="B18" s="579"/>
      <c r="C18" s="580"/>
      <c r="D18" s="581"/>
      <c r="E18" s="582"/>
      <c r="F18" s="982"/>
    </row>
    <row r="19" spans="1:6" ht="15.75" x14ac:dyDescent="0.2">
      <c r="A19" s="646" t="s">
        <v>19</v>
      </c>
      <c r="B19" s="579"/>
      <c r="C19" s="580"/>
      <c r="D19" s="581"/>
      <c r="E19" s="582"/>
      <c r="F19" s="982"/>
    </row>
    <row r="20" spans="1:6" ht="15.75" x14ac:dyDescent="0.2">
      <c r="A20" s="646" t="s">
        <v>20</v>
      </c>
      <c r="B20" s="579"/>
      <c r="C20" s="580"/>
      <c r="D20" s="581"/>
      <c r="E20" s="582"/>
      <c r="F20" s="982"/>
    </row>
    <row r="21" spans="1:6" ht="15.75" x14ac:dyDescent="0.2">
      <c r="A21" s="646" t="s">
        <v>21</v>
      </c>
      <c r="B21" s="579"/>
      <c r="C21" s="580"/>
      <c r="D21" s="581"/>
      <c r="E21" s="582"/>
      <c r="F21" s="982"/>
    </row>
    <row r="22" spans="1:6" ht="16.5" thickBot="1" x14ac:dyDescent="0.25">
      <c r="A22" s="647" t="s">
        <v>22</v>
      </c>
      <c r="B22" s="583"/>
      <c r="C22" s="584"/>
      <c r="D22" s="585"/>
      <c r="E22" s="586"/>
      <c r="F22" s="982"/>
    </row>
    <row r="23" spans="1:6" ht="16.5" thickBot="1" x14ac:dyDescent="0.3">
      <c r="A23" s="983" t="s">
        <v>756</v>
      </c>
      <c r="B23" s="984"/>
      <c r="C23" s="587"/>
      <c r="D23" s="588" t="str">
        <f>IF(SUM(D6:D22)=0,"",SUM(D6:D22))</f>
        <v/>
      </c>
      <c r="E23" s="589" t="str">
        <f>IF(SUM(E6:E22)=0,"",SUM(E6:E22))</f>
        <v/>
      </c>
      <c r="F23" s="982"/>
    </row>
    <row r="24" spans="1:6" ht="15.75" x14ac:dyDescent="0.25">
      <c r="A24" s="574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2D050"/>
  </sheetPr>
  <dimension ref="A2:C15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41" t="s">
        <v>971</v>
      </c>
      <c r="B2" s="987"/>
      <c r="C2" s="987"/>
    </row>
    <row r="3" spans="1:3" ht="14.25" x14ac:dyDescent="0.2">
      <c r="A3" s="590"/>
      <c r="B3" s="590"/>
      <c r="C3" s="590"/>
    </row>
    <row r="4" spans="1:3" ht="33.75" customHeight="1" x14ac:dyDescent="0.2">
      <c r="A4" s="986" t="s">
        <v>757</v>
      </c>
      <c r="B4" s="986"/>
      <c r="C4" s="986"/>
    </row>
    <row r="5" spans="1:3" ht="13.5" thickBot="1" x14ac:dyDescent="0.25">
      <c r="C5" s="591"/>
    </row>
    <row r="6" spans="1:3" s="595" customFormat="1" ht="43.5" customHeight="1" thickBot="1" x14ac:dyDescent="0.25">
      <c r="A6" s="592" t="s">
        <v>4</v>
      </c>
      <c r="B6" s="593" t="s">
        <v>44</v>
      </c>
      <c r="C6" s="594" t="s">
        <v>758</v>
      </c>
    </row>
    <row r="7" spans="1:3" ht="28.5" customHeight="1" x14ac:dyDescent="0.2">
      <c r="A7" s="596" t="s">
        <v>6</v>
      </c>
      <c r="B7" s="597" t="str">
        <f>CONCATENATE("Pénzkészlet ",Z_ALAPADATOK!B1,". január 1-jén
Ebből:")</f>
        <v>Pénzkészlet 2020. január 1-jén
Ebből:</v>
      </c>
      <c r="C7" s="706">
        <v>1012138716</v>
      </c>
    </row>
    <row r="8" spans="1:3" ht="18" customHeight="1" x14ac:dyDescent="0.2">
      <c r="A8" s="598" t="s">
        <v>7</v>
      </c>
      <c r="B8" s="599" t="s">
        <v>759</v>
      </c>
      <c r="C8" s="653">
        <v>1011624441</v>
      </c>
    </row>
    <row r="9" spans="1:3" ht="18" customHeight="1" x14ac:dyDescent="0.2">
      <c r="A9" s="598" t="s">
        <v>8</v>
      </c>
      <c r="B9" s="599" t="s">
        <v>760</v>
      </c>
      <c r="C9" s="653">
        <v>514275</v>
      </c>
    </row>
    <row r="10" spans="1:3" ht="18" customHeight="1" x14ac:dyDescent="0.2">
      <c r="A10" s="598" t="s">
        <v>9</v>
      </c>
      <c r="B10" s="600" t="s">
        <v>761</v>
      </c>
      <c r="C10" s="653">
        <v>851405780</v>
      </c>
    </row>
    <row r="11" spans="1:3" ht="18" customHeight="1" x14ac:dyDescent="0.2">
      <c r="A11" s="601" t="s">
        <v>10</v>
      </c>
      <c r="B11" s="602" t="s">
        <v>762</v>
      </c>
      <c r="C11" s="654">
        <v>1487231157</v>
      </c>
    </row>
    <row r="12" spans="1:3" ht="18" customHeight="1" thickBot="1" x14ac:dyDescent="0.25">
      <c r="A12" s="603" t="s">
        <v>11</v>
      </c>
      <c r="B12" s="604" t="s">
        <v>763</v>
      </c>
      <c r="C12" s="655">
        <v>1669668</v>
      </c>
    </row>
    <row r="13" spans="1:3" ht="25.5" customHeight="1" x14ac:dyDescent="0.2">
      <c r="A13" s="605" t="s">
        <v>12</v>
      </c>
      <c r="B13" s="606" t="str">
        <f>CONCATENATE("Pénzkészlet ",Z_ALAPADATOK!B1,". december 31-én
Ebből:")</f>
        <v>Pénzkészlet 2020. december 31-én
Ebből:</v>
      </c>
      <c r="C13" s="656">
        <f>C7+C10-C11+C12</f>
        <v>377983007</v>
      </c>
    </row>
    <row r="14" spans="1:3" ht="18" customHeight="1" x14ac:dyDescent="0.2">
      <c r="A14" s="598" t="s">
        <v>13</v>
      </c>
      <c r="B14" s="599" t="s">
        <v>759</v>
      </c>
      <c r="C14" s="653">
        <v>377908187</v>
      </c>
    </row>
    <row r="15" spans="1:3" ht="18" customHeight="1" thickBot="1" x14ac:dyDescent="0.25">
      <c r="A15" s="603" t="s">
        <v>14</v>
      </c>
      <c r="B15" s="607" t="s">
        <v>760</v>
      </c>
      <c r="C15" s="655">
        <v>74820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topLeftCell="C1" zoomScale="120" zoomScaleNormal="120" zoomScaleSheetLayoutView="130" workbookViewId="0">
      <selection activeCell="J1" sqref="J1:J33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9" t="s">
        <v>972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9"/>
    </row>
    <row r="3" spans="1:10" ht="18" customHeight="1" thickBot="1" x14ac:dyDescent="0.25">
      <c r="A3" s="806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9"/>
    </row>
    <row r="4" spans="1:10" s="125" customFormat="1" ht="35.25" customHeight="1" thickBot="1" x14ac:dyDescent="0.25">
      <c r="A4" s="807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9"/>
    </row>
    <row r="5" spans="1:10" s="126" customFormat="1" ht="12" customHeight="1" thickBot="1" x14ac:dyDescent="0.25">
      <c r="A5" s="360" t="s">
        <v>384</v>
      </c>
      <c r="B5" s="361" t="s">
        <v>385</v>
      </c>
      <c r="C5" s="362" t="s">
        <v>386</v>
      </c>
      <c r="D5" s="365" t="s">
        <v>388</v>
      </c>
      <c r="E5" s="365" t="s">
        <v>387</v>
      </c>
      <c r="F5" s="361" t="s">
        <v>421</v>
      </c>
      <c r="G5" s="362" t="s">
        <v>390</v>
      </c>
      <c r="H5" s="362" t="s">
        <v>391</v>
      </c>
      <c r="I5" s="366" t="s">
        <v>422</v>
      </c>
      <c r="J5" s="809"/>
    </row>
    <row r="6" spans="1:10" ht="12.95" customHeight="1" x14ac:dyDescent="0.2">
      <c r="A6" s="127" t="s">
        <v>6</v>
      </c>
      <c r="B6" s="128" t="s">
        <v>281</v>
      </c>
      <c r="C6" s="118">
        <v>441095000</v>
      </c>
      <c r="D6" s="118">
        <v>430196850</v>
      </c>
      <c r="E6" s="118">
        <v>430196850</v>
      </c>
      <c r="F6" s="128" t="s">
        <v>45</v>
      </c>
      <c r="G6" s="118">
        <v>317125000</v>
      </c>
      <c r="H6" s="118">
        <v>405921000</v>
      </c>
      <c r="I6" s="270">
        <v>336089039</v>
      </c>
      <c r="J6" s="809"/>
    </row>
    <row r="7" spans="1:10" ht="12.95" customHeight="1" x14ac:dyDescent="0.2">
      <c r="A7" s="129" t="s">
        <v>7</v>
      </c>
      <c r="B7" s="130" t="s">
        <v>282</v>
      </c>
      <c r="C7" s="119">
        <v>171420000</v>
      </c>
      <c r="D7" s="119">
        <v>390053363</v>
      </c>
      <c r="E7" s="119">
        <v>227499478</v>
      </c>
      <c r="F7" s="130" t="s">
        <v>122</v>
      </c>
      <c r="G7" s="119">
        <v>50805000</v>
      </c>
      <c r="H7" s="119">
        <v>68805000</v>
      </c>
      <c r="I7" s="271">
        <v>45311145</v>
      </c>
      <c r="J7" s="809"/>
    </row>
    <row r="8" spans="1:10" ht="12.95" customHeight="1" x14ac:dyDescent="0.2">
      <c r="A8" s="129" t="s">
        <v>8</v>
      </c>
      <c r="B8" s="130" t="s">
        <v>299</v>
      </c>
      <c r="C8" s="119"/>
      <c r="D8" s="119"/>
      <c r="E8" s="119">
        <v>9247341</v>
      </c>
      <c r="F8" s="130" t="s">
        <v>148</v>
      </c>
      <c r="G8" s="119">
        <v>236856000</v>
      </c>
      <c r="H8" s="119">
        <v>321461877</v>
      </c>
      <c r="I8" s="271">
        <v>263964404</v>
      </c>
      <c r="J8" s="809"/>
    </row>
    <row r="9" spans="1:10" ht="12.95" customHeight="1" x14ac:dyDescent="0.2">
      <c r="A9" s="129" t="s">
        <v>9</v>
      </c>
      <c r="B9" s="130" t="s">
        <v>113</v>
      </c>
      <c r="C9" s="119">
        <v>40050000</v>
      </c>
      <c r="D9" s="119">
        <v>40050000</v>
      </c>
      <c r="E9" s="119">
        <v>37274492</v>
      </c>
      <c r="F9" s="130" t="s">
        <v>123</v>
      </c>
      <c r="G9" s="119">
        <v>5155000</v>
      </c>
      <c r="H9" s="119">
        <v>14197000</v>
      </c>
      <c r="I9" s="271">
        <v>2542400</v>
      </c>
      <c r="J9" s="809"/>
    </row>
    <row r="10" spans="1:10" ht="12.95" customHeight="1" x14ac:dyDescent="0.2">
      <c r="A10" s="129" t="s">
        <v>10</v>
      </c>
      <c r="B10" s="131" t="s">
        <v>323</v>
      </c>
      <c r="C10" s="119">
        <v>24124000</v>
      </c>
      <c r="D10" s="119">
        <v>24586000</v>
      </c>
      <c r="E10" s="119">
        <v>23765662</v>
      </c>
      <c r="F10" s="130" t="s">
        <v>124</v>
      </c>
      <c r="G10" s="119">
        <v>80854000</v>
      </c>
      <c r="H10" s="119">
        <v>178867831</v>
      </c>
      <c r="I10" s="271">
        <v>154289535</v>
      </c>
      <c r="J10" s="809"/>
    </row>
    <row r="11" spans="1:10" ht="12.95" customHeight="1" x14ac:dyDescent="0.2">
      <c r="A11" s="129" t="s">
        <v>11</v>
      </c>
      <c r="B11" s="130" t="s">
        <v>283</v>
      </c>
      <c r="C11" s="120"/>
      <c r="D11" s="120"/>
      <c r="E11" s="120">
        <v>71418</v>
      </c>
      <c r="F11" s="130" t="s">
        <v>36</v>
      </c>
      <c r="G11" s="119"/>
      <c r="H11" s="119"/>
      <c r="I11" s="271"/>
      <c r="J11" s="809"/>
    </row>
    <row r="12" spans="1:10" ht="12.95" customHeight="1" x14ac:dyDescent="0.2">
      <c r="A12" s="129" t="s">
        <v>12</v>
      </c>
      <c r="B12" s="130" t="s">
        <v>381</v>
      </c>
      <c r="C12" s="119"/>
      <c r="D12" s="119"/>
      <c r="E12" s="119"/>
      <c r="F12" s="30"/>
      <c r="G12" s="119"/>
      <c r="H12" s="119"/>
      <c r="I12" s="271"/>
      <c r="J12" s="809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9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9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9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9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9"/>
    </row>
    <row r="18" spans="1:10" ht="21.75" thickBot="1" x14ac:dyDescent="0.25">
      <c r="A18" s="132" t="s">
        <v>18</v>
      </c>
      <c r="B18" s="60" t="s">
        <v>382</v>
      </c>
      <c r="C18" s="122">
        <f>C6+C7+C9+C10+C11+C13+C14+C15+C16+C17</f>
        <v>676689000</v>
      </c>
      <c r="D18" s="122">
        <f>D6+D7+D9+D10+D11+D13+D14+D15+D16+D17</f>
        <v>884886213</v>
      </c>
      <c r="E18" s="122">
        <f>E6+E7+E9+E10+E11+E13+E14+E15+E16+E17</f>
        <v>718807900</v>
      </c>
      <c r="F18" s="60" t="s">
        <v>285</v>
      </c>
      <c r="G18" s="122">
        <f>SUM(G6:G17)</f>
        <v>690795000</v>
      </c>
      <c r="H18" s="122">
        <f>SUM(H6:H17)</f>
        <v>989252708</v>
      </c>
      <c r="I18" s="150">
        <f>SUM(I6:I17)</f>
        <v>802196523</v>
      </c>
      <c r="J18" s="809"/>
    </row>
    <row r="19" spans="1:10" ht="12.95" customHeight="1" x14ac:dyDescent="0.2">
      <c r="A19" s="133" t="s">
        <v>19</v>
      </c>
      <c r="B19" s="134" t="s">
        <v>851</v>
      </c>
      <c r="C19" s="238">
        <f>+C20+C21+C22+C23</f>
        <v>913076000</v>
      </c>
      <c r="D19" s="238">
        <f>+D20+D21+D22+D23</f>
        <v>966125877</v>
      </c>
      <c r="E19" s="238">
        <v>1026594024</v>
      </c>
      <c r="F19" s="135" t="s">
        <v>130</v>
      </c>
      <c r="G19" s="123"/>
      <c r="H19" s="123"/>
      <c r="I19" s="273"/>
      <c r="J19" s="809"/>
    </row>
    <row r="20" spans="1:10" ht="12.95" customHeight="1" x14ac:dyDescent="0.2">
      <c r="A20" s="136" t="s">
        <v>20</v>
      </c>
      <c r="B20" s="135" t="s">
        <v>141</v>
      </c>
      <c r="C20" s="49">
        <v>913076000</v>
      </c>
      <c r="D20" s="49">
        <v>966125877</v>
      </c>
      <c r="E20" s="49">
        <v>1010559168</v>
      </c>
      <c r="F20" s="135" t="s">
        <v>284</v>
      </c>
      <c r="G20" s="49"/>
      <c r="H20" s="49"/>
      <c r="I20" s="274"/>
      <c r="J20" s="809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9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9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4"/>
      <c r="J23" s="809"/>
    </row>
    <row r="24" spans="1:10" ht="12.95" customHeight="1" x14ac:dyDescent="0.2">
      <c r="A24" s="129" t="s">
        <v>24</v>
      </c>
      <c r="B24" s="135" t="s">
        <v>230</v>
      </c>
      <c r="C24" s="49"/>
      <c r="D24" s="49"/>
      <c r="E24" s="49">
        <v>16034856</v>
      </c>
      <c r="F24" s="135" t="s">
        <v>131</v>
      </c>
      <c r="G24" s="49"/>
      <c r="H24" s="49"/>
      <c r="I24" s="274"/>
      <c r="J24" s="809"/>
    </row>
    <row r="25" spans="1:10" ht="12.95" customHeight="1" x14ac:dyDescent="0.2">
      <c r="A25" s="129" t="s">
        <v>25</v>
      </c>
      <c r="B25" s="135" t="s">
        <v>850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364</v>
      </c>
      <c r="G25" s="49"/>
      <c r="H25" s="49"/>
      <c r="I25" s="274"/>
      <c r="J25" s="809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370</v>
      </c>
      <c r="G26" s="123"/>
      <c r="H26" s="123"/>
      <c r="I26" s="273"/>
      <c r="J26" s="809"/>
    </row>
    <row r="27" spans="1:10" ht="12.95" customHeight="1" x14ac:dyDescent="0.2">
      <c r="A27" s="129" t="s">
        <v>27</v>
      </c>
      <c r="B27" s="135" t="s">
        <v>375</v>
      </c>
      <c r="C27" s="49"/>
      <c r="D27" s="49"/>
      <c r="E27" s="49"/>
      <c r="F27" s="130" t="s">
        <v>279</v>
      </c>
      <c r="G27" s="49"/>
      <c r="H27" s="49">
        <v>14337363</v>
      </c>
      <c r="I27" s="274">
        <v>14337363</v>
      </c>
      <c r="J27" s="809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/>
      <c r="G28" s="123"/>
      <c r="H28" s="123"/>
      <c r="I28" s="273"/>
      <c r="J28" s="809"/>
    </row>
    <row r="29" spans="1:10" ht="24" customHeight="1" thickBot="1" x14ac:dyDescent="0.25">
      <c r="A29" s="132" t="s">
        <v>29</v>
      </c>
      <c r="B29" s="60" t="s">
        <v>853</v>
      </c>
      <c r="C29" s="122">
        <f>+C19+C25</f>
        <v>913076000</v>
      </c>
      <c r="D29" s="122">
        <f>+D19+D25</f>
        <v>966125877</v>
      </c>
      <c r="E29" s="268">
        <f>+E19+E25</f>
        <v>1026594024</v>
      </c>
      <c r="F29" s="60" t="s">
        <v>852</v>
      </c>
      <c r="G29" s="122">
        <f>SUM(G19:G28)</f>
        <v>0</v>
      </c>
      <c r="H29" s="122">
        <f>SUM(H19:H28)</f>
        <v>14337363</v>
      </c>
      <c r="I29" s="150">
        <f>SUM(I19:I28)</f>
        <v>14337363</v>
      </c>
      <c r="J29" s="809"/>
    </row>
    <row r="30" spans="1:10" ht="13.5" thickBot="1" x14ac:dyDescent="0.25">
      <c r="A30" s="132" t="s">
        <v>30</v>
      </c>
      <c r="B30" s="138" t="s">
        <v>383</v>
      </c>
      <c r="C30" s="310">
        <f>+C18+C29</f>
        <v>1589765000</v>
      </c>
      <c r="D30" s="310">
        <f>+D18+D29</f>
        <v>1851012090</v>
      </c>
      <c r="E30" s="311">
        <f>+E18+E29</f>
        <v>1745401924</v>
      </c>
      <c r="F30" s="138"/>
      <c r="G30" s="310">
        <f>+G18+G29</f>
        <v>690795000</v>
      </c>
      <c r="H30" s="310">
        <f>+H18+H29</f>
        <v>1003590071</v>
      </c>
      <c r="I30" s="311">
        <f>+I18+I29</f>
        <v>816533886</v>
      </c>
      <c r="J30" s="809"/>
    </row>
    <row r="31" spans="1:10" ht="13.5" thickBot="1" x14ac:dyDescent="0.25">
      <c r="A31" s="132" t="s">
        <v>31</v>
      </c>
      <c r="B31" s="138" t="s">
        <v>108</v>
      </c>
      <c r="C31" s="310">
        <f>IF(C18-G18&lt;0,G18-C18,"-")</f>
        <v>14106000</v>
      </c>
      <c r="D31" s="310">
        <f>IF(D18-H18&lt;0,H18-D18,"-")</f>
        <v>104366495</v>
      </c>
      <c r="E31" s="311">
        <f>IF(E18-I18&lt;0,I18-E18,"-")</f>
        <v>83388623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 t="str">
        <f>IF(E18-I18&gt;0,E18-I18,"-")</f>
        <v>-</v>
      </c>
      <c r="J31" s="809"/>
    </row>
    <row r="32" spans="1:10" ht="13.5" thickBot="1" x14ac:dyDescent="0.25">
      <c r="A32" s="132" t="s">
        <v>32</v>
      </c>
      <c r="B32" s="138" t="s">
        <v>487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488</v>
      </c>
      <c r="G32" s="310">
        <f>IF(C30-G30&gt;0,C30-G30,"-")</f>
        <v>898970000</v>
      </c>
      <c r="H32" s="310">
        <f>IF(D30-H30&gt;0,D30-H30,"-")</f>
        <v>847422019</v>
      </c>
      <c r="I32" s="310">
        <f>IF(E30-I30&gt;0,E30-I30,"-")</f>
        <v>928868038</v>
      </c>
      <c r="J32" s="809"/>
    </row>
    <row r="33" spans="2:10" ht="18.75" x14ac:dyDescent="0.2">
      <c r="B33" s="808"/>
      <c r="C33" s="808"/>
      <c r="D33" s="808"/>
      <c r="E33" s="808"/>
      <c r="F33" s="808"/>
      <c r="J33" s="809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33"/>
  <sheetViews>
    <sheetView topLeftCell="G1" zoomScale="120" zoomScaleNormal="120" zoomScaleSheetLayoutView="115" workbookViewId="0">
      <selection activeCell="J1" sqref="J1:J33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9" t="s">
        <v>936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9"/>
    </row>
    <row r="3" spans="1:10" ht="13.5" customHeight="1" thickBot="1" x14ac:dyDescent="0.25">
      <c r="A3" s="806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9"/>
    </row>
    <row r="4" spans="1:10" s="125" customFormat="1" ht="36.75" thickBot="1" x14ac:dyDescent="0.25">
      <c r="A4" s="807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9"/>
    </row>
    <row r="5" spans="1:10" s="125" customFormat="1" ht="13.5" thickBot="1" x14ac:dyDescent="0.25">
      <c r="A5" s="360" t="s">
        <v>384</v>
      </c>
      <c r="B5" s="361" t="s">
        <v>385</v>
      </c>
      <c r="C5" s="362" t="s">
        <v>386</v>
      </c>
      <c r="D5" s="362" t="s">
        <v>388</v>
      </c>
      <c r="E5" s="362" t="s">
        <v>387</v>
      </c>
      <c r="F5" s="361" t="s">
        <v>389</v>
      </c>
      <c r="G5" s="362" t="s">
        <v>390</v>
      </c>
      <c r="H5" s="363" t="s">
        <v>391</v>
      </c>
      <c r="I5" s="364" t="s">
        <v>422</v>
      </c>
      <c r="J5" s="809"/>
    </row>
    <row r="6" spans="1:10" ht="12.95" customHeight="1" x14ac:dyDescent="0.2">
      <c r="A6" s="127" t="s">
        <v>6</v>
      </c>
      <c r="B6" s="128" t="s">
        <v>286</v>
      </c>
      <c r="C6" s="118">
        <v>120071000</v>
      </c>
      <c r="D6" s="118">
        <v>222199546</v>
      </c>
      <c r="E6" s="118">
        <v>124448510</v>
      </c>
      <c r="F6" s="128" t="s">
        <v>143</v>
      </c>
      <c r="G6" s="118">
        <v>884935000</v>
      </c>
      <c r="H6" s="279">
        <v>871608816</v>
      </c>
      <c r="I6" s="148">
        <v>505760074</v>
      </c>
      <c r="J6" s="809"/>
    </row>
    <row r="7" spans="1:10" x14ac:dyDescent="0.2">
      <c r="A7" s="129" t="s">
        <v>7</v>
      </c>
      <c r="B7" s="130" t="s">
        <v>287</v>
      </c>
      <c r="C7" s="119"/>
      <c r="D7" s="119"/>
      <c r="E7" s="119"/>
      <c r="F7" s="130" t="s">
        <v>292</v>
      </c>
      <c r="G7" s="119"/>
      <c r="H7" s="119"/>
      <c r="I7" s="271"/>
      <c r="J7" s="809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>
        <v>6114370</v>
      </c>
      <c r="F8" s="130" t="s">
        <v>126</v>
      </c>
      <c r="G8" s="119">
        <v>134106000</v>
      </c>
      <c r="H8" s="119">
        <v>198012749</v>
      </c>
      <c r="I8" s="271">
        <v>179274560</v>
      </c>
      <c r="J8" s="809"/>
    </row>
    <row r="9" spans="1:10" ht="12.95" customHeight="1" x14ac:dyDescent="0.2">
      <c r="A9" s="129" t="s">
        <v>9</v>
      </c>
      <c r="B9" s="130" t="s">
        <v>288</v>
      </c>
      <c r="C9" s="119"/>
      <c r="D9" s="119"/>
      <c r="E9" s="119">
        <v>2035000</v>
      </c>
      <c r="F9" s="130" t="s">
        <v>293</v>
      </c>
      <c r="G9" s="119"/>
      <c r="H9" s="119"/>
      <c r="I9" s="271"/>
      <c r="J9" s="809"/>
    </row>
    <row r="10" spans="1:10" ht="12.75" customHeight="1" x14ac:dyDescent="0.2">
      <c r="A10" s="129" t="s">
        <v>10</v>
      </c>
      <c r="B10" s="130" t="s">
        <v>289</v>
      </c>
      <c r="C10" s="119"/>
      <c r="D10" s="119"/>
      <c r="E10" s="119"/>
      <c r="F10" s="130" t="s">
        <v>145</v>
      </c>
      <c r="G10" s="119"/>
      <c r="H10" s="119"/>
      <c r="I10" s="271"/>
      <c r="J10" s="809"/>
    </row>
    <row r="11" spans="1:10" ht="12.95" customHeight="1" x14ac:dyDescent="0.2">
      <c r="A11" s="129" t="s">
        <v>11</v>
      </c>
      <c r="B11" s="130" t="s">
        <v>290</v>
      </c>
      <c r="C11" s="120"/>
      <c r="D11" s="120"/>
      <c r="E11" s="120"/>
      <c r="F11" s="197"/>
      <c r="G11" s="119"/>
      <c r="H11" s="119"/>
      <c r="I11" s="271"/>
      <c r="J11" s="809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9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9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9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9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9"/>
    </row>
    <row r="17" spans="1:10" ht="15.95" customHeight="1" thickBot="1" x14ac:dyDescent="0.25">
      <c r="A17" s="132" t="s">
        <v>17</v>
      </c>
      <c r="B17" s="60" t="s">
        <v>300</v>
      </c>
      <c r="C17" s="122">
        <f>+C6+C8+C9+C11+C12+C13+C14+C15+C16</f>
        <v>120071000</v>
      </c>
      <c r="D17" s="122">
        <f>+D6+D8+D9+D11+D12+D13+D14+D15+D16</f>
        <v>222199546</v>
      </c>
      <c r="E17" s="122">
        <f>+E6+E8+E9+E11+E12+E13+E14+E15+E16</f>
        <v>132597880</v>
      </c>
      <c r="F17" s="60" t="s">
        <v>301</v>
      </c>
      <c r="G17" s="122">
        <f>+G6+G8+G10+G11+G12+G13+G14+G15+G16</f>
        <v>1019041000</v>
      </c>
      <c r="H17" s="122">
        <f>+H6+H8+H10+H11+H12+H13+H14+H15+H16</f>
        <v>1069621565</v>
      </c>
      <c r="I17" s="150">
        <f>+I6+I8+I10+I11+I12+I13+I14+I15+I16</f>
        <v>685034634</v>
      </c>
      <c r="J17" s="809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130</v>
      </c>
      <c r="G18" s="278"/>
      <c r="H18" s="278"/>
      <c r="I18" s="276"/>
      <c r="J18" s="809"/>
    </row>
    <row r="19" spans="1:10" ht="12.95" customHeight="1" x14ac:dyDescent="0.2">
      <c r="A19" s="129" t="s">
        <v>19</v>
      </c>
      <c r="B19" s="141" t="s">
        <v>150</v>
      </c>
      <c r="C19" s="49"/>
      <c r="D19" s="49"/>
      <c r="E19" s="49"/>
      <c r="F19" s="135" t="s">
        <v>133</v>
      </c>
      <c r="G19" s="49"/>
      <c r="H19" s="49"/>
      <c r="I19" s="274"/>
      <c r="J19" s="809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9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9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9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9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9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294</v>
      </c>
      <c r="G25" s="49"/>
      <c r="H25" s="49"/>
      <c r="I25" s="274"/>
      <c r="J25" s="809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9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9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9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9"/>
    </row>
    <row r="30" spans="1:10" ht="21.75" customHeight="1" thickBot="1" x14ac:dyDescent="0.25">
      <c r="A30" s="132" t="s">
        <v>30</v>
      </c>
      <c r="B30" s="60" t="s">
        <v>291</v>
      </c>
      <c r="C30" s="122">
        <f>+C18+C24</f>
        <v>0</v>
      </c>
      <c r="D30" s="122">
        <f>+D18+D24</f>
        <v>0</v>
      </c>
      <c r="E30" s="122">
        <f>+E18+E24</f>
        <v>0</v>
      </c>
      <c r="F30" s="60" t="s">
        <v>295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9"/>
    </row>
    <row r="31" spans="1:10" ht="13.5" thickBot="1" x14ac:dyDescent="0.25">
      <c r="A31" s="132" t="s">
        <v>31</v>
      </c>
      <c r="B31" s="138" t="s">
        <v>296</v>
      </c>
      <c r="C31" s="310">
        <f>+C17+C30</f>
        <v>120071000</v>
      </c>
      <c r="D31" s="310">
        <f>+D17+D30</f>
        <v>222199546</v>
      </c>
      <c r="E31" s="311">
        <f>+E17+E30</f>
        <v>132597880</v>
      </c>
      <c r="F31" s="138" t="s">
        <v>297</v>
      </c>
      <c r="G31" s="310">
        <f>+G17+G30</f>
        <v>1019041000</v>
      </c>
      <c r="H31" s="310">
        <f>+H17+H30</f>
        <v>1069621565</v>
      </c>
      <c r="I31" s="311">
        <f>+I17+I30</f>
        <v>685034634</v>
      </c>
      <c r="J31" s="809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898970000</v>
      </c>
      <c r="D32" s="310">
        <f>IF(D17-H17&lt;0,H17-D17,"-")</f>
        <v>847422019</v>
      </c>
      <c r="E32" s="311">
        <f>IF(E17-I17&lt;0,I17-E17,"-")</f>
        <v>552436754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9"/>
    </row>
    <row r="33" spans="1:10" ht="13.5" thickBot="1" x14ac:dyDescent="0.25">
      <c r="A33" s="132" t="s">
        <v>33</v>
      </c>
      <c r="B33" s="138" t="s">
        <v>487</v>
      </c>
      <c r="C33" s="310">
        <f>IF(C31-G31&lt;0,G31-C31,"-")</f>
        <v>898970000</v>
      </c>
      <c r="D33" s="310">
        <f>IF(D31-H31&lt;0,H31-D31,"-")</f>
        <v>847422019</v>
      </c>
      <c r="E33" s="310">
        <f>IF(E31-I31&lt;0,I31-E31,"-")</f>
        <v>552436754</v>
      </c>
      <c r="F33" s="138" t="s">
        <v>488</v>
      </c>
      <c r="G33" s="310" t="str">
        <f>IF(C31-G31&gt;0,C31-G31,"-")</f>
        <v>-</v>
      </c>
      <c r="H33" s="310" t="str">
        <f>IF(D31-H31&gt;0,D31-H31,"-")</f>
        <v>-</v>
      </c>
      <c r="I33" s="310" t="str">
        <f>IF(E31-I31&gt;0,E31-I31,"-")</f>
        <v>-</v>
      </c>
      <c r="J33" s="809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Kocsisné Helmeczi Bernadett</cp:lastModifiedBy>
  <cp:lastPrinted>2021-05-28T12:05:01Z</cp:lastPrinted>
  <dcterms:created xsi:type="dcterms:W3CDTF">1999-10-30T10:30:45Z</dcterms:created>
  <dcterms:modified xsi:type="dcterms:W3CDTF">2021-05-31T09:07:34Z</dcterms:modified>
</cp:coreProperties>
</file>