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" sheetId="2" r:id="rId2"/>
    <sheet name="2.mell - bevétel" sheetId="3" r:id="rId3"/>
    <sheet name="3.mell. - bevét.Köá (2)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beruházások" sheetId="9" r:id="rId9"/>
    <sheet name="9.mell.-felújítások (2)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tartalék" sheetId="18" r:id="rId18"/>
    <sheet name="18.mell.bevétel+" sheetId="19" r:id="rId19"/>
    <sheet name="19.mell.ktgvszerv tám." sheetId="20" r:id="rId20"/>
  </sheets>
  <definedNames>
    <definedName name="_xlnm.Print_Titles" localSheetId="2">'2.mell - bevétel'!$12:$14</definedName>
    <definedName name="_xlnm.Print_Area" localSheetId="2">'2.mell - bevétel'!$A$3:$I$131</definedName>
  </definedNames>
  <calcPr fullCalcOnLoad="1"/>
</workbook>
</file>

<file path=xl/sharedStrings.xml><?xml version="1.0" encoding="utf-8"?>
<sst xmlns="http://schemas.openxmlformats.org/spreadsheetml/2006/main" count="1214" uniqueCount="660">
  <si>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</si>
  <si>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</si>
  <si>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</si>
  <si>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</si>
  <si>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</si>
  <si>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</si>
  <si>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</si>
  <si>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</si>
  <si>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</si>
  <si>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</si>
  <si>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</si>
  <si>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</si>
  <si>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</si>
  <si>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</si>
  <si>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</si>
  <si>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</si>
  <si>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</si>
  <si>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</si>
  <si>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</si>
  <si>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</si>
  <si>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</si>
  <si>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</si>
  <si>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</si>
  <si>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</si>
  <si>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</si>
  <si>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</si>
  <si>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</si>
  <si>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</si>
  <si>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</si>
  <si>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</si>
  <si>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</si>
  <si>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</si>
  <si>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</si>
  <si>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</si>
  <si>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</si>
  <si>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</si>
  <si>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</si>
  <si>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</si>
  <si>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</si>
  <si>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</si>
  <si>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</si>
  <si>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</si>
  <si>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</si>
  <si>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</si>
  <si>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</si>
  <si>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</si>
  <si>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</si>
  <si>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</si>
  <si>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</si>
  <si>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</si>
  <si>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</si>
  <si>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</si>
  <si>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</si>
  <si>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</si>
  <si>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</si>
  <si>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</si>
  <si>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</si>
  <si>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</si>
  <si>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</si>
  <si>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</si>
  <si>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</si>
  <si>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</si>
  <si>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</si>
  <si>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</si>
  <si>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</si>
  <si>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</si>
  <si>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</si>
  <si>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</si>
  <si>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</si>
  <si>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</si>
  <si>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</si>
  <si>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</si>
  <si>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</si>
  <si>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</si>
  <si>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</si>
  <si>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</si>
  <si>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</si>
  <si>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</si>
  <si>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</si>
  <si>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</si>
  <si>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</si>
  <si>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</si>
  <si>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</si>
  <si>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</si>
  <si>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</si>
  <si>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</si>
  <si>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</si>
  <si>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</si>
  <si>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</si>
  <si>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</si>
  <si>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</si>
  <si>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</si>
  <si>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</si>
  <si>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</si>
  <si>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</si>
  <si>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</si>
  <si>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</si>
  <si>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</si>
  <si>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</si>
  <si>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</si>
  <si>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</si>
  <si>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</si>
  <si>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</si>
  <si>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</si>
  <si>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</si>
  <si>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</si>
  <si>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</si>
  <si>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</si>
  <si>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</si>
  <si>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</si>
  <si>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</si>
  <si>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</si>
  <si>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</si>
  <si>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</si>
  <si>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</si>
  <si>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</si>
  <si>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</si>
  <si>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</si>
  <si>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</si>
  <si>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</si>
  <si>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</si>
  <si>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</si>
  <si>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</si>
  <si>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</si>
  <si>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</si>
  <si>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</si>
  <si>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</si>
  <si>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</si>
  <si>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</si>
  <si>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</si>
  <si>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</si>
  <si>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</si>
  <si>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</si>
  <si>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</si>
  <si>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</si>
  <si>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</si>
  <si>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</si>
  <si>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</si>
  <si>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</si>
  <si>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</si>
  <si>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</si>
  <si>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</si>
  <si>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</si>
  <si>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</si>
  <si>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</si>
  <si>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</si>
  <si>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</si>
  <si>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</si>
  <si>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</si>
  <si>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</si>
  <si>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</si>
  <si>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</si>
  <si>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</si>
  <si>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</si>
  <si>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</si>
  <si>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</si>
  <si>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</si>
  <si>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</si>
  <si>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</si>
  <si>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</si>
  <si>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</si>
  <si>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</si>
  <si>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</si>
  <si>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</si>
  <si>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</si>
  <si>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</si>
  <si>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</si>
  <si>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</si>
  <si>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</si>
  <si>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</si>
  <si>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</si>
  <si>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</si>
  <si>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</si>
  <si>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</si>
  <si>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</si>
  <si>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</si>
  <si>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</si>
  <si>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</si>
  <si>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</si>
  <si>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</si>
  <si>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</si>
  <si>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</si>
  <si>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</si>
  <si>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</si>
  <si>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</si>
  <si>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</si>
  <si>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</si>
  <si>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</si>
  <si>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</si>
  <si>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</si>
  <si>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</si>
  <si>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</si>
  <si>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</si>
  <si>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</si>
  <si>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</si>
  <si>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</si>
  <si>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</si>
  <si>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</si>
  <si>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</si>
  <si>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</si>
  <si>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</si>
  <si>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</si>
  <si>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</si>
  <si>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</si>
  <si>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</si>
  <si>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</si>
  <si>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</si>
  <si>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</si>
  <si>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</si>
  <si>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</si>
  <si>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</si>
  <si>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</si>
  <si>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</si>
  <si>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</si>
  <si>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</si>
  <si>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</si>
  <si>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</si>
  <si>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</si>
  <si>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</si>
  <si>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</si>
  <si>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</si>
  <si>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</si>
  <si>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</si>
  <si>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</si>
  <si>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</si>
  <si>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</si>
  <si>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</si>
  <si>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</si>
  <si>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</si>
  <si>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</si>
  <si>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</si>
  <si>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</si>
  <si>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</si>
  <si>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</si>
  <si>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</si>
  <si>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</si>
  <si>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</si>
  <si>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</si>
  <si>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</si>
  <si>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</si>
  <si>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</si>
  <si>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</si>
  <si>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</si>
  <si>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</si>
  <si>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</si>
  <si>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</si>
  <si>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</si>
  <si>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</si>
  <si>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</si>
  <si>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</si>
  <si>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</si>
  <si>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</si>
  <si>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</si>
  <si>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</si>
  <si>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</si>
  <si>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</si>
  <si>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</si>
  <si>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</si>
  <si>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</si>
  <si>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</si>
  <si>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</si>
  <si>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</si>
  <si>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</si>
  <si>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</si>
  <si>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</si>
  <si>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</si>
  <si>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</si>
  <si>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</si>
  <si>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</si>
  <si>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</si>
  <si>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</si>
  <si>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</si>
  <si>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</si>
  <si>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</si>
  <si>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</si>
  <si>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</si>
  <si>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</si>
  <si>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</si>
  <si>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</si>
  <si>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</si>
  <si>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</si>
  <si>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</si>
  <si>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</si>
  <si>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</si>
  <si>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</si>
  <si>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</si>
  <si>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</si>
  <si>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</si>
  <si>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</si>
  <si>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</si>
  <si>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</si>
  <si>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</si>
  <si>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</si>
  <si>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</si>
  <si>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</si>
  <si>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</si>
  <si>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</si>
  <si>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</si>
  <si>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</si>
  <si>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</si>
  <si>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</si>
  <si>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</si>
  <si>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</si>
  <si>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</si>
  <si>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</si>
  <si>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</si>
  <si>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</si>
  <si>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</si>
  <si>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</si>
  <si>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</si>
  <si>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</si>
  <si>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</si>
  <si>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</si>
  <si>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</si>
  <si>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</si>
  <si>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</si>
  <si>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</si>
  <si>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</si>
  <si>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</si>
  <si>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</si>
  <si>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</si>
  <si>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</si>
  <si>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</si>
  <si>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</si>
  <si>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</si>
  <si>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</si>
  <si>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</si>
  <si>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</si>
  <si>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</si>
  <si>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</si>
  <si>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</si>
  <si>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</si>
  <si>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</si>
  <si>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</si>
  <si>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</si>
  <si>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</si>
  <si>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</si>
  <si>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</si>
  <si>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</si>
  <si>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</si>
  <si>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</si>
  <si>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</si>
  <si>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</si>
  <si>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</si>
  <si>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</si>
  <si>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</si>
  <si>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</si>
  <si>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</si>
  <si>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</si>
  <si>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</si>
  <si>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</si>
  <si>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</si>
  <si>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</si>
  <si>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</si>
  <si>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</si>
  <si>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</si>
  <si>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</si>
  <si>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</si>
  <si>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</si>
  <si>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</si>
  <si>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</si>
  <si>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</si>
  <si>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</si>
  <si>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</si>
  <si>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</si>
  <si>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</si>
  <si>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</si>
  <si>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</si>
  <si>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</si>
  <si>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</si>
  <si>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</si>
  <si>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</si>
  <si>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</si>
  <si>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</si>
  <si>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</si>
  <si>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</si>
  <si>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</si>
  <si>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</si>
  <si>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</si>
  <si>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</si>
  <si>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</si>
  <si>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</si>
  <si>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</si>
  <si>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</si>
  <si>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</si>
  <si>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</si>
  <si>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</si>
  <si>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</si>
  <si>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</si>
  <si>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</si>
  <si>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</si>
  <si>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</si>
  <si>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</si>
  <si>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</si>
  <si>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</si>
  <si>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</si>
  <si>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</si>
  <si>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</si>
  <si>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</si>
  <si>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</si>
  <si>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</si>
  <si>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</si>
  <si>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</si>
  <si>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</si>
  <si>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</si>
  <si>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</si>
  <si>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</si>
  <si>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</si>
  <si>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</si>
  <si>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</si>
  <si>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</si>
  <si>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</si>
  <si>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</si>
  <si>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</si>
  <si>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</si>
  <si>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</si>
  <si>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</si>
  <si>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</si>
  <si>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</si>
  <si>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</si>
  <si>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</si>
  <si>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</si>
  <si>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</si>
  <si>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</si>
  <si>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</si>
  <si>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</si>
  <si>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</si>
  <si>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</si>
  <si>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</si>
  <si>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</si>
  <si>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</si>
  <si>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</si>
  <si>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</si>
  <si>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</si>
  <si>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</si>
  <si>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</si>
  <si>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</si>
  <si>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</si>
  <si>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</si>
  <si>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</si>
  <si>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</si>
  <si>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</si>
  <si>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</si>
  <si>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</si>
  <si>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</si>
  <si>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</si>
  <si>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</si>
  <si>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</si>
  <si>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</si>
  <si>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</si>
  <si>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</si>
  <si>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</si>
  <si>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</si>
  <si>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</si>
  <si>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</si>
  <si>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</si>
  <si>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</si>
  <si>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</si>
  <si>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</si>
  <si>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</si>
  <si>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</si>
  <si>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Munkahelyi étkeztetés köznevelési int.(562920) (vendég)</t>
  </si>
  <si>
    <t xml:space="preserve"> egyéb működési és felhalmozási kiadásai</t>
  </si>
  <si>
    <t>2019.</t>
  </si>
  <si>
    <t>időskoruak támogatása</t>
  </si>
  <si>
    <t>Egyéb gép, berendezés, felszerelés beszerzése</t>
  </si>
  <si>
    <t>096015 Gyermekétkeztetés köznevelési intézményben</t>
  </si>
  <si>
    <t>096025 Munkahelyi étkeztetés köznevelési intézményekben</t>
  </si>
  <si>
    <t>096025Munkahelyi étkeztetés köznevelési int.(562920) (vendég)</t>
  </si>
  <si>
    <t>107051 Szociális étkeztetés (889921)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</si>
  <si>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</si>
  <si>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</si>
  <si>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</si>
  <si>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</si>
  <si>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</si>
  <si>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</si>
  <si>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</si>
  <si>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</si>
  <si>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</si>
  <si>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</si>
  <si>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2017. év</t>
  </si>
  <si>
    <t>( Ft-ban)</t>
  </si>
  <si>
    <t>2016. évről áthúzódó bérkompenzáció támogatása</t>
  </si>
  <si>
    <t>kiegészítés - I.1. jogcímhez kapcsolódóan</t>
  </si>
  <si>
    <t xml:space="preserve">2017. évi </t>
  </si>
  <si>
    <t>2017. évre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</si>
  <si>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</si>
  <si>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</si>
  <si>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</si>
  <si>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</si>
  <si>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</si>
  <si>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</si>
  <si>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</si>
  <si>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2016.ÉVBEN MEGELŐLEGEZETT ÁLLAMI TÁMOGATÁS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</si>
  <si>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</si>
  <si>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</si>
  <si>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</si>
  <si>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</si>
  <si>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</si>
  <si>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</si>
  <si>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</si>
  <si>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</si>
  <si>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</si>
  <si>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2017.évre</t>
  </si>
  <si>
    <t>2017.év</t>
  </si>
  <si>
    <t xml:space="preserve"> előirányzat   (  Ft)</t>
  </si>
  <si>
    <t>(2016. december 31-i állapot szerint)</t>
  </si>
  <si>
    <t>2015-2017. év</t>
  </si>
  <si>
    <t>(  Ft-ban)</t>
  </si>
  <si>
    <t>2018-2020. év</t>
  </si>
  <si>
    <t>2020.</t>
  </si>
  <si>
    <t>adósságkonszolidációban nem részerült település önkormányzatok támogatása 2016. évről</t>
  </si>
  <si>
    <t>megelőlegezett állami támogatás igénybevétele</t>
  </si>
  <si>
    <t>ADÓSSÁGKONSZOLIDÁCIÓBAN NEM RÉSZESÜLT TELEPÜLÉSI ÖNKORMÁNYZATOK 2016. ÉVRŐL ÁTHÚZÓDÓ TÁMOGATA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</si>
  <si>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</si>
  <si>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</si>
  <si>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</si>
  <si>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</si>
  <si>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</si>
  <si>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</si>
  <si>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</si>
  <si>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</si>
  <si>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</si>
  <si>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</si>
  <si>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</si>
  <si>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</si>
  <si>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</si>
  <si>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</si>
  <si>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</si>
  <si>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</si>
  <si>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</si>
  <si>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</si>
  <si>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</si>
  <si>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</si>
  <si>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</si>
  <si>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</si>
  <si>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</si>
  <si>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</si>
  <si>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</si>
  <si>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</si>
  <si>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</si>
  <si>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</si>
  <si>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</si>
  <si>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</si>
  <si>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</si>
  <si>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1.1</t>
  </si>
  <si>
    <t>(  Ft-ban )</t>
  </si>
  <si>
    <t xml:space="preserve"> 011130 Önkormányzatok és önk. hivatalok jogalkotó és ált. igaztatási tevékenysége</t>
  </si>
  <si>
    <t>Egyéb gép, berendezés,felszerelés, konyhai eszközök pótlására</t>
  </si>
  <si>
    <t>ÁLTALÁNOS TARTALÉKOK ELŐIRÁNYZATA</t>
  </si>
  <si>
    <t xml:space="preserve">Általános tartalék összege </t>
  </si>
  <si>
    <t xml:space="preserve">       - Általános tartalék</t>
  </si>
  <si>
    <t>3.1.6.</t>
  </si>
  <si>
    <t>2.1.</t>
  </si>
  <si>
    <t>5.1</t>
  </si>
  <si>
    <t>6.1</t>
  </si>
  <si>
    <t>Bursa Hungarica ösztöndíj pályázat  támogatása</t>
  </si>
  <si>
    <t>Kertészkert utca burkolatának felújítása (adósságkonszolidációban nem részesült települési önkormányzatok 2016.évi támogatásának felhasználása)</t>
  </si>
  <si>
    <t>2017. 01.01-től</t>
  </si>
  <si>
    <t xml:space="preserve">ELŐZŐ ÉVEK KÖLTSÉGVETÉSI MARADVÁNY IGÉNYBEVÉTELE </t>
  </si>
  <si>
    <t>1. melléklet  a  2/2017. (II.14.)  önkormányzati rendelethez</t>
  </si>
  <si>
    <t xml:space="preserve">előző év költségvetési maradvány igénybevétele </t>
  </si>
  <si>
    <t>2. melléklet  a  2/2017. (II.14.)  önkormányzati rendelethez</t>
  </si>
  <si>
    <t>ÖSSZESEN:</t>
  </si>
  <si>
    <t>Sitkei Önkormányzati Konyha összesen:</t>
  </si>
  <si>
    <t>Sitke község Önkormányzata összesen:</t>
  </si>
  <si>
    <t>Hosszabb időtartamú közfoglalkoztatás</t>
  </si>
  <si>
    <t>041233</t>
  </si>
  <si>
    <t>3. melléklet  a  2/2017. (II.14.)  önkormányzati rendelethez</t>
  </si>
  <si>
    <t>35.</t>
  </si>
  <si>
    <t>34.</t>
  </si>
  <si>
    <t>33.</t>
  </si>
  <si>
    <t>32.</t>
  </si>
  <si>
    <t>31.</t>
  </si>
  <si>
    <t>30.</t>
  </si>
  <si>
    <t>29.</t>
  </si>
  <si>
    <t>6..</t>
  </si>
  <si>
    <t>4. melléklet  a  2/2017. (II.14.)  önkormányzati rendelethez</t>
  </si>
  <si>
    <t>5. melléklet  a 2/2017. (II.14.)  önkormányzati rendelethez</t>
  </si>
  <si>
    <t>Sárvár Város Önkormányzatának a házi segítségnyújtás feladatainak ellátásáért működési támogatás ( Megállapodás alapján)</t>
  </si>
  <si>
    <t>6. melléklet  a  2/2017. (II.14.)  önkormányzati rendelethez</t>
  </si>
  <si>
    <t xml:space="preserve">14. </t>
  </si>
  <si>
    <t>7. melléklet  a  2/2017. (II.14.)  önkormányzati rendelethez</t>
  </si>
  <si>
    <t>2.2.</t>
  </si>
  <si>
    <t>Konyha korszerűsítésének tervezési kiadásaira</t>
  </si>
  <si>
    <t>013350 Önkormányzati vagyonnal való gazdálodással kapcsolatos feladatok</t>
  </si>
  <si>
    <t>1.1.3</t>
  </si>
  <si>
    <t>9. melléklet a 2/2017. (II.14.)  sz. önkormányzati rendelethez</t>
  </si>
  <si>
    <t>10. melléklet a 2/2017. (II.14.)  önkormányzati rendelethez</t>
  </si>
  <si>
    <t>11. melléklet a 2/2017. (II.14.)  önkormányzati rendelethez</t>
  </si>
  <si>
    <t>- orvosi rendelő felújításával kapcsolatos fordított ÁFA visszatérülése</t>
  </si>
  <si>
    <t>17. melléklet a 2/2017. (II.14.)  önkormányzati rendelethez</t>
  </si>
  <si>
    <t>Sitkei önkormányzati Konyha</t>
  </si>
  <si>
    <t>Sitke Község Önkormányzata</t>
  </si>
  <si>
    <t xml:space="preserve"> központi, irányító szervi támogatás </t>
  </si>
  <si>
    <t xml:space="preserve"> előző évi költségvetési  maradvány igénybevétele </t>
  </si>
  <si>
    <t xml:space="preserve"> felhalmozási bevételek összesen </t>
  </si>
  <si>
    <t xml:space="preserve"> felhalmozási célú átvett pénzeszközök </t>
  </si>
  <si>
    <t xml:space="preserve"> felhalmozási bevételek </t>
  </si>
  <si>
    <t xml:space="preserve"> felhalmozási támogatások államháztar- táson belülről </t>
  </si>
  <si>
    <t xml:space="preserve"> működési bevételek összesen </t>
  </si>
  <si>
    <t xml:space="preserve"> működési célú átvett pénz-    eszközök </t>
  </si>
  <si>
    <t xml:space="preserve"> működési bevételek </t>
  </si>
  <si>
    <t xml:space="preserve"> közhatalmi bevételek </t>
  </si>
  <si>
    <t xml:space="preserve"> működési támogatások államháztartáson belülről </t>
  </si>
  <si>
    <t xml:space="preserve"> finanszírozási bevételek </t>
  </si>
  <si>
    <t xml:space="preserve"> bevételek összesen: </t>
  </si>
  <si>
    <t>SORSZÁM</t>
  </si>
  <si>
    <t xml:space="preserve"> Ft-ban </t>
  </si>
  <si>
    <t>BEVÉTELEINEK KÖLTSÉGVETÉSI SZERVENKÉNTI ALAKULÁSA</t>
  </si>
  <si>
    <t xml:space="preserve">SITKE KÖZSÉG ÖNKORMÁNYZATA  </t>
  </si>
  <si>
    <t xml:space="preserve"> 18. melléklet a 2/2017. (II. 14.) önkormányzati rendelethez </t>
  </si>
  <si>
    <t>Sitkei Önkormányzati Konyha</t>
  </si>
  <si>
    <t>megoszlás %-a</t>
  </si>
  <si>
    <t xml:space="preserve">  Ft </t>
  </si>
  <si>
    <t>megoszlás    %-a</t>
  </si>
  <si>
    <t>megnevezése:</t>
  </si>
  <si>
    <t xml:space="preserve"> összes támogatás </t>
  </si>
  <si>
    <t>önkormányzati támogatás</t>
  </si>
  <si>
    <t>központi költségvetési támogatás</t>
  </si>
  <si>
    <t>Intézmény</t>
  </si>
  <si>
    <t xml:space="preserve"> (  Ft-ban ) </t>
  </si>
  <si>
    <t>KÖLTSÉGVETÉSI SZERVEK KÖZPONTI KÖLTSÉGVETÉSI ÉS ÖNKORMÁNYZATI TÁMOGATÁSA</t>
  </si>
  <si>
    <t xml:space="preserve"> 19. melléklet a 2/2017.(II. 14.) önkormányzati rendelethez </t>
  </si>
  <si>
    <t>Módosította: 10/2017. (IX.26.)</t>
  </si>
  <si>
    <t>Zene Háza Sárvár TOP pályázatból Sitke Önkormányzatra jutó támogatás</t>
  </si>
  <si>
    <t>Honvédelmi Minisztérium Hadtörténeti Intézet és Múzeum támogatása (hadisírok felújítására)</t>
  </si>
  <si>
    <t>Vas megyei Közgyűlés elnökének támogatása ( napközistáborra)</t>
  </si>
  <si>
    <t>Nyári diákmunka támogatása</t>
  </si>
  <si>
    <t>Közfoglalkoztatás támogatása</t>
  </si>
  <si>
    <t xml:space="preserve"> Elszámolásból származó bevételek összesen:</t>
  </si>
  <si>
    <t>2016.évi ébes beszámoló 11/C űrlap alapján</t>
  </si>
  <si>
    <t>6. Elszámolásból származó bevételek</t>
  </si>
  <si>
    <t>Működési célú költségvetési és kiegészítő támogatás összesen:</t>
  </si>
  <si>
    <t>Polgármesteri béremelés különbözetének támogatására</t>
  </si>
  <si>
    <t>Minimálbér és a garantált bérminimum emelés kompenzálására</t>
  </si>
  <si>
    <t>2017.évi bérkompenzációs támogatás</t>
  </si>
  <si>
    <t>Működési célú költségvetési és kiegészítő támogatás</t>
  </si>
  <si>
    <t>Települési arculati kézikönyv elkészítésének támogatása</t>
  </si>
  <si>
    <t xml:space="preserve">6. </t>
  </si>
  <si>
    <t>Szent László Katolikus Általános Iskola táborozás támogatására</t>
  </si>
  <si>
    <t>Első lakáshoz jutók lakásépítésének és -vásárlásnak viszzatérítendő támogatása    ( kamatmentes kölcsön)</t>
  </si>
  <si>
    <t>8.1</t>
  </si>
  <si>
    <t>7.1</t>
  </si>
  <si>
    <t>Telekvásárlás</t>
  </si>
  <si>
    <t>4.1</t>
  </si>
  <si>
    <t>013350 Önkormányzati vagyonnal való gazdálkodással kapcsolatos feladatok</t>
  </si>
  <si>
    <t>Arculati kézikönyv elkésztése</t>
  </si>
  <si>
    <t>3.1</t>
  </si>
  <si>
    <t xml:space="preserve"> 066020 Város- és községgazdálkodási egyéb szolgáltatások</t>
  </si>
  <si>
    <t>2.1</t>
  </si>
  <si>
    <t>082044 Könyvtári szolgáltatások</t>
  </si>
  <si>
    <t>M e g n e v e z é s</t>
  </si>
  <si>
    <t>8. melléklet  a  2/2017. (II.14.)  önkormányzati rendelethez</t>
  </si>
  <si>
    <t>-  tartalék</t>
  </si>
  <si>
    <t>12.  melléklet  a  2/2017. (II.14.)  önkormányzati rendelethez</t>
  </si>
  <si>
    <t>13.  melléklet  a  2/2017. (II.14.)  önkormányzati rendelethez</t>
  </si>
  <si>
    <t>14. melléklet  a  2/2017. (II. 10.) önkormányzati rendelethez</t>
  </si>
  <si>
    <t>15. melléklet  a  2/2017. (II. 10.) önkormányzati rendelethez</t>
  </si>
  <si>
    <t>16. melléklet  a  2/2017. (II. 10.)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</si>
</sst>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85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60" applyNumberFormat="1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>
      <alignment horizontal="left" wrapText="1"/>
      <protection/>
    </xf>
    <xf numFmtId="0" fontId="11" fillId="0" borderId="27" xfId="60" applyFont="1" applyBorder="1" applyAlignment="1" quotePrefix="1">
      <alignment horizontal="center" vertical="center" wrapText="1"/>
      <protection/>
    </xf>
    <xf numFmtId="0" fontId="11" fillId="0" borderId="28" xfId="61" applyFont="1" applyBorder="1">
      <alignment/>
      <protection/>
    </xf>
    <xf numFmtId="0" fontId="11" fillId="0" borderId="26" xfId="61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1" applyFont="1" applyAlignment="1">
      <alignment horizontal="center"/>
      <protection/>
    </xf>
    <xf numFmtId="0" fontId="11" fillId="0" borderId="29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9" xfId="58" applyFont="1" applyBorder="1" applyAlignment="1">
      <alignment horizontal="right"/>
      <protection/>
    </xf>
    <xf numFmtId="0" fontId="12" fillId="0" borderId="29" xfId="58" applyFont="1" applyBorder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6" fillId="0" borderId="0" xfId="58" applyNumberFormat="1" applyFont="1">
      <alignment/>
      <protection/>
    </xf>
    <xf numFmtId="0" fontId="6" fillId="0" borderId="30" xfId="58" applyFont="1" applyBorder="1" applyAlignment="1">
      <alignment horizontal="right"/>
      <protection/>
    </xf>
    <xf numFmtId="0" fontId="6" fillId="0" borderId="3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8" applyFont="1" applyBorder="1" applyAlignment="1">
      <alignment horizontal="center"/>
      <protection/>
    </xf>
    <xf numFmtId="0" fontId="7" fillId="0" borderId="30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0" fontId="4" fillId="0" borderId="30" xfId="0" applyFont="1" applyBorder="1" applyAlignment="1">
      <alignment/>
    </xf>
    <xf numFmtId="0" fontId="10" fillId="0" borderId="30" xfId="60" applyFont="1" applyBorder="1">
      <alignment/>
      <protection/>
    </xf>
    <xf numFmtId="0" fontId="6" fillId="0" borderId="0" xfId="61" applyFont="1" applyAlignment="1">
      <alignment horizontal="centerContinuous"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3" fillId="0" borderId="35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5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36" xfId="58" applyFont="1" applyBorder="1">
      <alignment/>
      <protection/>
    </xf>
    <xf numFmtId="0" fontId="6" fillId="0" borderId="36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3" fontId="12" fillId="0" borderId="0" xfId="58" applyNumberFormat="1" applyFont="1" applyAlignment="1">
      <alignment horizontal="right"/>
      <protection/>
    </xf>
    <xf numFmtId="3" fontId="18" fillId="0" borderId="0" xfId="58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8" applyNumberFormat="1" applyFont="1" applyAlignment="1">
      <alignment horizontal="right"/>
      <protection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38" xfId="60" applyFont="1" applyBorder="1" applyAlignment="1" quotePrefix="1">
      <alignment horizontal="center" vertical="center" wrapText="1"/>
      <protection/>
    </xf>
    <xf numFmtId="0" fontId="11" fillId="0" borderId="39" xfId="60" applyFont="1" applyBorder="1" applyAlignment="1" quotePrefix="1">
      <alignment horizontal="center" vertical="center" wrapText="1"/>
      <protection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1" xfId="0" applyFont="1" applyBorder="1" applyAlignment="1">
      <alignment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22" fillId="0" borderId="29" xfId="60" applyNumberFormat="1" applyFont="1" applyBorder="1">
      <alignment/>
      <protection/>
    </xf>
    <xf numFmtId="3" fontId="11" fillId="0" borderId="29" xfId="60" applyNumberFormat="1" applyFont="1" applyBorder="1">
      <alignment/>
      <protection/>
    </xf>
    <xf numFmtId="3" fontId="22" fillId="0" borderId="42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1" fillId="0" borderId="43" xfId="60" applyNumberFormat="1" applyFont="1" applyBorder="1">
      <alignment/>
      <protection/>
    </xf>
    <xf numFmtId="3" fontId="10" fillId="0" borderId="34" xfId="60" applyNumberFormat="1" applyFont="1" applyBorder="1" applyAlignment="1">
      <alignment horizontal="right"/>
      <protection/>
    </xf>
    <xf numFmtId="3" fontId="10" fillId="0" borderId="44" xfId="60" applyNumberFormat="1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45" xfId="61" applyFont="1" applyBorder="1">
      <alignment/>
      <protection/>
    </xf>
    <xf numFmtId="0" fontId="6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12" fillId="0" borderId="0" xfId="58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43" xfId="60" applyFont="1" applyBorder="1" applyAlignment="1">
      <alignment horizontal="right"/>
      <protection/>
    </xf>
    <xf numFmtId="0" fontId="4" fillId="0" borderId="46" xfId="0" applyFont="1" applyBorder="1" applyAlignment="1">
      <alignment/>
    </xf>
    <xf numFmtId="0" fontId="11" fillId="0" borderId="47" xfId="61" applyFont="1" applyBorder="1">
      <alignment/>
      <protection/>
    </xf>
    <xf numFmtId="0" fontId="10" fillId="0" borderId="34" xfId="61" applyFont="1" applyBorder="1">
      <alignment/>
      <protection/>
    </xf>
    <xf numFmtId="168" fontId="4" fillId="0" borderId="48" xfId="60" applyNumberFormat="1" applyFont="1" applyBorder="1" applyAlignment="1">
      <alignment/>
      <protection/>
    </xf>
    <xf numFmtId="168" fontId="4" fillId="0" borderId="48" xfId="60" applyNumberFormat="1" applyFont="1" applyBorder="1" applyAlignment="1">
      <alignment horizontal="right"/>
      <protection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 applyAlignment="1">
      <alignment/>
      <protection/>
    </xf>
    <xf numFmtId="0" fontId="6" fillId="0" borderId="30" xfId="59" applyFont="1" applyBorder="1" applyAlignment="1">
      <alignment vertical="center"/>
      <protection/>
    </xf>
    <xf numFmtId="168" fontId="6" fillId="0" borderId="30" xfId="59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6" fillId="0" borderId="13" xfId="61" applyFont="1" applyBorder="1">
      <alignment/>
      <protection/>
    </xf>
    <xf numFmtId="0" fontId="11" fillId="0" borderId="49" xfId="60" applyFont="1" applyBorder="1" applyAlignment="1" quotePrefix="1">
      <alignment horizontal="center" vertical="center" wrapText="1"/>
      <protection/>
    </xf>
    <xf numFmtId="0" fontId="10" fillId="0" borderId="45" xfId="60" applyFont="1" applyBorder="1">
      <alignment/>
      <protection/>
    </xf>
    <xf numFmtId="0" fontId="11" fillId="0" borderId="29" xfId="61" applyFont="1" applyBorder="1">
      <alignment/>
      <protection/>
    </xf>
    <xf numFmtId="0" fontId="4" fillId="0" borderId="29" xfId="61" applyFont="1" applyBorder="1">
      <alignment/>
      <protection/>
    </xf>
    <xf numFmtId="49" fontId="11" fillId="0" borderId="0" xfId="60" applyNumberFormat="1" applyFont="1">
      <alignment/>
      <protection/>
    </xf>
    <xf numFmtId="49" fontId="10" fillId="0" borderId="0" xfId="60" applyNumberFormat="1" applyFont="1">
      <alignment/>
      <protection/>
    </xf>
    <xf numFmtId="49" fontId="17" fillId="0" borderId="0" xfId="60" applyNumberFormat="1" applyFont="1">
      <alignment/>
      <protection/>
    </xf>
    <xf numFmtId="4" fontId="11" fillId="0" borderId="44" xfId="61" applyNumberFormat="1" applyFont="1" applyBorder="1">
      <alignment/>
      <protection/>
    </xf>
    <xf numFmtId="4" fontId="11" fillId="0" borderId="22" xfId="61" applyNumberFormat="1" applyFont="1" applyBorder="1">
      <alignment/>
      <protection/>
    </xf>
    <xf numFmtId="4" fontId="11" fillId="0" borderId="50" xfId="61" applyNumberFormat="1" applyFont="1" applyBorder="1">
      <alignment/>
      <protection/>
    </xf>
    <xf numFmtId="4" fontId="11" fillId="0" borderId="29" xfId="61" applyNumberFormat="1" applyFont="1" applyBorder="1">
      <alignment/>
      <protection/>
    </xf>
    <xf numFmtId="4" fontId="11" fillId="0" borderId="42" xfId="61" applyNumberFormat="1" applyFont="1" applyBorder="1">
      <alignment/>
      <protection/>
    </xf>
    <xf numFmtId="4" fontId="10" fillId="0" borderId="30" xfId="61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6" fillId="0" borderId="51" xfId="61" applyNumberFormat="1" applyFont="1" applyBorder="1" applyAlignment="1">
      <alignment horizontal="center" vertical="center"/>
      <protection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right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 wrapText="1"/>
    </xf>
    <xf numFmtId="3" fontId="18" fillId="0" borderId="0" xfId="42" applyNumberFormat="1" applyFont="1" applyAlignment="1">
      <alignment horizontal="right"/>
    </xf>
    <xf numFmtId="3" fontId="18" fillId="0" borderId="0" xfId="42" applyNumberFormat="1" applyFont="1" applyAlignment="1">
      <alignment horizontal="right" wrapText="1"/>
    </xf>
    <xf numFmtId="168" fontId="12" fillId="0" borderId="0" xfId="42" applyNumberFormat="1" applyFont="1" applyAlignment="1">
      <alignment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7" fillId="0" borderId="30" xfId="0" applyNumberFormat="1" applyFont="1" applyBorder="1" applyAlignment="1">
      <alignment/>
    </xf>
    <xf numFmtId="0" fontId="7" fillId="0" borderId="30" xfId="0" applyFont="1" applyBorder="1" applyAlignment="1">
      <alignment/>
    </xf>
    <xf numFmtId="168" fontId="4" fillId="0" borderId="30" xfId="0" applyNumberFormat="1" applyFont="1" applyBorder="1" applyAlignment="1">
      <alignment/>
    </xf>
    <xf numFmtId="168" fontId="4" fillId="0" borderId="52" xfId="42" applyNumberFormat="1" applyFont="1" applyBorder="1" applyAlignment="1">
      <alignment/>
    </xf>
    <xf numFmtId="168" fontId="4" fillId="0" borderId="32" xfId="42" applyNumberFormat="1" applyFont="1" applyBorder="1" applyAlignment="1">
      <alignment/>
    </xf>
    <xf numFmtId="0" fontId="11" fillId="0" borderId="31" xfId="61" applyFont="1" applyBorder="1">
      <alignment/>
      <protection/>
    </xf>
    <xf numFmtId="0" fontId="11" fillId="0" borderId="53" xfId="60" applyFont="1" applyBorder="1" applyAlignment="1" quotePrefix="1">
      <alignment horizontal="center" vertical="center" wrapText="1"/>
      <protection/>
    </xf>
    <xf numFmtId="168" fontId="4" fillId="0" borderId="43" xfId="42" applyNumberFormat="1" applyFont="1" applyBorder="1" applyAlignment="1">
      <alignment/>
    </xf>
    <xf numFmtId="168" fontId="4" fillId="0" borderId="29" xfId="42" applyNumberFormat="1" applyFont="1" applyBorder="1" applyAlignment="1">
      <alignment/>
    </xf>
    <xf numFmtId="0" fontId="11" fillId="0" borderId="54" xfId="60" applyFont="1" applyBorder="1" applyAlignment="1" quotePrefix="1">
      <alignment horizontal="center" vertical="center" wrapText="1"/>
      <protection/>
    </xf>
    <xf numFmtId="0" fontId="4" fillId="0" borderId="54" xfId="0" applyFont="1" applyBorder="1" applyAlignment="1">
      <alignment/>
    </xf>
    <xf numFmtId="168" fontId="7" fillId="0" borderId="30" xfId="42" applyNumberFormat="1" applyFont="1" applyBorder="1" applyAlignment="1">
      <alignment/>
    </xf>
    <xf numFmtId="0" fontId="4" fillId="0" borderId="53" xfId="0" applyFont="1" applyBorder="1" applyAlignment="1">
      <alignment/>
    </xf>
    <xf numFmtId="168" fontId="4" fillId="0" borderId="55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23" fillId="0" borderId="51" xfId="42" applyNumberFormat="1" applyFont="1" applyBorder="1" applyAlignment="1">
      <alignment horizontal="center" vertical="center"/>
    </xf>
    <xf numFmtId="168" fontId="23" fillId="0" borderId="11" xfId="42" applyNumberFormat="1" applyFont="1" applyBorder="1" applyAlignment="1">
      <alignment horizontal="center" vertical="center" wrapText="1"/>
    </xf>
    <xf numFmtId="168" fontId="23" fillId="0" borderId="11" xfId="42" applyNumberFormat="1" applyFont="1" applyBorder="1" applyAlignment="1">
      <alignment horizontal="center" vertical="center"/>
    </xf>
    <xf numFmtId="168" fontId="23" fillId="0" borderId="0" xfId="42" applyNumberFormat="1" applyFont="1" applyAlignment="1">
      <alignment/>
    </xf>
    <xf numFmtId="168" fontId="23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left"/>
    </xf>
    <xf numFmtId="3" fontId="4" fillId="0" borderId="0" xfId="61" applyNumberFormat="1" applyFont="1">
      <alignment/>
      <protection/>
    </xf>
    <xf numFmtId="4" fontId="10" fillId="0" borderId="30" xfId="61" applyNumberFormat="1" applyFont="1" applyBorder="1">
      <alignment/>
      <protection/>
    </xf>
    <xf numFmtId="3" fontId="10" fillId="0" borderId="30" xfId="61" applyNumberFormat="1" applyFont="1" applyBorder="1">
      <alignment/>
      <protection/>
    </xf>
    <xf numFmtId="0" fontId="10" fillId="0" borderId="30" xfId="61" applyFont="1" applyBorder="1">
      <alignment/>
      <protection/>
    </xf>
    <xf numFmtId="0" fontId="4" fillId="0" borderId="40" xfId="61" applyFont="1" applyBorder="1">
      <alignment/>
      <protection/>
    </xf>
    <xf numFmtId="4" fontId="11" fillId="0" borderId="32" xfId="61" applyNumberFormat="1" applyFont="1" applyBorder="1">
      <alignment/>
      <protection/>
    </xf>
    <xf numFmtId="3" fontId="11" fillId="0" borderId="52" xfId="60" applyNumberFormat="1" applyFont="1" applyBorder="1">
      <alignment/>
      <protection/>
    </xf>
    <xf numFmtId="3" fontId="11" fillId="0" borderId="50" xfId="60" applyNumberFormat="1" applyFont="1" applyBorder="1">
      <alignment/>
      <protection/>
    </xf>
    <xf numFmtId="3" fontId="22" fillId="0" borderId="50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22" fillId="0" borderId="32" xfId="60" applyNumberFormat="1" applyFont="1" applyBorder="1">
      <alignment/>
      <protection/>
    </xf>
    <xf numFmtId="3" fontId="11" fillId="0" borderId="32" xfId="60" applyNumberFormat="1" applyFont="1" applyBorder="1" applyAlignment="1">
      <alignment horizontal="right"/>
      <protection/>
    </xf>
    <xf numFmtId="3" fontId="11" fillId="0" borderId="31" xfId="60" applyNumberFormat="1" applyFont="1" applyBorder="1" applyAlignment="1">
      <alignment horizontal="right"/>
      <protection/>
    </xf>
    <xf numFmtId="3" fontId="10" fillId="0" borderId="56" xfId="60" applyNumberFormat="1" applyFont="1" applyBorder="1" applyAlignment="1">
      <alignment horizontal="right"/>
      <protection/>
    </xf>
    <xf numFmtId="168" fontId="4" fillId="0" borderId="0" xfId="0" applyNumberFormat="1" applyFont="1" applyAlignment="1">
      <alignment/>
    </xf>
    <xf numFmtId="168" fontId="4" fillId="0" borderId="57" xfId="0" applyNumberFormat="1" applyFont="1" applyBorder="1" applyAlignment="1">
      <alignment/>
    </xf>
    <xf numFmtId="168" fontId="4" fillId="0" borderId="58" xfId="0" applyNumberFormat="1" applyFont="1" applyBorder="1" applyAlignment="1">
      <alignment/>
    </xf>
    <xf numFmtId="168" fontId="4" fillId="0" borderId="59" xfId="0" applyNumberFormat="1" applyFont="1" applyBorder="1" applyAlignment="1">
      <alignment/>
    </xf>
    <xf numFmtId="168" fontId="7" fillId="0" borderId="27" xfId="42" applyNumberFormat="1" applyFont="1" applyBorder="1" applyAlignment="1">
      <alignment/>
    </xf>
    <xf numFmtId="0" fontId="11" fillId="0" borderId="60" xfId="61" applyFont="1" applyBorder="1">
      <alignment/>
      <protection/>
    </xf>
    <xf numFmtId="168" fontId="4" fillId="0" borderId="52" xfId="0" applyNumberFormat="1" applyFont="1" applyBorder="1" applyAlignment="1">
      <alignment/>
    </xf>
    <xf numFmtId="168" fontId="4" fillId="0" borderId="32" xfId="0" applyNumberFormat="1" applyFont="1" applyBorder="1" applyAlignment="1">
      <alignment/>
    </xf>
    <xf numFmtId="168" fontId="4" fillId="0" borderId="61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48" xfId="0" applyNumberFormat="1" applyFont="1" applyBorder="1" applyAlignment="1">
      <alignment/>
    </xf>
    <xf numFmtId="168" fontId="4" fillId="0" borderId="62" xfId="0" applyNumberFormat="1" applyFont="1" applyBorder="1" applyAlignment="1">
      <alignment/>
    </xf>
    <xf numFmtId="168" fontId="4" fillId="0" borderId="63" xfId="0" applyNumberFormat="1" applyFont="1" applyBorder="1" applyAlignment="1">
      <alignment/>
    </xf>
    <xf numFmtId="168" fontId="4" fillId="0" borderId="64" xfId="0" applyNumberFormat="1" applyFont="1" applyBorder="1" applyAlignment="1">
      <alignment horizontal="right"/>
    </xf>
    <xf numFmtId="168" fontId="4" fillId="0" borderId="30" xfId="42" applyNumberFormat="1" applyFont="1" applyBorder="1" applyAlignment="1">
      <alignment/>
    </xf>
    <xf numFmtId="168" fontId="4" fillId="0" borderId="40" xfId="42" applyNumberFormat="1" applyFont="1" applyBorder="1" applyAlignment="1">
      <alignment/>
    </xf>
    <xf numFmtId="168" fontId="4" fillId="0" borderId="48" xfId="42" applyNumberFormat="1" applyFont="1" applyBorder="1" applyAlignment="1">
      <alignment/>
    </xf>
    <xf numFmtId="168" fontId="4" fillId="0" borderId="65" xfId="42" applyNumberFormat="1" applyFont="1" applyBorder="1" applyAlignment="1">
      <alignment/>
    </xf>
    <xf numFmtId="168" fontId="7" fillId="0" borderId="41" xfId="42" applyNumberFormat="1" applyFont="1" applyBorder="1" applyAlignment="1">
      <alignment/>
    </xf>
    <xf numFmtId="168" fontId="4" fillId="0" borderId="62" xfId="42" applyNumberFormat="1" applyFont="1" applyBorder="1" applyAlignment="1">
      <alignment/>
    </xf>
    <xf numFmtId="168" fontId="4" fillId="0" borderId="63" xfId="42" applyNumberFormat="1" applyFont="1" applyBorder="1" applyAlignment="1">
      <alignment/>
    </xf>
    <xf numFmtId="168" fontId="4" fillId="0" borderId="64" xfId="42" applyNumberFormat="1" applyFont="1" applyBorder="1" applyAlignment="1">
      <alignment/>
    </xf>
    <xf numFmtId="168" fontId="7" fillId="0" borderId="54" xfId="42" applyNumberFormat="1" applyFont="1" applyBorder="1" applyAlignment="1">
      <alignment/>
    </xf>
    <xf numFmtId="0" fontId="11" fillId="0" borderId="66" xfId="60" applyFont="1" applyBorder="1" applyAlignment="1">
      <alignment horizontal="left" wrapText="1"/>
      <protection/>
    </xf>
    <xf numFmtId="168" fontId="10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68" fontId="17" fillId="0" borderId="0" xfId="42" applyNumberFormat="1" applyFont="1" applyAlignment="1">
      <alignment/>
    </xf>
    <xf numFmtId="0" fontId="12" fillId="0" borderId="0" xfId="0" applyFont="1" applyAlignment="1" quotePrefix="1">
      <alignment/>
    </xf>
    <xf numFmtId="168" fontId="12" fillId="0" borderId="0" xfId="42" applyNumberFormat="1" applyFont="1" applyAlignment="1">
      <alignment/>
    </xf>
    <xf numFmtId="168" fontId="6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12" fillId="0" borderId="0" xfId="42" applyNumberFormat="1" applyFont="1" applyBorder="1" applyAlignment="1">
      <alignment/>
    </xf>
    <xf numFmtId="168" fontId="12" fillId="0" borderId="0" xfId="42" applyNumberFormat="1" applyFont="1" applyAlignment="1">
      <alignment horizontal="right"/>
    </xf>
    <xf numFmtId="169" fontId="12" fillId="0" borderId="0" xfId="42" applyNumberFormat="1" applyFont="1" applyAlignment="1">
      <alignment/>
    </xf>
    <xf numFmtId="168" fontId="12" fillId="0" borderId="67" xfId="42" applyNumberFormat="1" applyFont="1" applyBorder="1" applyAlignment="1">
      <alignment/>
    </xf>
    <xf numFmtId="168" fontId="12" fillId="0" borderId="68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69" xfId="42" applyNumberFormat="1" applyFont="1" applyBorder="1" applyAlignment="1">
      <alignment/>
    </xf>
    <xf numFmtId="168" fontId="12" fillId="0" borderId="43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70" xfId="42" applyNumberFormat="1" applyFont="1" applyBorder="1" applyAlignment="1">
      <alignment/>
    </xf>
    <xf numFmtId="168" fontId="12" fillId="0" borderId="29" xfId="42" applyNumberFormat="1" applyFont="1" applyFill="1" applyBorder="1" applyAlignment="1">
      <alignment/>
    </xf>
    <xf numFmtId="168" fontId="12" fillId="0" borderId="42" xfId="42" applyNumberFormat="1" applyFont="1" applyFill="1" applyBorder="1" applyAlignment="1">
      <alignment/>
    </xf>
    <xf numFmtId="168" fontId="29" fillId="0" borderId="42" xfId="42" applyNumberFormat="1" applyFont="1" applyFill="1" applyBorder="1" applyAlignment="1">
      <alignment/>
    </xf>
    <xf numFmtId="168" fontId="29" fillId="0" borderId="29" xfId="42" applyNumberFormat="1" applyFont="1" applyFill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71" xfId="42" applyNumberFormat="1" applyFont="1" applyBorder="1" applyAlignment="1">
      <alignment/>
    </xf>
    <xf numFmtId="168" fontId="12" fillId="0" borderId="72" xfId="42" applyNumberFormat="1" applyFont="1" applyBorder="1" applyAlignment="1">
      <alignment/>
    </xf>
    <xf numFmtId="168" fontId="12" fillId="0" borderId="73" xfId="42" applyNumberFormat="1" applyFont="1" applyBorder="1" applyAlignment="1">
      <alignment/>
    </xf>
    <xf numFmtId="168" fontId="12" fillId="0" borderId="56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74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75" xfId="42" applyNumberFormat="1" applyFont="1" applyBorder="1" applyAlignment="1">
      <alignment/>
    </xf>
    <xf numFmtId="168" fontId="12" fillId="0" borderId="76" xfId="42" applyNumberFormat="1" applyFont="1" applyBorder="1" applyAlignment="1">
      <alignment/>
    </xf>
    <xf numFmtId="168" fontId="6" fillId="0" borderId="76" xfId="42" applyNumberFormat="1" applyFont="1" applyBorder="1" applyAlignment="1">
      <alignment/>
    </xf>
    <xf numFmtId="168" fontId="6" fillId="0" borderId="75" xfId="42" applyNumberFormat="1" applyFont="1" applyBorder="1" applyAlignment="1">
      <alignment/>
    </xf>
    <xf numFmtId="168" fontId="6" fillId="0" borderId="77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3" fontId="12" fillId="0" borderId="46" xfId="61" applyNumberFormat="1" applyFont="1" applyBorder="1" applyAlignment="1">
      <alignment horizontal="center" vertical="center"/>
      <protection/>
    </xf>
    <xf numFmtId="0" fontId="0" fillId="0" borderId="46" xfId="0" applyBorder="1" applyAlignment="1" quotePrefix="1">
      <alignment horizontal="left" wrapText="1"/>
    </xf>
    <xf numFmtId="3" fontId="12" fillId="0" borderId="54" xfId="61" applyNumberFormat="1" applyFont="1" applyBorder="1" applyAlignment="1">
      <alignment horizontal="center" vertical="center"/>
      <protection/>
    </xf>
    <xf numFmtId="0" fontId="0" fillId="0" borderId="27" xfId="0" applyBorder="1" applyAlignment="1" quotePrefix="1">
      <alignment horizontal="left" wrapText="1"/>
    </xf>
    <xf numFmtId="0" fontId="6" fillId="0" borderId="54" xfId="6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5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6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78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/>
    </xf>
    <xf numFmtId="3" fontId="35" fillId="0" borderId="30" xfId="0" applyNumberFormat="1" applyFont="1" applyBorder="1" applyAlignment="1">
      <alignment/>
    </xf>
    <xf numFmtId="179" fontId="35" fillId="0" borderId="30" xfId="0" applyNumberFormat="1" applyFont="1" applyBorder="1" applyAlignment="1">
      <alignment/>
    </xf>
    <xf numFmtId="0" fontId="35" fillId="0" borderId="30" xfId="0" applyFont="1" applyBorder="1" applyAlignment="1">
      <alignment horizontal="left"/>
    </xf>
    <xf numFmtId="179" fontId="0" fillId="0" borderId="30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left" wrapText="1"/>
    </xf>
    <xf numFmtId="0" fontId="3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58" applyFont="1" applyAlignment="1">
      <alignment horizontal="center"/>
      <protection/>
    </xf>
    <xf numFmtId="0" fontId="21" fillId="0" borderId="0" xfId="58" applyFont="1" applyAlignment="1">
      <alignment/>
      <protection/>
    </xf>
    <xf numFmtId="0" fontId="18" fillId="0" borderId="0" xfId="58" applyFont="1" applyAlignment="1">
      <alignment horizontal="center"/>
      <protection/>
    </xf>
    <xf numFmtId="0" fontId="18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49" fontId="11" fillId="0" borderId="0" xfId="60" applyNumberFormat="1" applyFont="1" applyAlignment="1">
      <alignment vertical="center"/>
      <protection/>
    </xf>
    <xf numFmtId="3" fontId="35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38" fillId="0" borderId="0" xfId="0" applyFont="1" applyBorder="1" applyAlignment="1">
      <alignment/>
    </xf>
    <xf numFmtId="3" fontId="35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0" fontId="15" fillId="0" borderId="0" xfId="60" applyFont="1" applyBorder="1" applyAlignment="1">
      <alignment horizontal="left" wrapText="1"/>
      <protection/>
    </xf>
    <xf numFmtId="0" fontId="38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58" applyFont="1" applyAlignment="1">
      <alignment horizontal="left" wrapText="1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21" fillId="0" borderId="0" xfId="0" applyFont="1" applyAlignment="1">
      <alignment horizontal="left"/>
    </xf>
    <xf numFmtId="0" fontId="6" fillId="0" borderId="0" xfId="58" applyFont="1" applyAlignment="1">
      <alignment horizontal="center"/>
      <protection/>
    </xf>
    <xf numFmtId="0" fontId="18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36" xfId="58" applyFont="1" applyBorder="1" applyAlignment="1">
      <alignment horizontal="center" vertical="center"/>
      <protection/>
    </xf>
    <xf numFmtId="0" fontId="6" fillId="0" borderId="5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79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80" xfId="58" applyFont="1" applyBorder="1" applyAlignment="1">
      <alignment horizontal="center" vertical="center"/>
      <protection/>
    </xf>
    <xf numFmtId="0" fontId="10" fillId="0" borderId="0" xfId="58" applyFont="1" applyAlignment="1">
      <alignment horizontal="center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4" fillId="0" borderId="15" xfId="58" applyFont="1" applyBorder="1" applyAlignment="1">
      <alignment horizontal="center" vertical="center" textRotation="255"/>
      <protection/>
    </xf>
    <xf numFmtId="0" fontId="11" fillId="0" borderId="51" xfId="60" applyFont="1" applyBorder="1" applyAlignment="1">
      <alignment horizontal="center" vertical="center" wrapText="1"/>
      <protection/>
    </xf>
    <xf numFmtId="0" fontId="11" fillId="0" borderId="79" xfId="60" applyFont="1" applyBorder="1" applyAlignment="1">
      <alignment horizontal="center" vertical="center" wrapText="1"/>
      <protection/>
    </xf>
    <xf numFmtId="0" fontId="11" fillId="0" borderId="80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45" xfId="42" applyNumberFormat="1" applyFont="1" applyBorder="1" applyAlignment="1">
      <alignment horizontal="center" vertical="center"/>
    </xf>
    <xf numFmtId="168" fontId="23" fillId="0" borderId="40" xfId="42" applyNumberFormat="1" applyFont="1" applyBorder="1" applyAlignment="1">
      <alignment horizontal="center" vertical="center"/>
    </xf>
    <xf numFmtId="168" fontId="23" fillId="0" borderId="10" xfId="42" applyNumberFormat="1" applyFont="1" applyBorder="1" applyAlignment="1">
      <alignment horizontal="center" vertical="center"/>
    </xf>
    <xf numFmtId="168" fontId="23" fillId="0" borderId="36" xfId="42" applyNumberFormat="1" applyFont="1" applyBorder="1" applyAlignment="1">
      <alignment horizontal="center" vertical="center"/>
    </xf>
    <xf numFmtId="168" fontId="23" fillId="0" borderId="51" xfId="42" applyNumberFormat="1" applyFont="1" applyBorder="1" applyAlignment="1">
      <alignment horizontal="center" vertical="center"/>
    </xf>
    <xf numFmtId="168" fontId="23" fillId="0" borderId="14" xfId="42" applyNumberFormat="1" applyFont="1" applyBorder="1" applyAlignment="1">
      <alignment horizontal="center" vertical="center"/>
    </xf>
    <xf numFmtId="168" fontId="23" fillId="0" borderId="16" xfId="42" applyNumberFormat="1" applyFont="1" applyBorder="1" applyAlignment="1">
      <alignment horizontal="center" vertical="center"/>
    </xf>
    <xf numFmtId="168" fontId="23" fillId="0" borderId="80" xfId="42" applyNumberFormat="1" applyFont="1" applyBorder="1" applyAlignment="1">
      <alignment horizontal="center" vertical="center"/>
    </xf>
    <xf numFmtId="0" fontId="10" fillId="0" borderId="0" xfId="58" applyFont="1" applyAlignment="1">
      <alignment horizontal="center" wrapText="1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7" fillId="0" borderId="0" xfId="58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51" xfId="60" applyFont="1" applyBorder="1" applyAlignment="1">
      <alignment horizontal="center" vertical="center" wrapText="1"/>
      <protection/>
    </xf>
    <xf numFmtId="0" fontId="11" fillId="0" borderId="79" xfId="60" applyFont="1" applyBorder="1" applyAlignment="1">
      <alignment horizontal="center" vertical="center" wrapText="1"/>
      <protection/>
    </xf>
    <xf numFmtId="0" fontId="11" fillId="0" borderId="80" xfId="60" applyFont="1" applyBorder="1" applyAlignment="1">
      <alignment horizontal="center" vertical="center" wrapText="1"/>
      <protection/>
    </xf>
    <xf numFmtId="0" fontId="11" fillId="0" borderId="32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11" fillId="0" borderId="22" xfId="58" applyFont="1" applyBorder="1" applyAlignment="1">
      <alignment horizontal="center" vertical="center" textRotation="180"/>
      <protection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45" xfId="58" applyFont="1" applyBorder="1" applyAlignment="1">
      <alignment horizontal="center" vertical="center" wrapText="1"/>
      <protection/>
    </xf>
    <xf numFmtId="0" fontId="11" fillId="0" borderId="40" xfId="58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44" fontId="11" fillId="0" borderId="34" xfId="65" applyFont="1" applyBorder="1" applyAlignment="1">
      <alignment horizontal="center" vertical="center"/>
    </xf>
    <xf numFmtId="44" fontId="11" fillId="0" borderId="45" xfId="65" applyFont="1" applyBorder="1" applyAlignment="1">
      <alignment horizontal="center" vertical="center"/>
    </xf>
    <xf numFmtId="44" fontId="11" fillId="0" borderId="40" xfId="65" applyFont="1" applyBorder="1" applyAlignment="1">
      <alignment horizontal="center" vertical="center"/>
    </xf>
    <xf numFmtId="0" fontId="7" fillId="0" borderId="14" xfId="58" applyFont="1" applyBorder="1" applyAlignment="1">
      <alignment horizontal="center"/>
      <protection/>
    </xf>
    <xf numFmtId="0" fontId="7" fillId="0" borderId="80" xfId="58" applyFont="1" applyBorder="1" applyAlignment="1">
      <alignment horizontal="center"/>
      <protection/>
    </xf>
    <xf numFmtId="0" fontId="11" fillId="0" borderId="16" xfId="61" applyFont="1" applyBorder="1" applyAlignment="1">
      <alignment horizontal="right"/>
      <protection/>
    </xf>
    <xf numFmtId="0" fontId="7" fillId="0" borderId="34" xfId="58" applyFont="1" applyBorder="1" applyAlignment="1">
      <alignment horizontal="center"/>
      <protection/>
    </xf>
    <xf numFmtId="0" fontId="7" fillId="0" borderId="40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45" xfId="58" applyFont="1" applyBorder="1" applyAlignment="1">
      <alignment horizontal="center"/>
      <protection/>
    </xf>
    <xf numFmtId="0" fontId="11" fillId="0" borderId="40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 vertical="center"/>
      <protection/>
    </xf>
    <xf numFmtId="0" fontId="11" fillId="0" borderId="45" xfId="58" applyFont="1" applyBorder="1" applyAlignment="1">
      <alignment horizontal="center" vertical="center"/>
      <protection/>
    </xf>
    <xf numFmtId="0" fontId="11" fillId="0" borderId="40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79" xfId="58" applyFont="1" applyBorder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" fillId="0" borderId="0" xfId="61" applyFont="1" applyAlignment="1">
      <alignment horizontal="left"/>
      <protection/>
    </xf>
    <xf numFmtId="0" fontId="26" fillId="0" borderId="11" xfId="58" applyFont="1" applyBorder="1" applyAlignment="1">
      <alignment horizontal="center" textRotation="255"/>
      <protection/>
    </xf>
    <xf numFmtId="0" fontId="26" fillId="0" borderId="13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168" fontId="23" fillId="0" borderId="12" xfId="42" applyNumberFormat="1" applyFont="1" applyBorder="1" applyAlignment="1">
      <alignment horizontal="center" vertical="center"/>
    </xf>
    <xf numFmtId="168" fontId="23" fillId="0" borderId="0" xfId="42" applyNumberFormat="1" applyFont="1" applyBorder="1" applyAlignment="1">
      <alignment horizontal="center" vertical="center"/>
    </xf>
    <xf numFmtId="168" fontId="23" fillId="0" borderId="79" xfId="42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11" fillId="0" borderId="11" xfId="60" applyFont="1" applyBorder="1" applyAlignment="1">
      <alignment horizontal="center" vertical="center" textRotation="180"/>
      <protection/>
    </xf>
    <xf numFmtId="0" fontId="11" fillId="0" borderId="13" xfId="60" applyFont="1" applyBorder="1" applyAlignment="1">
      <alignment horizontal="center" vertical="center" textRotation="180"/>
      <protection/>
    </xf>
    <xf numFmtId="0" fontId="11" fillId="0" borderId="15" xfId="60" applyFont="1" applyBorder="1" applyAlignment="1">
      <alignment horizontal="center" vertical="center" textRotation="180"/>
      <protection/>
    </xf>
    <xf numFmtId="0" fontId="0" fillId="0" borderId="0" xfId="0" applyFont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68" fontId="4" fillId="0" borderId="87" xfId="40" applyNumberFormat="1" applyFont="1" applyBorder="1" applyAlignment="1">
      <alignment horizontal="center" vertical="center"/>
    </xf>
    <xf numFmtId="168" fontId="4" fillId="0" borderId="88" xfId="40" applyNumberFormat="1" applyFont="1" applyBorder="1" applyAlignment="1">
      <alignment horizontal="center" vertical="center"/>
    </xf>
    <xf numFmtId="0" fontId="4" fillId="0" borderId="89" xfId="58" applyFont="1" applyBorder="1" applyAlignment="1">
      <alignment horizontal="center" vertical="center"/>
      <protection/>
    </xf>
    <xf numFmtId="0" fontId="4" fillId="0" borderId="88" xfId="58" applyFont="1" applyBorder="1" applyAlignment="1">
      <alignment horizontal="center" vertical="center"/>
      <protection/>
    </xf>
    <xf numFmtId="0" fontId="4" fillId="0" borderId="90" xfId="58" applyFont="1" applyBorder="1" applyAlignment="1">
      <alignment horizontal="center" vertical="center"/>
      <protection/>
    </xf>
    <xf numFmtId="168" fontId="4" fillId="0" borderId="76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91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92" xfId="58" applyFont="1" applyBorder="1" applyAlignment="1">
      <alignment horizontal="center"/>
      <protection/>
    </xf>
    <xf numFmtId="0" fontId="4" fillId="0" borderId="93" xfId="58" applyFont="1" applyBorder="1" applyAlignment="1">
      <alignment horizontal="center"/>
      <protection/>
    </xf>
    <xf numFmtId="0" fontId="4" fillId="0" borderId="76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12" fillId="0" borderId="94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9" xfId="40" applyNumberFormat="1" applyFont="1" applyBorder="1" applyAlignment="1">
      <alignment horizontal="center" vertical="center"/>
    </xf>
    <xf numFmtId="168" fontId="12" fillId="0" borderId="100" xfId="40" applyNumberFormat="1" applyFont="1" applyBorder="1" applyAlignment="1">
      <alignment horizontal="center" vertical="center"/>
    </xf>
    <xf numFmtId="168" fontId="12" fillId="0" borderId="101" xfId="40" applyNumberFormat="1" applyFont="1" applyBorder="1" applyAlignment="1">
      <alignment horizontal="center" vertical="center"/>
    </xf>
    <xf numFmtId="168" fontId="12" fillId="0" borderId="102" xfId="40" applyNumberFormat="1" applyFont="1" applyBorder="1" applyAlignment="1">
      <alignment horizontal="center" vertical="center"/>
    </xf>
    <xf numFmtId="168" fontId="12" fillId="0" borderId="103" xfId="40" applyNumberFormat="1" applyFont="1" applyBorder="1" applyAlignment="1">
      <alignment horizontal="center" vertical="center"/>
    </xf>
    <xf numFmtId="168" fontId="12" fillId="0" borderId="104" xfId="40" applyNumberFormat="1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2" fontId="12" fillId="0" borderId="99" xfId="0" applyNumberFormat="1" applyFont="1" applyBorder="1" applyAlignment="1">
      <alignment horizontal="center" vertical="center" wrapText="1"/>
    </xf>
    <xf numFmtId="2" fontId="12" fillId="0" borderId="100" xfId="0" applyNumberFormat="1" applyFont="1" applyBorder="1" applyAlignment="1">
      <alignment horizontal="center" vertical="center" wrapText="1"/>
    </xf>
    <xf numFmtId="2" fontId="12" fillId="0" borderId="101" xfId="0" applyNumberFormat="1" applyFont="1" applyBorder="1" applyAlignment="1">
      <alignment horizontal="center" vertical="center" wrapText="1"/>
    </xf>
    <xf numFmtId="168" fontId="12" fillId="0" borderId="106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168" fontId="12" fillId="0" borderId="10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168" fontId="12" fillId="0" borderId="76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72" xfId="40" applyNumberFormat="1" applyFont="1" applyBorder="1" applyAlignment="1">
      <alignment horizontal="center" vertical="center"/>
    </xf>
    <xf numFmtId="168" fontId="18" fillId="0" borderId="109" xfId="40" applyNumberFormat="1" applyFont="1" applyBorder="1" applyAlignment="1">
      <alignment horizontal="center" vertical="center"/>
    </xf>
    <xf numFmtId="168" fontId="18" fillId="0" borderId="110" xfId="40" applyNumberFormat="1" applyFont="1" applyBorder="1" applyAlignment="1">
      <alignment horizontal="center" vertical="center"/>
    </xf>
    <xf numFmtId="168" fontId="18" fillId="0" borderId="111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112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12" fillId="0" borderId="1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15" xfId="0" applyFont="1" applyBorder="1" applyAlignment="1">
      <alignment horizontal="left" vertical="center"/>
    </xf>
    <xf numFmtId="0" fontId="12" fillId="0" borderId="116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1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32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7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168" fontId="1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0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/>
    </xf>
    <xf numFmtId="0" fontId="12" fillId="0" borderId="1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1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80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1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80" xfId="40" applyNumberFormat="1" applyFont="1" applyBorder="1" applyAlignment="1">
      <alignment horizontal="center"/>
    </xf>
    <xf numFmtId="168" fontId="12" fillId="0" borderId="120" xfId="40" applyNumberFormat="1" applyFont="1" applyBorder="1" applyAlignment="1">
      <alignment horizontal="center"/>
    </xf>
    <xf numFmtId="168" fontId="12" fillId="0" borderId="121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4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9" fillId="0" borderId="11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30" xfId="0" applyBorder="1" applyAlignment="1">
      <alignment vertical="center"/>
    </xf>
    <xf numFmtId="0" fontId="35" fillId="0" borderId="0" xfId="0" applyFont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38:U63"/>
  <sheetViews>
    <sheetView tabSelected="1" zoomScalePageLayoutView="0" workbookViewId="0" topLeftCell="C19">
      <selection activeCell="C19" sqref="C19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53"/>
      <c r="J39" s="2"/>
      <c r="L39" s="512" t="s">
        <v>4</v>
      </c>
      <c r="M39" s="512"/>
      <c r="N39" s="512"/>
      <c r="O39" s="512"/>
      <c r="P39" s="512"/>
      <c r="Q39" s="512"/>
      <c r="R39" s="512"/>
      <c r="S39" s="512"/>
      <c r="T39" s="512"/>
      <c r="U39" s="53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2"/>
      <c r="J41" s="2"/>
      <c r="L41" s="512" t="s">
        <v>484</v>
      </c>
      <c r="M41" s="512"/>
      <c r="N41" s="512"/>
      <c r="O41" s="512"/>
      <c r="P41" s="512"/>
      <c r="Q41" s="512"/>
      <c r="R41" s="512"/>
      <c r="S41" s="512"/>
      <c r="T41" s="512"/>
      <c r="U41" s="53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2"/>
      <c r="J43" s="2"/>
      <c r="L43" s="512" t="s">
        <v>447</v>
      </c>
      <c r="M43" s="512"/>
      <c r="N43" s="512"/>
      <c r="O43" s="512"/>
      <c r="P43" s="512"/>
      <c r="Q43" s="512"/>
      <c r="R43" s="512"/>
      <c r="S43" s="512"/>
      <c r="T43" s="512"/>
      <c r="U43" s="53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513" t="s">
        <v>624</v>
      </c>
      <c r="M45" s="513"/>
      <c r="N45" s="513"/>
      <c r="O45" s="513"/>
      <c r="P45" s="513"/>
      <c r="Q45" s="513"/>
      <c r="R45" s="513"/>
      <c r="S45" s="513"/>
      <c r="T45" s="513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54"/>
      <c r="M46" s="247"/>
      <c r="N46" s="18"/>
      <c r="O46" s="154"/>
    </row>
    <row r="47" spans="1:10" ht="27.75">
      <c r="A47" s="54"/>
      <c r="B47" s="55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 objects="1" scenarios="1" selectLockedCells="1" selectUnlockedCells="1"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L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73.75390625" style="0" customWidth="1"/>
    <col min="3" max="3" width="12.375" style="0" customWidth="1"/>
  </cols>
  <sheetData>
    <row r="1" spans="2:4" ht="15.75">
      <c r="B1" s="649"/>
      <c r="C1" s="649"/>
      <c r="D1" s="21"/>
    </row>
    <row r="2" spans="2:4" ht="15.75">
      <c r="B2" s="21"/>
      <c r="C2" s="21"/>
      <c r="D2" s="21"/>
    </row>
    <row r="3" spans="1:4" ht="15.75">
      <c r="A3" s="515" t="s">
        <v>587</v>
      </c>
      <c r="B3" s="515"/>
      <c r="C3" s="515"/>
      <c r="D3" s="21"/>
    </row>
    <row r="4" spans="2:4" ht="15.75">
      <c r="B4" s="619"/>
      <c r="C4" s="619"/>
      <c r="D4" s="21"/>
    </row>
    <row r="5" spans="2:4" ht="15.75">
      <c r="B5" s="618"/>
      <c r="C5" s="617"/>
      <c r="D5" s="21"/>
    </row>
    <row r="6" spans="2:12" ht="15.75">
      <c r="B6" s="619" t="s">
        <v>41</v>
      </c>
      <c r="C6" s="659"/>
      <c r="D6" s="21"/>
      <c r="L6" s="254"/>
    </row>
    <row r="7" spans="2:4" ht="15.75">
      <c r="B7" s="619" t="s">
        <v>474</v>
      </c>
      <c r="C7" s="659"/>
      <c r="D7" s="21"/>
    </row>
    <row r="8" spans="2:4" ht="15.75">
      <c r="B8" s="619" t="s">
        <v>480</v>
      </c>
      <c r="C8" s="659"/>
      <c r="D8" s="21"/>
    </row>
    <row r="9" spans="2:4" ht="16.5" thickBot="1">
      <c r="B9" s="21"/>
      <c r="C9" s="21"/>
      <c r="D9" s="21"/>
    </row>
    <row r="10" spans="1:4" ht="16.5" thickTop="1">
      <c r="A10" s="650" t="s">
        <v>502</v>
      </c>
      <c r="B10" s="653" t="s">
        <v>0</v>
      </c>
      <c r="C10" s="656" t="s">
        <v>505</v>
      </c>
      <c r="D10" s="21"/>
    </row>
    <row r="11" spans="1:4" ht="15.75">
      <c r="A11" s="651"/>
      <c r="B11" s="654"/>
      <c r="C11" s="657"/>
      <c r="D11" s="21"/>
    </row>
    <row r="12" spans="1:4" ht="21" customHeight="1" thickBot="1">
      <c r="A12" s="652"/>
      <c r="B12" s="655"/>
      <c r="C12" s="658"/>
      <c r="D12" s="21"/>
    </row>
    <row r="13" spans="2:4" ht="15.75">
      <c r="B13" s="21"/>
      <c r="C13" s="21"/>
      <c r="D13" s="21"/>
    </row>
    <row r="14" spans="1:4" ht="15.75">
      <c r="A14" t="s">
        <v>44</v>
      </c>
      <c r="B14" s="286" t="s">
        <v>544</v>
      </c>
      <c r="C14" s="21"/>
      <c r="D14" s="21"/>
    </row>
    <row r="15" spans="1:4" ht="15.75">
      <c r="A15" s="306"/>
      <c r="B15" s="21"/>
      <c r="C15" s="21"/>
      <c r="D15" s="21"/>
    </row>
    <row r="16" spans="1:4" ht="15.75">
      <c r="A16" s="306" t="s">
        <v>545</v>
      </c>
      <c r="B16" s="21" t="s">
        <v>543</v>
      </c>
      <c r="C16" s="21"/>
      <c r="D16" s="287"/>
    </row>
    <row r="17" spans="1:4" ht="36.75" customHeight="1">
      <c r="A17" s="306" t="s">
        <v>515</v>
      </c>
      <c r="B17" s="100" t="s">
        <v>557</v>
      </c>
      <c r="C17" s="322">
        <v>7874016</v>
      </c>
      <c r="D17" s="287"/>
    </row>
    <row r="18" spans="1:4" ht="18.75" customHeight="1">
      <c r="A18" s="306" t="s">
        <v>516</v>
      </c>
      <c r="B18" s="21" t="s">
        <v>477</v>
      </c>
      <c r="C18" s="323">
        <v>2125984</v>
      </c>
      <c r="D18" s="21"/>
    </row>
    <row r="19" spans="1:4" ht="18.75" customHeight="1">
      <c r="A19" s="306" t="s">
        <v>586</v>
      </c>
      <c r="B19" s="18" t="s">
        <v>475</v>
      </c>
      <c r="C19" s="19">
        <f>SUM(C17:C18)</f>
        <v>10000000</v>
      </c>
      <c r="D19" s="21"/>
    </row>
    <row r="20" spans="1:4" ht="15.75">
      <c r="A20" s="306"/>
      <c r="B20" s="21"/>
      <c r="C20" s="21"/>
      <c r="D20" s="21"/>
    </row>
    <row r="21" spans="1:4" ht="15.75">
      <c r="A21" s="306" t="s">
        <v>27</v>
      </c>
      <c r="B21" s="286" t="s">
        <v>585</v>
      </c>
      <c r="C21" s="21"/>
      <c r="D21" s="21"/>
    </row>
    <row r="22" spans="1:4" ht="15.75">
      <c r="A22" s="306" t="s">
        <v>553</v>
      </c>
      <c r="B22" s="416" t="s">
        <v>584</v>
      </c>
      <c r="C22" s="323">
        <v>120000</v>
      </c>
      <c r="D22" s="21"/>
    </row>
    <row r="23" spans="1:4" ht="15.75">
      <c r="A23" s="306" t="s">
        <v>583</v>
      </c>
      <c r="B23" s="286" t="s">
        <v>2</v>
      </c>
      <c r="C23" s="323">
        <f>C22</f>
        <v>120000</v>
      </c>
      <c r="D23" s="21"/>
    </row>
    <row r="24" spans="1:4" ht="15.75">
      <c r="A24" s="306"/>
      <c r="B24" s="21"/>
      <c r="C24" s="21"/>
      <c r="D24" s="21"/>
    </row>
    <row r="25" spans="1:4" s="255" customFormat="1" ht="15.75">
      <c r="A25" s="307"/>
      <c r="B25" s="18" t="s">
        <v>476</v>
      </c>
      <c r="C25" s="19">
        <f>C19+C23</f>
        <v>10120000</v>
      </c>
      <c r="D25" s="18"/>
    </row>
    <row r="26" spans="2:4" ht="15.75">
      <c r="B26" s="21"/>
      <c r="C26" s="21"/>
      <c r="D26" s="21"/>
    </row>
    <row r="27" spans="2:4" ht="15.75">
      <c r="B27" s="21"/>
      <c r="C27" s="21"/>
      <c r="D27" s="21"/>
    </row>
    <row r="28" spans="2:4" ht="15.75">
      <c r="B28" s="21"/>
      <c r="C28" s="21"/>
      <c r="D28" s="21"/>
    </row>
    <row r="29" spans="2:4" ht="15.75">
      <c r="B29" s="21"/>
      <c r="C29" s="21"/>
      <c r="D29" s="21"/>
    </row>
    <row r="30" spans="2:4" ht="15.75">
      <c r="B30" s="21"/>
      <c r="C30" s="21"/>
      <c r="D30" s="21"/>
    </row>
    <row r="31" spans="2:4" ht="15.75">
      <c r="B31" s="21"/>
      <c r="C31" s="21"/>
      <c r="D31" s="21"/>
    </row>
  </sheetData>
  <sheetProtection password="AF00" sheet="1" objects="1" scenarios="1" selectLockedCells="1" selectUnlockedCells="1"/>
  <mergeCells count="10">
    <mergeCell ref="B1:C1"/>
    <mergeCell ref="B4:C4"/>
    <mergeCell ref="A10:A12"/>
    <mergeCell ref="B10:B12"/>
    <mergeCell ref="C10:C12"/>
    <mergeCell ref="B6:C6"/>
    <mergeCell ref="B7:C7"/>
    <mergeCell ref="B8:C8"/>
    <mergeCell ref="A3:C3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417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514" t="s">
        <v>588</v>
      </c>
      <c r="B1" s="514"/>
      <c r="C1" s="514"/>
    </row>
    <row r="2" spans="1:3" s="126" customFormat="1" ht="15.75">
      <c r="A2" s="519"/>
      <c r="B2" s="519"/>
      <c r="C2" s="519"/>
    </row>
    <row r="3" spans="1:3" s="117" customFormat="1" ht="15">
      <c r="A3" s="662"/>
      <c r="B3" s="662"/>
      <c r="C3" s="662"/>
    </row>
    <row r="4" spans="1:3" s="117" customFormat="1" ht="16.5" customHeight="1">
      <c r="A4" s="662"/>
      <c r="B4" s="617"/>
      <c r="C4" s="617"/>
    </row>
    <row r="5" spans="1:3" ht="15.75">
      <c r="A5" s="532" t="s">
        <v>4</v>
      </c>
      <c r="B5" s="532"/>
      <c r="C5" s="532"/>
    </row>
    <row r="6" spans="1:3" ht="15.75">
      <c r="A6" s="530" t="s">
        <v>292</v>
      </c>
      <c r="B6" s="530"/>
      <c r="C6" s="530"/>
    </row>
    <row r="7" spans="1:3" ht="15.75">
      <c r="A7" s="530" t="s">
        <v>235</v>
      </c>
      <c r="B7" s="530"/>
      <c r="C7" s="530"/>
    </row>
    <row r="8" spans="1:3" ht="15.75">
      <c r="A8" s="530" t="s">
        <v>480</v>
      </c>
      <c r="B8" s="530"/>
      <c r="C8" s="530"/>
    </row>
    <row r="9" ht="16.5" thickBot="1"/>
    <row r="10" spans="1:3" ht="15.75">
      <c r="A10" s="132" t="s">
        <v>42</v>
      </c>
      <c r="B10" s="127"/>
      <c r="C10" s="426" t="s">
        <v>19</v>
      </c>
    </row>
    <row r="11" spans="1:3" ht="15.75">
      <c r="A11" s="128"/>
      <c r="B11" s="129" t="s">
        <v>0</v>
      </c>
      <c r="C11" s="425" t="s">
        <v>10</v>
      </c>
    </row>
    <row r="12" spans="1:4" ht="18" customHeight="1" thickBot="1">
      <c r="A12" s="130" t="s">
        <v>43</v>
      </c>
      <c r="B12" s="133"/>
      <c r="C12" s="424" t="s">
        <v>1</v>
      </c>
      <c r="D12" s="288"/>
    </row>
    <row r="13" spans="2:4" ht="8.25" customHeight="1">
      <c r="B13" s="250"/>
      <c r="C13" s="251"/>
      <c r="D13" s="421"/>
    </row>
    <row r="14" spans="1:3" ht="20.25" customHeight="1">
      <c r="A14" s="661" t="s">
        <v>236</v>
      </c>
      <c r="B14" s="661"/>
      <c r="C14" s="661"/>
    </row>
    <row r="15" spans="1:3" ht="20.25" customHeight="1">
      <c r="A15" s="134" t="s">
        <v>44</v>
      </c>
      <c r="B15" s="135" t="s">
        <v>237</v>
      </c>
      <c r="C15" s="427"/>
    </row>
    <row r="16" spans="1:3" ht="20.25" customHeight="1">
      <c r="A16" s="134"/>
      <c r="B16" s="21" t="s">
        <v>238</v>
      </c>
      <c r="C16" s="427">
        <f>'2.mell - bevétel'!H60</f>
        <v>35274662</v>
      </c>
    </row>
    <row r="17" spans="1:5" ht="20.25" customHeight="1">
      <c r="A17" s="134"/>
      <c r="B17" s="100" t="s">
        <v>239</v>
      </c>
      <c r="C17" s="427">
        <f>'2.mell - bevétel'!H69</f>
        <v>1743315</v>
      </c>
      <c r="D17" s="98"/>
      <c r="E17" s="98"/>
    </row>
    <row r="18" spans="1:3" ht="20.25" customHeight="1">
      <c r="A18" s="134" t="s">
        <v>27</v>
      </c>
      <c r="B18" s="135" t="s">
        <v>240</v>
      </c>
      <c r="C18" s="427">
        <v>7813000</v>
      </c>
    </row>
    <row r="19" spans="1:3" ht="20.25" customHeight="1">
      <c r="A19" s="134" t="s">
        <v>45</v>
      </c>
      <c r="B19" s="135" t="s">
        <v>241</v>
      </c>
      <c r="C19" s="427">
        <v>15503474</v>
      </c>
    </row>
    <row r="20" spans="1:3" ht="20.25" customHeight="1">
      <c r="A20" s="134" t="s">
        <v>105</v>
      </c>
      <c r="B20" s="136" t="s">
        <v>242</v>
      </c>
      <c r="C20" s="427"/>
    </row>
    <row r="21" spans="1:5" ht="36" customHeight="1">
      <c r="A21" s="134"/>
      <c r="B21" s="100" t="s">
        <v>243</v>
      </c>
      <c r="C21" s="427"/>
      <c r="D21" s="100"/>
      <c r="E21" s="100"/>
    </row>
    <row r="22" spans="1:3" ht="20.25" customHeight="1">
      <c r="A22" s="134"/>
      <c r="B22" s="21" t="s">
        <v>244</v>
      </c>
      <c r="C22" s="427"/>
    </row>
    <row r="23" spans="1:3" ht="30" customHeight="1">
      <c r="A23" s="302"/>
      <c r="B23" s="303" t="s">
        <v>245</v>
      </c>
      <c r="C23" s="418">
        <f>SUM(C16:C22)</f>
        <v>60334451</v>
      </c>
    </row>
    <row r="24" spans="1:3" ht="21" customHeight="1">
      <c r="A24" s="131" t="s">
        <v>106</v>
      </c>
      <c r="B24" s="135" t="s">
        <v>246</v>
      </c>
      <c r="C24" s="329">
        <f>'4.mell. - kiadás'!E48</f>
        <v>21342184</v>
      </c>
    </row>
    <row r="25" spans="1:3" ht="21" customHeight="1">
      <c r="A25" s="131" t="s">
        <v>112</v>
      </c>
      <c r="B25" s="135" t="s">
        <v>247</v>
      </c>
      <c r="C25" s="329">
        <f>'4.mell. - kiadás'!F48</f>
        <v>4790355</v>
      </c>
    </row>
    <row r="26" spans="1:3" ht="21" customHeight="1">
      <c r="A26" s="131" t="s">
        <v>248</v>
      </c>
      <c r="B26" s="139" t="s">
        <v>249</v>
      </c>
      <c r="C26" s="329">
        <f>'4.mell. - kiadás'!G48</f>
        <v>29908510</v>
      </c>
    </row>
    <row r="27" spans="1:3" ht="21" customHeight="1">
      <c r="A27" s="131" t="s">
        <v>250</v>
      </c>
      <c r="B27" s="139" t="s">
        <v>251</v>
      </c>
      <c r="C27" s="329">
        <f>'4.mell. - kiadás'!H48</f>
        <v>2911400</v>
      </c>
    </row>
    <row r="28" spans="1:3" ht="21" customHeight="1">
      <c r="A28" s="131" t="s">
        <v>252</v>
      </c>
      <c r="B28" s="139" t="s">
        <v>253</v>
      </c>
      <c r="C28" s="329"/>
    </row>
    <row r="29" spans="1:3" ht="32.25" customHeight="1">
      <c r="A29" s="131"/>
      <c r="B29" s="100" t="s">
        <v>254</v>
      </c>
      <c r="C29" s="428"/>
    </row>
    <row r="30" spans="1:3" ht="15.75">
      <c r="A30" s="131"/>
      <c r="B30" s="140" t="s">
        <v>255</v>
      </c>
      <c r="C30" s="428">
        <f>'4.mell. - kiadás'!I48-4825255-38415438-3288358</f>
        <v>1943800</v>
      </c>
    </row>
    <row r="31" spans="1:5" ht="15.75">
      <c r="A31" s="131"/>
      <c r="B31" s="140" t="s">
        <v>256</v>
      </c>
      <c r="C31" s="417">
        <f>4825255+38415438+3288358</f>
        <v>46529051</v>
      </c>
      <c r="E31" s="101"/>
    </row>
    <row r="32" spans="1:6" ht="33.75" customHeight="1">
      <c r="A32" s="302"/>
      <c r="B32" s="303" t="s">
        <v>257</v>
      </c>
      <c r="C32" s="418">
        <f>SUM(C24:C31)</f>
        <v>107425300</v>
      </c>
      <c r="E32" s="101"/>
      <c r="F32" s="101"/>
    </row>
    <row r="33" spans="1:6" ht="86.25" customHeight="1">
      <c r="A33" s="134"/>
      <c r="B33" s="135"/>
      <c r="C33" s="427"/>
      <c r="E33" s="101"/>
      <c r="F33" s="101"/>
    </row>
    <row r="34" spans="1:3" ht="15.75">
      <c r="A34" s="663">
        <v>2</v>
      </c>
      <c r="B34" s="663"/>
      <c r="C34" s="663"/>
    </row>
    <row r="35" spans="1:3" ht="16.5" thickBot="1">
      <c r="A35" s="248"/>
      <c r="B35" s="248"/>
      <c r="C35" s="248"/>
    </row>
    <row r="36" spans="1:3" ht="15.75">
      <c r="A36" s="132" t="s">
        <v>42</v>
      </c>
      <c r="B36" s="127"/>
      <c r="C36" s="426" t="s">
        <v>19</v>
      </c>
    </row>
    <row r="37" spans="1:3" ht="12.75" customHeight="1">
      <c r="A37" s="128"/>
      <c r="B37" s="129" t="s">
        <v>0</v>
      </c>
      <c r="C37" s="425"/>
    </row>
    <row r="38" spans="1:3" ht="21.75" customHeight="1" thickBot="1">
      <c r="A38" s="130" t="s">
        <v>43</v>
      </c>
      <c r="B38" s="133"/>
      <c r="C38" s="424" t="s">
        <v>10</v>
      </c>
    </row>
    <row r="39" spans="1:3" ht="12" customHeight="1">
      <c r="A39" s="145"/>
      <c r="B39" s="249"/>
      <c r="C39" s="421"/>
    </row>
    <row r="40" spans="1:3" ht="21" customHeight="1">
      <c r="A40" s="664" t="s">
        <v>258</v>
      </c>
      <c r="B40" s="664"/>
      <c r="C40" s="664"/>
    </row>
    <row r="41" spans="1:2" ht="21" customHeight="1">
      <c r="A41" s="131" t="s">
        <v>259</v>
      </c>
      <c r="B41" s="59" t="s">
        <v>260</v>
      </c>
    </row>
    <row r="42" spans="1:2" ht="21" customHeight="1">
      <c r="A42" s="131" t="s">
        <v>261</v>
      </c>
      <c r="B42" s="59" t="s">
        <v>262</v>
      </c>
    </row>
    <row r="43" spans="1:2" ht="21" customHeight="1">
      <c r="A43" s="131" t="s">
        <v>263</v>
      </c>
      <c r="B43" s="136" t="s">
        <v>264</v>
      </c>
    </row>
    <row r="44" spans="1:3" ht="31.5" customHeight="1">
      <c r="A44" s="131"/>
      <c r="B44" s="112" t="s">
        <v>265</v>
      </c>
      <c r="C44" s="417">
        <v>61800</v>
      </c>
    </row>
    <row r="45" spans="1:2" ht="21" customHeight="1">
      <c r="A45" s="131"/>
      <c r="B45" s="50" t="s">
        <v>266</v>
      </c>
    </row>
    <row r="46" spans="1:5" ht="30" customHeight="1">
      <c r="A46" s="302"/>
      <c r="B46" s="303" t="s">
        <v>267</v>
      </c>
      <c r="C46" s="418">
        <f>SUM(C41:C45)</f>
        <v>61800</v>
      </c>
      <c r="E46" s="101"/>
    </row>
    <row r="47" spans="1:3" ht="21" customHeight="1">
      <c r="A47" s="131" t="s">
        <v>268</v>
      </c>
      <c r="B47" s="59" t="s">
        <v>269</v>
      </c>
      <c r="C47" s="417">
        <f>'4.mell. - kiadás'!K48</f>
        <v>2563397</v>
      </c>
    </row>
    <row r="48" spans="1:3" ht="21" customHeight="1">
      <c r="A48" s="131" t="s">
        <v>270</v>
      </c>
      <c r="B48" s="59" t="s">
        <v>271</v>
      </c>
      <c r="C48" s="417">
        <f>'4.mell. - kiadás'!L48</f>
        <v>10120000</v>
      </c>
    </row>
    <row r="49" spans="1:2" ht="21" customHeight="1">
      <c r="A49" s="131" t="s">
        <v>272</v>
      </c>
      <c r="B49" s="136" t="s">
        <v>273</v>
      </c>
    </row>
    <row r="50" spans="1:3" ht="21" customHeight="1">
      <c r="A50" s="131"/>
      <c r="B50" s="140" t="s">
        <v>274</v>
      </c>
      <c r="C50" s="417">
        <f>'4.mell. - kiadás'!M48</f>
        <v>1200000</v>
      </c>
    </row>
    <row r="51" spans="1:2" ht="21" customHeight="1">
      <c r="A51" s="131"/>
      <c r="B51" s="140" t="s">
        <v>256</v>
      </c>
    </row>
    <row r="52" spans="1:6" s="9" customFormat="1" ht="27.75" customHeight="1" thickBot="1">
      <c r="A52" s="302"/>
      <c r="B52" s="303" t="s">
        <v>275</v>
      </c>
      <c r="C52" s="418">
        <f>SUM(C47:C51)</f>
        <v>13883397</v>
      </c>
      <c r="F52" s="141"/>
    </row>
    <row r="53" spans="1:3" s="9" customFormat="1" ht="24" customHeight="1" thickBot="1">
      <c r="A53" s="142"/>
      <c r="B53" s="143" t="s">
        <v>276</v>
      </c>
      <c r="C53" s="423">
        <f>C23+C46</f>
        <v>60396251</v>
      </c>
    </row>
    <row r="54" spans="1:6" s="9" customFormat="1" ht="22.5" customHeight="1" thickBot="1">
      <c r="A54" s="142"/>
      <c r="B54" s="143" t="s">
        <v>277</v>
      </c>
      <c r="C54" s="423">
        <f>C32+C52</f>
        <v>121308697</v>
      </c>
      <c r="F54" s="141"/>
    </row>
    <row r="55" spans="1:3" s="9" customFormat="1" ht="15.75">
      <c r="A55" s="144"/>
      <c r="B55" s="145"/>
      <c r="C55" s="422"/>
    </row>
    <row r="56" spans="1:3" s="146" customFormat="1" ht="9.75" customHeight="1">
      <c r="A56" s="252"/>
      <c r="B56" s="252"/>
      <c r="C56" s="252"/>
    </row>
    <row r="57" spans="1:3" s="146" customFormat="1" ht="9" customHeight="1">
      <c r="A57" s="145"/>
      <c r="B57" s="152"/>
      <c r="C57" s="421"/>
    </row>
    <row r="58" spans="1:3" ht="20.25" customHeight="1">
      <c r="A58" s="660" t="s">
        <v>278</v>
      </c>
      <c r="B58" s="660"/>
      <c r="C58" s="660"/>
    </row>
    <row r="59" spans="1:3" ht="6.75" customHeight="1">
      <c r="A59" s="147"/>
      <c r="B59" s="147"/>
      <c r="C59" s="147"/>
    </row>
    <row r="60" spans="1:3" ht="20.25" customHeight="1">
      <c r="A60" s="137" t="s">
        <v>279</v>
      </c>
      <c r="B60" s="148" t="s">
        <v>280</v>
      </c>
      <c r="C60" s="419">
        <f>23131431+64122+89764+120000+17000+195900+38415438</f>
        <v>62033655</v>
      </c>
    </row>
    <row r="61" spans="1:3" ht="21" customHeight="1">
      <c r="A61" s="137"/>
      <c r="B61" s="303" t="s">
        <v>281</v>
      </c>
      <c r="C61" s="418">
        <f>SUM(C60:C60)</f>
        <v>62033655</v>
      </c>
    </row>
    <row r="62" spans="1:3" ht="21" customHeight="1">
      <c r="A62" s="134" t="s">
        <v>282</v>
      </c>
      <c r="B62" s="138" t="s">
        <v>471</v>
      </c>
      <c r="C62" s="420">
        <v>1121209</v>
      </c>
    </row>
    <row r="63" spans="1:3" ht="15.75">
      <c r="A63" s="134" t="s">
        <v>284</v>
      </c>
      <c r="B63" s="148" t="s">
        <v>283</v>
      </c>
      <c r="C63" s="419"/>
    </row>
    <row r="64" spans="1:3" ht="15.75">
      <c r="A64" s="131" t="s">
        <v>356</v>
      </c>
      <c r="B64" s="148" t="s">
        <v>285</v>
      </c>
      <c r="C64" s="419"/>
    </row>
    <row r="65" spans="1:3" s="149" customFormat="1" ht="30" customHeight="1" thickBot="1">
      <c r="A65" s="137"/>
      <c r="B65" s="303" t="s">
        <v>286</v>
      </c>
      <c r="C65" s="418">
        <f>SUM(C62:C64)</f>
        <v>1121209</v>
      </c>
    </row>
    <row r="66" spans="1:5" s="149" customFormat="1" ht="37.5" customHeight="1" thickBot="1">
      <c r="A66" s="150"/>
      <c r="B66" s="304" t="s">
        <v>287</v>
      </c>
      <c r="C66" s="305">
        <f>C53+C61</f>
        <v>122429906</v>
      </c>
      <c r="E66" s="151"/>
    </row>
    <row r="67" spans="1:5" ht="34.5" customHeight="1" thickBot="1">
      <c r="A67" s="150"/>
      <c r="B67" s="304" t="s">
        <v>288</v>
      </c>
      <c r="C67" s="305">
        <f>C54+C65</f>
        <v>122429906</v>
      </c>
      <c r="E67" s="151"/>
    </row>
  </sheetData>
  <sheetProtection password="AF00" sheet="1" objects="1" scenarios="1" selectLockedCells="1" selectUnlockedCells="1"/>
  <mergeCells count="12">
    <mergeCell ref="A1:C1"/>
    <mergeCell ref="A3:C3"/>
    <mergeCell ref="A5:C5"/>
    <mergeCell ref="A58:C58"/>
    <mergeCell ref="A6:C6"/>
    <mergeCell ref="A7:C7"/>
    <mergeCell ref="A8:C8"/>
    <mergeCell ref="A14:C14"/>
    <mergeCell ref="A2:C2"/>
    <mergeCell ref="A4:C4"/>
    <mergeCell ref="A34:C34"/>
    <mergeCell ref="A40:C4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50" customWidth="1"/>
    <col min="2" max="2" width="43.625" style="50" customWidth="1"/>
    <col min="3" max="14" width="15.375" style="329" customWidth="1"/>
    <col min="15" max="15" width="16.875" style="329" customWidth="1"/>
    <col min="16" max="17" width="15.625" style="50" bestFit="1" customWidth="1"/>
    <col min="18" max="18" width="12.625" style="50" bestFit="1" customWidth="1"/>
    <col min="19" max="16384" width="9.125" style="50" customWidth="1"/>
  </cols>
  <sheetData>
    <row r="1" spans="1:15" ht="15.75">
      <c r="A1" s="564" t="s">
        <v>589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5" s="102" customFormat="1" ht="15.75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4" spans="2:15" ht="15.75"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</row>
    <row r="5" spans="2:15" ht="15.75"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</row>
    <row r="6" spans="2:15" ht="15.75">
      <c r="B6" s="517" t="s">
        <v>41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</row>
    <row r="7" spans="2:15" ht="15.75">
      <c r="B7" s="517" t="s">
        <v>321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</row>
    <row r="8" spans="2:15" ht="15.75">
      <c r="B8" s="517" t="s">
        <v>480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</row>
    <row r="9" spans="3:15" ht="16.5" thickBot="1">
      <c r="C9" s="328"/>
      <c r="D9" s="328"/>
      <c r="E9" s="328"/>
      <c r="F9" s="458"/>
      <c r="G9" s="328"/>
      <c r="H9" s="328"/>
      <c r="I9" s="328"/>
      <c r="J9" s="328"/>
      <c r="O9" s="457" t="s">
        <v>481</v>
      </c>
    </row>
    <row r="10" spans="1:15" ht="15.75">
      <c r="A10" s="169" t="s">
        <v>42</v>
      </c>
      <c r="B10" s="170"/>
      <c r="C10" s="456"/>
      <c r="D10" s="455"/>
      <c r="E10" s="454"/>
      <c r="F10" s="453"/>
      <c r="G10" s="453"/>
      <c r="H10" s="453"/>
      <c r="I10" s="453"/>
      <c r="J10" s="453"/>
      <c r="K10" s="452"/>
      <c r="L10" s="452"/>
      <c r="M10" s="452"/>
      <c r="N10" s="451"/>
      <c r="O10" s="450"/>
    </row>
    <row r="11" spans="1:15" ht="15.75">
      <c r="A11" s="171"/>
      <c r="B11" s="172" t="s">
        <v>0</v>
      </c>
      <c r="C11" s="449" t="s">
        <v>322</v>
      </c>
      <c r="D11" s="448" t="s">
        <v>323</v>
      </c>
      <c r="E11" s="446" t="s">
        <v>324</v>
      </c>
      <c r="F11" s="447" t="s">
        <v>325</v>
      </c>
      <c r="G11" s="447" t="s">
        <v>326</v>
      </c>
      <c r="H11" s="447" t="s">
        <v>327</v>
      </c>
      <c r="I11" s="447" t="s">
        <v>328</v>
      </c>
      <c r="J11" s="447" t="s">
        <v>329</v>
      </c>
      <c r="K11" s="447" t="s">
        <v>330</v>
      </c>
      <c r="L11" s="447" t="s">
        <v>331</v>
      </c>
      <c r="M11" s="447" t="s">
        <v>332</v>
      </c>
      <c r="N11" s="446" t="s">
        <v>333</v>
      </c>
      <c r="O11" s="425" t="s">
        <v>313</v>
      </c>
    </row>
    <row r="12" spans="1:15" ht="16.5" thickBot="1">
      <c r="A12" s="173" t="s">
        <v>43</v>
      </c>
      <c r="B12" s="174"/>
      <c r="C12" s="442"/>
      <c r="D12" s="445"/>
      <c r="E12" s="443"/>
      <c r="F12" s="444"/>
      <c r="G12" s="444"/>
      <c r="H12" s="444"/>
      <c r="I12" s="444"/>
      <c r="J12" s="444"/>
      <c r="K12" s="444"/>
      <c r="L12" s="444"/>
      <c r="M12" s="444"/>
      <c r="N12" s="443"/>
      <c r="O12" s="442"/>
    </row>
    <row r="13" spans="1:15" ht="28.5" customHeight="1">
      <c r="A13" s="175"/>
      <c r="B13" s="176" t="s">
        <v>334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4"/>
    </row>
    <row r="14" spans="1:15" ht="28.5" customHeight="1">
      <c r="A14" s="175" t="s">
        <v>44</v>
      </c>
      <c r="B14" s="176" t="s">
        <v>335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4"/>
    </row>
    <row r="15" spans="1:15" ht="28.5" customHeight="1">
      <c r="A15" s="175"/>
      <c r="B15" s="176" t="s">
        <v>336</v>
      </c>
      <c r="C15" s="435">
        <f>2243614+1121805</f>
        <v>3365419</v>
      </c>
      <c r="D15" s="435">
        <v>2243614</v>
      </c>
      <c r="E15" s="435">
        <v>2243614</v>
      </c>
      <c r="F15" s="435">
        <v>2243614</v>
      </c>
      <c r="G15" s="435">
        <v>2243614</v>
      </c>
      <c r="H15" s="435">
        <f>2243614+27846</f>
        <v>2271460</v>
      </c>
      <c r="I15" s="435">
        <f>2243614+1240320</f>
        <v>3483934</v>
      </c>
      <c r="J15" s="435">
        <f>2243614+1000000+3944762+28792+115989+806700+65080</f>
        <v>8204937</v>
      </c>
      <c r="K15" s="435">
        <v>2243614</v>
      </c>
      <c r="L15" s="435">
        <v>2243614</v>
      </c>
      <c r="M15" s="435">
        <v>2243614</v>
      </c>
      <c r="N15" s="435">
        <v>2243614</v>
      </c>
      <c r="O15" s="434">
        <f aca="true" t="shared" si="0" ref="O15:O26">SUM(C15:N15)</f>
        <v>35274662</v>
      </c>
    </row>
    <row r="16" spans="1:15" ht="28.5" customHeight="1">
      <c r="A16" s="175"/>
      <c r="B16" s="176" t="s">
        <v>337</v>
      </c>
      <c r="C16" s="435">
        <f>6252+179682</f>
        <v>185934</v>
      </c>
      <c r="D16" s="435">
        <f>8296+180996</f>
        <v>189292</v>
      </c>
      <c r="E16" s="435">
        <f>8296+180996</f>
        <v>189292</v>
      </c>
      <c r="F16" s="435">
        <f>5002+180996</f>
        <v>185998</v>
      </c>
      <c r="G16" s="435">
        <v>185999</v>
      </c>
      <c r="H16" s="435">
        <v>105251</v>
      </c>
      <c r="I16" s="435">
        <v>105215</v>
      </c>
      <c r="J16" s="435">
        <f>105251+66664+50000+290830+64999-4610</f>
        <v>573134</v>
      </c>
      <c r="K16" s="435"/>
      <c r="L16" s="435"/>
      <c r="M16" s="435">
        <v>23200</v>
      </c>
      <c r="N16" s="435"/>
      <c r="O16" s="434">
        <f t="shared" si="0"/>
        <v>1743315</v>
      </c>
    </row>
    <row r="17" spans="1:15" ht="15.75">
      <c r="A17" s="175" t="s">
        <v>45</v>
      </c>
      <c r="B17" s="176" t="s">
        <v>338</v>
      </c>
      <c r="C17" s="435">
        <f>(12+44+32+31)*1000</f>
        <v>119000</v>
      </c>
      <c r="D17" s="435">
        <f>(19+12+118+253+31)*1000</f>
        <v>433000</v>
      </c>
      <c r="E17" s="435">
        <f>(1127+11+620+382+31)*1000</f>
        <v>2171000</v>
      </c>
      <c r="F17" s="435">
        <f>(9+12+76+34+31+200)*1000</f>
        <v>362000</v>
      </c>
      <c r="G17" s="435">
        <f>(408+12+48+35+31-200)*1000</f>
        <v>334000</v>
      </c>
      <c r="H17" s="435">
        <f>(46+12+20+19+31)*1000</f>
        <v>128000</v>
      </c>
      <c r="I17" s="435">
        <f>(12+2+2+31)*1000</f>
        <v>47000</v>
      </c>
      <c r="J17" s="435">
        <f>(12+237+346+31)*1000</f>
        <v>626000</v>
      </c>
      <c r="K17" s="435">
        <f>(1188+11+601+335+31)*1000</f>
        <v>2166000</v>
      </c>
      <c r="L17" s="435">
        <f>(10+12+27+35+31)*1000</f>
        <v>115000</v>
      </c>
      <c r="M17" s="435">
        <f>(852+11+76+12+31)*1000</f>
        <v>982000</v>
      </c>
      <c r="N17" s="435">
        <f>(241+11+34+15+29)*1000</f>
        <v>330000</v>
      </c>
      <c r="O17" s="434">
        <f t="shared" si="0"/>
        <v>7813000</v>
      </c>
    </row>
    <row r="18" spans="1:18" ht="15.75">
      <c r="A18" s="175" t="s">
        <v>105</v>
      </c>
      <c r="B18" s="176" t="s">
        <v>339</v>
      </c>
      <c r="C18" s="435">
        <v>853000</v>
      </c>
      <c r="D18" s="435">
        <v>853000</v>
      </c>
      <c r="E18" s="435">
        <v>870000</v>
      </c>
      <c r="F18" s="435">
        <v>829000</v>
      </c>
      <c r="G18" s="435">
        <f>1292000+4825255</f>
        <v>6117255</v>
      </c>
      <c r="H18" s="435">
        <v>850000</v>
      </c>
      <c r="I18" s="435">
        <v>880000</v>
      </c>
      <c r="J18" s="435">
        <v>820000</v>
      </c>
      <c r="K18" s="435">
        <v>850000</v>
      </c>
      <c r="L18" s="435">
        <v>850000</v>
      </c>
      <c r="M18" s="435">
        <v>850000</v>
      </c>
      <c r="N18" s="435">
        <f>850000+31219</f>
        <v>881219</v>
      </c>
      <c r="O18" s="434">
        <f t="shared" si="0"/>
        <v>15503474</v>
      </c>
      <c r="Q18" s="187"/>
      <c r="R18" s="187"/>
    </row>
    <row r="19" spans="1:15" ht="15.75">
      <c r="A19" s="175" t="s">
        <v>106</v>
      </c>
      <c r="B19" s="177" t="s">
        <v>340</v>
      </c>
      <c r="C19" s="441">
        <v>5000</v>
      </c>
      <c r="D19" s="441">
        <v>6000</v>
      </c>
      <c r="E19" s="441">
        <v>5000</v>
      </c>
      <c r="F19" s="441">
        <v>5000</v>
      </c>
      <c r="G19" s="441">
        <v>5000</v>
      </c>
      <c r="H19" s="441">
        <v>5000</v>
      </c>
      <c r="I19" s="441">
        <v>5000</v>
      </c>
      <c r="J19" s="441">
        <v>5000</v>
      </c>
      <c r="K19" s="441">
        <v>5000</v>
      </c>
      <c r="L19" s="441">
        <v>5800</v>
      </c>
      <c r="M19" s="441">
        <v>5000</v>
      </c>
      <c r="N19" s="441">
        <v>5000</v>
      </c>
      <c r="O19" s="434">
        <f t="shared" si="0"/>
        <v>61800</v>
      </c>
    </row>
    <row r="20" spans="1:15" ht="15.75">
      <c r="A20" s="175" t="s">
        <v>112</v>
      </c>
      <c r="B20" s="177" t="s">
        <v>242</v>
      </c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39"/>
      <c r="O20" s="434">
        <f t="shared" si="0"/>
        <v>0</v>
      </c>
    </row>
    <row r="21" spans="1:15" ht="31.5">
      <c r="A21" s="175"/>
      <c r="B21" s="176" t="s">
        <v>341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8"/>
      <c r="O21" s="434">
        <f t="shared" si="0"/>
        <v>0</v>
      </c>
    </row>
    <row r="22" spans="1:15" ht="17.25" customHeight="1">
      <c r="A22" s="175"/>
      <c r="B22" s="176" t="s">
        <v>342</v>
      </c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8"/>
      <c r="O22" s="434">
        <f t="shared" si="0"/>
        <v>0</v>
      </c>
    </row>
    <row r="23" spans="1:15" ht="15.75">
      <c r="A23" s="175" t="s">
        <v>248</v>
      </c>
      <c r="B23" s="177" t="s">
        <v>343</v>
      </c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8"/>
      <c r="O23" s="434">
        <f t="shared" si="0"/>
        <v>0</v>
      </c>
    </row>
    <row r="24" spans="1:15" ht="47.25">
      <c r="A24" s="175"/>
      <c r="B24" s="186" t="s">
        <v>344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8"/>
      <c r="O24" s="434">
        <f t="shared" si="0"/>
        <v>0</v>
      </c>
    </row>
    <row r="25" spans="1:15" ht="15.75">
      <c r="A25" s="175"/>
      <c r="B25" s="176" t="s">
        <v>345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8"/>
      <c r="O25" s="434">
        <f t="shared" si="0"/>
        <v>0</v>
      </c>
    </row>
    <row r="26" spans="1:15" ht="15.75">
      <c r="A26" s="175" t="s">
        <v>250</v>
      </c>
      <c r="B26" s="177" t="s">
        <v>346</v>
      </c>
      <c r="C26" s="437"/>
      <c r="D26" s="437">
        <v>23131431</v>
      </c>
      <c r="E26" s="437">
        <f>64122+89764+17000</f>
        <v>170886</v>
      </c>
      <c r="F26" s="437">
        <f>120000+195900</f>
        <v>315900</v>
      </c>
      <c r="G26" s="437">
        <v>38415438</v>
      </c>
      <c r="H26" s="437"/>
      <c r="I26" s="437"/>
      <c r="J26" s="437"/>
      <c r="K26" s="437"/>
      <c r="L26" s="437"/>
      <c r="M26" s="437"/>
      <c r="N26" s="438"/>
      <c r="O26" s="434">
        <f t="shared" si="0"/>
        <v>62033655</v>
      </c>
    </row>
    <row r="27" spans="1:15" ht="16.5" thickBot="1">
      <c r="A27" s="178" t="s">
        <v>252</v>
      </c>
      <c r="B27" s="179" t="s">
        <v>347</v>
      </c>
      <c r="C27" s="437"/>
      <c r="D27" s="437">
        <f aca="true" t="shared" si="1" ref="D27:N27">C49</f>
        <v>29256</v>
      </c>
      <c r="E27" s="437">
        <f t="shared" si="1"/>
        <v>20287850</v>
      </c>
      <c r="F27" s="437">
        <f t="shared" si="1"/>
        <v>11015869</v>
      </c>
      <c r="G27" s="437">
        <f t="shared" si="1"/>
        <v>9758786</v>
      </c>
      <c r="H27" s="437">
        <f t="shared" si="1"/>
        <v>47847903</v>
      </c>
      <c r="I27" s="437">
        <f t="shared" si="1"/>
        <v>6911150</v>
      </c>
      <c r="J27" s="437">
        <f t="shared" si="1"/>
        <v>5602285</v>
      </c>
      <c r="K27" s="437">
        <f t="shared" si="1"/>
        <v>5425035</v>
      </c>
      <c r="L27" s="437">
        <f t="shared" si="1"/>
        <v>5439886</v>
      </c>
      <c r="M27" s="437">
        <f t="shared" si="1"/>
        <v>3736970</v>
      </c>
      <c r="N27" s="437">
        <f t="shared" si="1"/>
        <v>2218584</v>
      </c>
      <c r="O27" s="434"/>
    </row>
    <row r="28" spans="1:16" s="18" customFormat="1" ht="27.75" customHeight="1" thickBot="1">
      <c r="A28" s="180"/>
      <c r="B28" s="180" t="s">
        <v>348</v>
      </c>
      <c r="C28" s="433">
        <f aca="true" t="shared" si="2" ref="C28:N28">SUM(C15:C27)</f>
        <v>4528353</v>
      </c>
      <c r="D28" s="433">
        <f t="shared" si="2"/>
        <v>26885593</v>
      </c>
      <c r="E28" s="433">
        <f t="shared" si="2"/>
        <v>25937642</v>
      </c>
      <c r="F28" s="433">
        <f t="shared" si="2"/>
        <v>14957381</v>
      </c>
      <c r="G28" s="433">
        <f t="shared" si="2"/>
        <v>57060092</v>
      </c>
      <c r="H28" s="433">
        <f t="shared" si="2"/>
        <v>51207614</v>
      </c>
      <c r="I28" s="433">
        <f t="shared" si="2"/>
        <v>11432299</v>
      </c>
      <c r="J28" s="433">
        <f t="shared" si="2"/>
        <v>15831356</v>
      </c>
      <c r="K28" s="433">
        <f t="shared" si="2"/>
        <v>10689649</v>
      </c>
      <c r="L28" s="433">
        <f t="shared" si="2"/>
        <v>8654300</v>
      </c>
      <c r="M28" s="433">
        <f t="shared" si="2"/>
        <v>7840784</v>
      </c>
      <c r="N28" s="433">
        <f t="shared" si="2"/>
        <v>5678417</v>
      </c>
      <c r="O28" s="432">
        <f>SUM(O14:O27)</f>
        <v>122429906</v>
      </c>
      <c r="P28" s="107"/>
    </row>
    <row r="29" spans="1:15" ht="15.75">
      <c r="A29" s="181"/>
      <c r="B29" s="182" t="s">
        <v>349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6"/>
    </row>
    <row r="30" spans="1:17" ht="15.75">
      <c r="A30" s="175" t="s">
        <v>259</v>
      </c>
      <c r="B30" s="177" t="s">
        <v>189</v>
      </c>
      <c r="C30" s="435">
        <f>1635000+6242+158310</f>
        <v>1799552</v>
      </c>
      <c r="D30" s="435">
        <f>1635000+6241+163060+17000</f>
        <v>1821301</v>
      </c>
      <c r="E30" s="435">
        <f>1635000+6242+163060+74764</f>
        <v>1879066</v>
      </c>
      <c r="F30" s="435">
        <f>1635000+4100+163060</f>
        <v>1802160</v>
      </c>
      <c r="G30" s="435">
        <f>195900+1635000+5900</f>
        <v>1836800</v>
      </c>
      <c r="H30" s="435">
        <f>1635000+5900+163060</f>
        <v>1803960</v>
      </c>
      <c r="I30" s="435">
        <f>1635000+5900+86728</f>
        <v>1727628</v>
      </c>
      <c r="J30" s="435">
        <f>1635000+5900+180452+49998+86728+54642+2371+28785</f>
        <v>2043876</v>
      </c>
      <c r="K30" s="435">
        <f>1635000+86728</f>
        <v>1721728</v>
      </c>
      <c r="L30" s="435">
        <v>1635000</v>
      </c>
      <c r="M30" s="435">
        <v>1635000</v>
      </c>
      <c r="N30" s="435">
        <f>1635000+1113</f>
        <v>1636113</v>
      </c>
      <c r="O30" s="434">
        <f>SUM(C30:N30)</f>
        <v>21342184</v>
      </c>
      <c r="P30" s="187"/>
      <c r="Q30" s="187"/>
    </row>
    <row r="31" spans="1:17" ht="31.5">
      <c r="A31" s="175" t="s">
        <v>261</v>
      </c>
      <c r="B31" s="186" t="s">
        <v>350</v>
      </c>
      <c r="C31" s="435">
        <f>380800+1373+21372</f>
        <v>403545</v>
      </c>
      <c r="D31" s="435">
        <f>380800+1373+17938</f>
        <v>400111</v>
      </c>
      <c r="E31" s="435">
        <f>380800+1373+17934</f>
        <v>400107</v>
      </c>
      <c r="F31" s="435">
        <f>380800+902+17936+15000</f>
        <v>414638</v>
      </c>
      <c r="G31" s="435">
        <f>380800+1298+17936</f>
        <v>400034</v>
      </c>
      <c r="H31" s="435">
        <f>380800+1298+8968</f>
        <v>391066</v>
      </c>
      <c r="I31" s="435">
        <f>380800+1298+8968</f>
        <v>391066</v>
      </c>
      <c r="J31" s="435">
        <f>380800+280+777+185+267+83980</f>
        <v>466289</v>
      </c>
      <c r="K31" s="435">
        <v>380800</v>
      </c>
      <c r="L31" s="435">
        <v>380800</v>
      </c>
      <c r="M31" s="435">
        <v>380800</v>
      </c>
      <c r="N31" s="435">
        <f>380800+299</f>
        <v>381099</v>
      </c>
      <c r="O31" s="434">
        <f>SUM(C31:N31)</f>
        <v>4790355</v>
      </c>
      <c r="Q31" s="187"/>
    </row>
    <row r="32" spans="1:17" ht="15.75">
      <c r="A32" s="175" t="s">
        <v>263</v>
      </c>
      <c r="B32" s="177" t="s">
        <v>191</v>
      </c>
      <c r="C32" s="435">
        <f>2391000-270000</f>
        <v>2121000</v>
      </c>
      <c r="D32" s="435">
        <f>2391000+64122</f>
        <v>2455122</v>
      </c>
      <c r="E32" s="435">
        <v>2391000</v>
      </c>
      <c r="F32" s="435">
        <v>2391000</v>
      </c>
      <c r="G32" s="435">
        <f>2391000-600000</f>
        <v>1791000</v>
      </c>
      <c r="H32" s="435">
        <f>2391000+499999</f>
        <v>2890999</v>
      </c>
      <c r="I32" s="435">
        <f>2391000+120000</f>
        <v>2511000</v>
      </c>
      <c r="J32" s="435">
        <f>2391000+120000+37789+9563-778-186-268+64999</f>
        <v>2622119</v>
      </c>
      <c r="K32" s="435">
        <f>2391000+606235</f>
        <v>2997235</v>
      </c>
      <c r="L32" s="435">
        <f>2391000+290830</f>
        <v>2681830</v>
      </c>
      <c r="M32" s="435">
        <v>2395000</v>
      </c>
      <c r="N32" s="435">
        <f>2391000+205+270000</f>
        <v>2661205</v>
      </c>
      <c r="O32" s="434">
        <f>SUM(C32:N32)</f>
        <v>29908510</v>
      </c>
      <c r="P32" s="187"/>
      <c r="Q32" s="187"/>
    </row>
    <row r="33" spans="1:15" ht="15.75">
      <c r="A33" s="175" t="s">
        <v>268</v>
      </c>
      <c r="B33" s="177" t="s">
        <v>192</v>
      </c>
      <c r="C33" s="435">
        <f>150000+25000</f>
        <v>175000</v>
      </c>
      <c r="D33" s="435">
        <v>150000</v>
      </c>
      <c r="E33" s="435">
        <v>150000</v>
      </c>
      <c r="F33" s="435">
        <v>150000</v>
      </c>
      <c r="G33" s="435">
        <v>150000</v>
      </c>
      <c r="H33" s="435">
        <f>150000-80000</f>
        <v>70000</v>
      </c>
      <c r="I33" s="435">
        <f>150000-120000</f>
        <v>30000</v>
      </c>
      <c r="J33" s="435">
        <f>150000+350000+25000</f>
        <v>525000</v>
      </c>
      <c r="K33" s="435">
        <v>150000</v>
      </c>
      <c r="L33" s="435">
        <v>150000</v>
      </c>
      <c r="M33" s="435">
        <f>150000+61400</f>
        <v>211400</v>
      </c>
      <c r="N33" s="435">
        <v>1000000</v>
      </c>
      <c r="O33" s="434">
        <f>SUM(C33:N33)</f>
        <v>2911400</v>
      </c>
    </row>
    <row r="34" spans="1:15" ht="15.75">
      <c r="A34" s="175" t="s">
        <v>270</v>
      </c>
      <c r="B34" s="177" t="s">
        <v>351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4"/>
    </row>
    <row r="35" spans="1:15" ht="15.75">
      <c r="A35" s="175"/>
      <c r="B35" s="177" t="s">
        <v>352</v>
      </c>
      <c r="C35" s="435"/>
      <c r="D35" s="435"/>
      <c r="E35" s="435"/>
      <c r="F35" s="435"/>
      <c r="G35" s="435"/>
      <c r="H35" s="435">
        <v>600000</v>
      </c>
      <c r="I35" s="435"/>
      <c r="J35" s="435"/>
      <c r="K35" s="435"/>
      <c r="L35" s="435"/>
      <c r="M35" s="435"/>
      <c r="N35" s="435"/>
      <c r="O35" s="434">
        <f aca="true" t="shared" si="3" ref="O35:O47">SUM(C35:N35)</f>
        <v>600000</v>
      </c>
    </row>
    <row r="36" spans="1:16" ht="15.75">
      <c r="A36" s="175"/>
      <c r="B36" s="177" t="s">
        <v>353</v>
      </c>
      <c r="C36" s="435"/>
      <c r="D36" s="435">
        <v>50000</v>
      </c>
      <c r="E36" s="435"/>
      <c r="F36" s="435">
        <v>40000</v>
      </c>
      <c r="G36" s="435">
        <v>209100</v>
      </c>
      <c r="H36" s="435">
        <f>675000-25000-25000</f>
        <v>625000</v>
      </c>
      <c r="I36" s="435">
        <f>40000+80000</f>
        <v>120000</v>
      </c>
      <c r="J36" s="435">
        <f>40000+190000</f>
        <v>230000</v>
      </c>
      <c r="K36" s="435"/>
      <c r="L36" s="435">
        <v>69700</v>
      </c>
      <c r="M36" s="435"/>
      <c r="N36" s="435"/>
      <c r="O36" s="434">
        <f t="shared" si="3"/>
        <v>1343800</v>
      </c>
      <c r="P36" s="187"/>
    </row>
    <row r="37" spans="1:15" ht="15.75">
      <c r="A37" s="175" t="s">
        <v>272</v>
      </c>
      <c r="B37" s="177" t="s">
        <v>195</v>
      </c>
      <c r="C37" s="435"/>
      <c r="D37" s="435"/>
      <c r="E37" s="435">
        <v>101600</v>
      </c>
      <c r="F37" s="435">
        <f>179959+51816+9144+13208+26670</f>
        <v>280797</v>
      </c>
      <c r="G37" s="435"/>
      <c r="H37" s="435"/>
      <c r="I37" s="435"/>
      <c r="J37" s="435">
        <v>1181000</v>
      </c>
      <c r="K37" s="435"/>
      <c r="L37" s="435"/>
      <c r="M37" s="435">
        <v>1000000</v>
      </c>
      <c r="N37" s="435"/>
      <c r="O37" s="434">
        <f t="shared" si="3"/>
        <v>2563397</v>
      </c>
    </row>
    <row r="38" spans="1:15" ht="15.75">
      <c r="A38" s="175" t="s">
        <v>279</v>
      </c>
      <c r="B38" s="177" t="s">
        <v>78</v>
      </c>
      <c r="C38" s="435"/>
      <c r="D38" s="435"/>
      <c r="E38" s="435">
        <v>10000000</v>
      </c>
      <c r="F38" s="435">
        <v>120000</v>
      </c>
      <c r="G38" s="435"/>
      <c r="H38" s="435"/>
      <c r="I38" s="435"/>
      <c r="J38" s="435"/>
      <c r="K38" s="435"/>
      <c r="L38" s="435"/>
      <c r="M38" s="435"/>
      <c r="N38" s="435"/>
      <c r="O38" s="434">
        <f t="shared" si="3"/>
        <v>10120000</v>
      </c>
    </row>
    <row r="39" spans="1:15" ht="20.25" customHeight="1">
      <c r="A39" s="175" t="s">
        <v>282</v>
      </c>
      <c r="B39" s="177" t="s">
        <v>273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4">
        <f t="shared" si="3"/>
        <v>0</v>
      </c>
    </row>
    <row r="40" spans="1:15" ht="20.25" customHeight="1">
      <c r="A40" s="175"/>
      <c r="B40" s="177" t="s">
        <v>352</v>
      </c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4">
        <f t="shared" si="3"/>
        <v>0</v>
      </c>
    </row>
    <row r="41" spans="1:15" ht="15.75">
      <c r="A41" s="175"/>
      <c r="B41" s="177" t="s">
        <v>353</v>
      </c>
      <c r="C41" s="435"/>
      <c r="D41" s="435">
        <v>600000</v>
      </c>
      <c r="E41" s="435"/>
      <c r="F41" s="435"/>
      <c r="G41" s="435"/>
      <c r="H41" s="435"/>
      <c r="I41" s="435"/>
      <c r="J41" s="435">
        <v>600000</v>
      </c>
      <c r="K41" s="435"/>
      <c r="L41" s="435"/>
      <c r="M41" s="435"/>
      <c r="N41" s="435"/>
      <c r="O41" s="434">
        <f t="shared" si="3"/>
        <v>1200000</v>
      </c>
    </row>
    <row r="42" spans="1:15" ht="15.75">
      <c r="A42" s="175" t="s">
        <v>284</v>
      </c>
      <c r="B42" s="177" t="s">
        <v>188</v>
      </c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4">
        <f t="shared" si="3"/>
        <v>0</v>
      </c>
    </row>
    <row r="43" spans="1:15" ht="15.75">
      <c r="A43" s="175"/>
      <c r="B43" s="253" t="s">
        <v>473</v>
      </c>
      <c r="C43" s="435"/>
      <c r="D43" s="435">
        <v>1121209</v>
      </c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4">
        <f t="shared" si="3"/>
        <v>1121209</v>
      </c>
    </row>
    <row r="44" spans="1:15" ht="15.75">
      <c r="A44" s="175"/>
      <c r="B44" s="177" t="s">
        <v>354</v>
      </c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4">
        <f t="shared" si="3"/>
        <v>0</v>
      </c>
    </row>
    <row r="45" spans="1:15" ht="15.75">
      <c r="A45" s="175"/>
      <c r="B45" s="177" t="s">
        <v>355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4">
        <f t="shared" si="3"/>
        <v>0</v>
      </c>
    </row>
    <row r="46" spans="1:16" ht="15.75">
      <c r="A46" s="175" t="s">
        <v>356</v>
      </c>
      <c r="B46" s="177" t="s">
        <v>357</v>
      </c>
      <c r="C46" s="435"/>
      <c r="D46" s="435"/>
      <c r="E46" s="435"/>
      <c r="F46" s="435"/>
      <c r="G46" s="435">
        <v>4825255</v>
      </c>
      <c r="H46" s="435">
        <f>38415438-499999</f>
        <v>37915439</v>
      </c>
      <c r="I46" s="435">
        <f>1240320-190000</f>
        <v>1050320</v>
      </c>
      <c r="J46" s="435">
        <f>3944762+115989+806700+65080-1181000-606235-120000-287259</f>
        <v>2738037</v>
      </c>
      <c r="K46" s="435"/>
      <c r="L46" s="435"/>
      <c r="M46" s="435"/>
      <c r="N46" s="435"/>
      <c r="O46" s="434">
        <f t="shared" si="3"/>
        <v>46529051</v>
      </c>
      <c r="P46" s="187"/>
    </row>
    <row r="47" spans="1:15" ht="16.5" thickBot="1">
      <c r="A47" s="178" t="s">
        <v>358</v>
      </c>
      <c r="B47" s="179" t="s">
        <v>359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4">
        <f t="shared" si="3"/>
        <v>0</v>
      </c>
    </row>
    <row r="48" spans="1:19" s="18" customFormat="1" ht="24" customHeight="1" thickBot="1">
      <c r="A48" s="180"/>
      <c r="B48" s="180" t="s">
        <v>360</v>
      </c>
      <c r="C48" s="433">
        <f aca="true" t="shared" si="4" ref="C48:O48">SUM(C30:C47)</f>
        <v>4499097</v>
      </c>
      <c r="D48" s="433">
        <f t="shared" si="4"/>
        <v>6597743</v>
      </c>
      <c r="E48" s="433">
        <f t="shared" si="4"/>
        <v>14921773</v>
      </c>
      <c r="F48" s="433">
        <f t="shared" si="4"/>
        <v>5198595</v>
      </c>
      <c r="G48" s="433">
        <f t="shared" si="4"/>
        <v>9212189</v>
      </c>
      <c r="H48" s="433">
        <f t="shared" si="4"/>
        <v>44296464</v>
      </c>
      <c r="I48" s="433">
        <f t="shared" si="4"/>
        <v>5830014</v>
      </c>
      <c r="J48" s="433">
        <f t="shared" si="4"/>
        <v>10406321</v>
      </c>
      <c r="K48" s="433">
        <f t="shared" si="4"/>
        <v>5249763</v>
      </c>
      <c r="L48" s="433">
        <f t="shared" si="4"/>
        <v>4917330</v>
      </c>
      <c r="M48" s="433">
        <f t="shared" si="4"/>
        <v>5622200</v>
      </c>
      <c r="N48" s="433">
        <f t="shared" si="4"/>
        <v>5678417</v>
      </c>
      <c r="O48" s="432">
        <f t="shared" si="4"/>
        <v>122429906</v>
      </c>
      <c r="S48" s="183"/>
    </row>
    <row r="49" spans="1:15" ht="26.25" customHeight="1" thickBot="1">
      <c r="A49" s="184"/>
      <c r="B49" s="185" t="s">
        <v>361</v>
      </c>
      <c r="C49" s="431">
        <f aca="true" t="shared" si="5" ref="C49:N49">C28-C48</f>
        <v>29256</v>
      </c>
      <c r="D49" s="431">
        <f t="shared" si="5"/>
        <v>20287850</v>
      </c>
      <c r="E49" s="431">
        <f t="shared" si="5"/>
        <v>11015869</v>
      </c>
      <c r="F49" s="431">
        <f t="shared" si="5"/>
        <v>9758786</v>
      </c>
      <c r="G49" s="431">
        <f t="shared" si="5"/>
        <v>47847903</v>
      </c>
      <c r="H49" s="431">
        <f t="shared" si="5"/>
        <v>6911150</v>
      </c>
      <c r="I49" s="431">
        <f t="shared" si="5"/>
        <v>5602285</v>
      </c>
      <c r="J49" s="431">
        <f t="shared" si="5"/>
        <v>5425035</v>
      </c>
      <c r="K49" s="431">
        <f t="shared" si="5"/>
        <v>5439886</v>
      </c>
      <c r="L49" s="431">
        <f t="shared" si="5"/>
        <v>3736970</v>
      </c>
      <c r="M49" s="431">
        <f t="shared" si="5"/>
        <v>2218584</v>
      </c>
      <c r="N49" s="431">
        <f t="shared" si="5"/>
        <v>0</v>
      </c>
      <c r="O49" s="430"/>
    </row>
    <row r="51" spans="3:15" ht="15.75"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</row>
    <row r="52" ht="15.75">
      <c r="O52" s="429"/>
    </row>
    <row r="53" ht="15.75">
      <c r="O53" s="429"/>
    </row>
    <row r="54" ht="15.75">
      <c r="O54" s="429"/>
    </row>
    <row r="55" ht="15.75">
      <c r="O55" s="429"/>
    </row>
  </sheetData>
  <sheetProtection password="AF00" sheet="1" objects="1" scenarios="1" selectLockedCells="1" selectUnlockedCells="1"/>
  <mergeCells count="7">
    <mergeCell ref="A1:O1"/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E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25" customWidth="1"/>
    <col min="2" max="2" width="56.25390625" style="25" customWidth="1"/>
    <col min="3" max="3" width="17.875" style="25" customWidth="1"/>
    <col min="4" max="4" width="4.875" style="25" customWidth="1"/>
    <col min="5" max="16384" width="9.125" style="25" customWidth="1"/>
  </cols>
  <sheetData>
    <row r="1" spans="1:5" ht="15.75">
      <c r="A1" s="564" t="s">
        <v>655</v>
      </c>
      <c r="B1" s="564"/>
      <c r="C1" s="564"/>
      <c r="D1" s="102"/>
      <c r="E1" s="24"/>
    </row>
    <row r="2" spans="1:5" ht="15.75">
      <c r="A2" s="26"/>
      <c r="B2" s="26"/>
      <c r="C2" s="26"/>
      <c r="D2" s="27"/>
      <c r="E2" s="24"/>
    </row>
    <row r="3" spans="1:5" ht="12.75" customHeight="1">
      <c r="A3" s="27"/>
      <c r="B3" s="27"/>
      <c r="C3" s="27"/>
      <c r="D3" s="27"/>
      <c r="E3" s="24"/>
    </row>
    <row r="4" spans="1:5" ht="15.75">
      <c r="A4" s="665" t="s">
        <v>4</v>
      </c>
      <c r="B4" s="665"/>
      <c r="C4" s="665"/>
      <c r="D4" s="665"/>
      <c r="E4" s="24"/>
    </row>
    <row r="5" spans="1:5" ht="15.75">
      <c r="A5" s="665" t="s">
        <v>24</v>
      </c>
      <c r="B5" s="665"/>
      <c r="C5" s="665"/>
      <c r="D5" s="665"/>
      <c r="E5" s="24"/>
    </row>
    <row r="6" spans="1:5" ht="15.75">
      <c r="A6" s="665" t="s">
        <v>506</v>
      </c>
      <c r="B6" s="665"/>
      <c r="C6" s="665"/>
      <c r="D6" s="665"/>
      <c r="E6" s="24"/>
    </row>
    <row r="7" spans="1:5" ht="15.75">
      <c r="A7" s="26"/>
      <c r="B7" s="26"/>
      <c r="C7" s="26"/>
      <c r="D7" s="24"/>
      <c r="E7" s="24"/>
    </row>
    <row r="8" spans="1:5" ht="15.75">
      <c r="A8" s="26"/>
      <c r="B8" s="26"/>
      <c r="C8" s="26"/>
      <c r="D8" s="24"/>
      <c r="E8" s="24"/>
    </row>
    <row r="9" spans="1:5" ht="15.75">
      <c r="A9" s="26"/>
      <c r="B9" s="26"/>
      <c r="C9" s="26"/>
      <c r="D9" s="24"/>
      <c r="E9" s="24"/>
    </row>
    <row r="10" spans="1:5" ht="15.75">
      <c r="A10" s="26"/>
      <c r="B10" s="26"/>
      <c r="C10" s="26"/>
      <c r="D10" s="24"/>
      <c r="E10" s="24"/>
    </row>
    <row r="11" spans="1:5" ht="15.75">
      <c r="A11" s="26"/>
      <c r="B11" s="28" t="s">
        <v>12</v>
      </c>
      <c r="C11" s="26"/>
      <c r="D11" s="24"/>
      <c r="E11" s="24"/>
    </row>
    <row r="12" spans="1:5" ht="10.5" customHeight="1">
      <c r="A12" s="26"/>
      <c r="B12" s="28"/>
      <c r="C12" s="26"/>
      <c r="D12" s="24"/>
      <c r="E12" s="24"/>
    </row>
    <row r="13" spans="1:5" ht="12" customHeight="1">
      <c r="A13" s="26"/>
      <c r="B13" s="28"/>
      <c r="C13" s="29"/>
      <c r="D13" s="24"/>
      <c r="E13" s="24"/>
    </row>
    <row r="14" spans="1:3" s="33" customFormat="1" ht="15">
      <c r="A14" s="30"/>
      <c r="B14" s="31" t="s">
        <v>13</v>
      </c>
      <c r="C14" s="32"/>
    </row>
    <row r="15" spans="1:5" ht="19.5" customHeight="1">
      <c r="A15" s="34"/>
      <c r="B15" s="24" t="s">
        <v>14</v>
      </c>
      <c r="C15" s="35">
        <v>1845000</v>
      </c>
      <c r="D15" s="24" t="s">
        <v>1</v>
      </c>
      <c r="E15" s="24"/>
    </row>
    <row r="16" spans="1:5" ht="19.5" customHeight="1">
      <c r="A16" s="24"/>
      <c r="B16" s="27" t="s">
        <v>15</v>
      </c>
      <c r="C16" s="36">
        <f>SUM(C15)</f>
        <v>1845000</v>
      </c>
      <c r="D16" s="27" t="s">
        <v>1</v>
      </c>
      <c r="E16" s="24"/>
    </row>
    <row r="17" spans="1:5" ht="19.5" customHeight="1">
      <c r="A17" s="24"/>
      <c r="B17" s="27"/>
      <c r="C17" s="36"/>
      <c r="D17" s="27"/>
      <c r="E17" s="24"/>
    </row>
    <row r="18" spans="1:5" ht="19.5" customHeight="1">
      <c r="A18" s="24"/>
      <c r="B18" s="27"/>
      <c r="C18" s="36"/>
      <c r="D18" s="27"/>
      <c r="E18" s="24"/>
    </row>
    <row r="19" spans="1:5" ht="10.5" customHeight="1">
      <c r="A19" s="24"/>
      <c r="B19" s="27"/>
      <c r="C19" s="36"/>
      <c r="D19" s="27"/>
      <c r="E19" s="24"/>
    </row>
    <row r="20" spans="1:5" ht="15.75">
      <c r="A20" s="24"/>
      <c r="B20" s="89"/>
      <c r="C20" s="24"/>
      <c r="D20" s="24"/>
      <c r="E20" s="24"/>
    </row>
    <row r="21" spans="1:5" ht="15.75">
      <c r="A21" s="24"/>
      <c r="B21" s="24"/>
      <c r="C21" s="24"/>
      <c r="D21" s="24"/>
      <c r="E21" s="24"/>
    </row>
    <row r="22" spans="1:5" ht="15.75">
      <c r="A22" s="24"/>
      <c r="B22" s="24"/>
      <c r="C22" s="24"/>
      <c r="D22" s="24"/>
      <c r="E22" s="24"/>
    </row>
    <row r="23" spans="1:5" ht="15.75">
      <c r="A23" s="24"/>
      <c r="B23" s="24"/>
      <c r="C23" s="24"/>
      <c r="D23" s="24"/>
      <c r="E23" s="24"/>
    </row>
    <row r="24" spans="1:5" ht="15.75">
      <c r="A24" s="24"/>
      <c r="B24" s="24"/>
      <c r="C24" s="24"/>
      <c r="D24" s="24"/>
      <c r="E24" s="24"/>
    </row>
    <row r="25" spans="1:5" ht="15.75">
      <c r="A25" s="24"/>
      <c r="B25" s="24"/>
      <c r="C25" s="24"/>
      <c r="D25" s="24"/>
      <c r="E25" s="24"/>
    </row>
    <row r="26" spans="1:5" ht="15.75">
      <c r="A26" s="24"/>
      <c r="B26" s="24"/>
      <c r="C26" s="24"/>
      <c r="D26" s="24"/>
      <c r="E26" s="24"/>
    </row>
    <row r="27" spans="1:5" ht="15.75">
      <c r="A27" s="24"/>
      <c r="B27" s="24"/>
      <c r="C27" s="24"/>
      <c r="D27" s="24"/>
      <c r="E27" s="24"/>
    </row>
    <row r="28" spans="1:5" ht="15.75">
      <c r="A28" s="24"/>
      <c r="B28" s="24"/>
      <c r="C28" s="24"/>
      <c r="D28" s="24"/>
      <c r="E28" s="24"/>
    </row>
  </sheetData>
  <sheetProtection password="AF00" sheet="1" objects="1" scenarios="1" selectLockedCells="1" selectUnlockedCells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5" width="11.875" style="1" customWidth="1"/>
    <col min="6" max="6" width="12.375" style="1" customWidth="1"/>
    <col min="7" max="16384" width="9.125" style="1" customWidth="1"/>
  </cols>
  <sheetData>
    <row r="1" spans="1:6" ht="15.75">
      <c r="A1" s="564" t="s">
        <v>656</v>
      </c>
      <c r="B1" s="564"/>
      <c r="C1" s="564"/>
      <c r="D1" s="564"/>
      <c r="E1" s="564"/>
      <c r="F1" s="564"/>
    </row>
    <row r="3" spans="1:6" ht="12.75">
      <c r="A3" s="518"/>
      <c r="B3" s="518"/>
      <c r="C3" s="518"/>
      <c r="D3" s="518"/>
      <c r="E3" s="518"/>
      <c r="F3" s="518"/>
    </row>
    <row r="4" spans="1:7" ht="14.25">
      <c r="A4" s="662"/>
      <c r="B4" s="662"/>
      <c r="C4" s="662"/>
      <c r="D4" s="662"/>
      <c r="E4" s="662"/>
      <c r="F4" s="662"/>
      <c r="G4" s="67"/>
    </row>
    <row r="5" spans="1:7" ht="14.25">
      <c r="A5" s="662" t="s">
        <v>293</v>
      </c>
      <c r="B5" s="662"/>
      <c r="C5" s="662"/>
      <c r="D5" s="662"/>
      <c r="E5" s="662"/>
      <c r="F5" s="662"/>
      <c r="G5" s="67"/>
    </row>
    <row r="6" spans="1:7" s="5" customFormat="1" ht="15.75">
      <c r="A6" s="530" t="s">
        <v>294</v>
      </c>
      <c r="B6" s="530"/>
      <c r="C6" s="530"/>
      <c r="D6" s="530"/>
      <c r="E6" s="530"/>
      <c r="F6" s="530"/>
      <c r="G6" s="58"/>
    </row>
    <row r="7" spans="1:7" s="5" customFormat="1" ht="15.75">
      <c r="A7" s="530" t="s">
        <v>558</v>
      </c>
      <c r="B7" s="530"/>
      <c r="C7" s="530"/>
      <c r="D7" s="530"/>
      <c r="E7" s="530"/>
      <c r="F7" s="530"/>
      <c r="G7" s="58"/>
    </row>
    <row r="8" spans="1:6" s="5" customFormat="1" ht="13.5" thickBot="1">
      <c r="A8" s="68"/>
      <c r="B8" s="68"/>
      <c r="C8" s="68"/>
      <c r="D8" s="68"/>
      <c r="E8" s="68"/>
      <c r="F8" s="69" t="s">
        <v>5</v>
      </c>
    </row>
    <row r="9" spans="1:6" s="72" customFormat="1" ht="22.5" customHeight="1" thickTop="1">
      <c r="A9" s="70" t="s">
        <v>42</v>
      </c>
      <c r="B9" s="71"/>
      <c r="C9" s="673" t="s">
        <v>63</v>
      </c>
      <c r="D9" s="673" t="s">
        <v>64</v>
      </c>
      <c r="E9" s="673" t="s">
        <v>65</v>
      </c>
      <c r="F9" s="668" t="s">
        <v>66</v>
      </c>
    </row>
    <row r="10" spans="1:6" s="72" customFormat="1" ht="12.75">
      <c r="A10" s="73"/>
      <c r="B10" s="74" t="s">
        <v>67</v>
      </c>
      <c r="C10" s="674"/>
      <c r="D10" s="674"/>
      <c r="E10" s="674"/>
      <c r="F10" s="669"/>
    </row>
    <row r="11" spans="1:6" s="72" customFormat="1" ht="13.5" thickBot="1">
      <c r="A11" s="75" t="s">
        <v>43</v>
      </c>
      <c r="B11" s="76"/>
      <c r="C11" s="675"/>
      <c r="D11" s="675"/>
      <c r="E11" s="675"/>
      <c r="F11" s="670"/>
    </row>
    <row r="12" spans="1:6" s="72" customFormat="1" ht="12.75">
      <c r="A12" s="676" t="s">
        <v>44</v>
      </c>
      <c r="B12" s="678" t="s">
        <v>68</v>
      </c>
      <c r="C12" s="671">
        <v>1887</v>
      </c>
      <c r="D12" s="671">
        <v>1887</v>
      </c>
      <c r="E12" s="671">
        <v>1887</v>
      </c>
      <c r="F12" s="666">
        <f>SUM(C12:E17)</f>
        <v>5661</v>
      </c>
    </row>
    <row r="13" spans="1:6" s="72" customFormat="1" ht="15" customHeight="1">
      <c r="A13" s="677"/>
      <c r="B13" s="679"/>
      <c r="C13" s="672"/>
      <c r="D13" s="672"/>
      <c r="E13" s="672"/>
      <c r="F13" s="667"/>
    </row>
    <row r="14" spans="1:6" s="72" customFormat="1" ht="15" customHeight="1">
      <c r="A14" s="677"/>
      <c r="B14" s="77" t="s">
        <v>69</v>
      </c>
      <c r="C14" s="672"/>
      <c r="D14" s="672"/>
      <c r="E14" s="672"/>
      <c r="F14" s="667"/>
    </row>
    <row r="15" spans="1:6" s="72" customFormat="1" ht="25.5">
      <c r="A15" s="677"/>
      <c r="B15" s="77" t="s">
        <v>295</v>
      </c>
      <c r="C15" s="672"/>
      <c r="D15" s="672"/>
      <c r="E15" s="672"/>
      <c r="F15" s="667"/>
    </row>
    <row r="16" spans="1:6" s="72" customFormat="1" ht="12.75">
      <c r="A16" s="677"/>
      <c r="B16" s="78" t="s">
        <v>70</v>
      </c>
      <c r="C16" s="672"/>
      <c r="D16" s="672"/>
      <c r="E16" s="672"/>
      <c r="F16" s="667"/>
    </row>
    <row r="17" spans="1:6" s="72" customFormat="1" ht="13.5" thickBot="1">
      <c r="A17" s="677"/>
      <c r="B17" s="79" t="s">
        <v>71</v>
      </c>
      <c r="C17" s="672"/>
      <c r="D17" s="672"/>
      <c r="E17" s="672"/>
      <c r="F17" s="667"/>
    </row>
    <row r="18" spans="1:7" s="85" customFormat="1" ht="40.5" customHeight="1" thickBot="1" thickTop="1">
      <c r="A18" s="80"/>
      <c r="B18" s="81" t="s">
        <v>72</v>
      </c>
      <c r="C18" s="82">
        <f>SUM(C12:C17)</f>
        <v>1887</v>
      </c>
      <c r="D18" s="82">
        <f>SUM(D12:D17)</f>
        <v>1887</v>
      </c>
      <c r="E18" s="82">
        <f>SUM(E12:E17)</f>
        <v>1887</v>
      </c>
      <c r="F18" s="83">
        <f>SUM(F12:F17)</f>
        <v>5661</v>
      </c>
      <c r="G18" s="84"/>
    </row>
    <row r="19" spans="1:5" s="85" customFormat="1" ht="27" customHeight="1">
      <c r="A19" s="86"/>
      <c r="B19" s="87"/>
      <c r="C19" s="88"/>
      <c r="D19" s="88"/>
      <c r="E19" s="88"/>
    </row>
  </sheetData>
  <sheetProtection password="AF00" sheet="1" objects="1" scenarios="1" selectLockedCells="1" selectUnlockedCells="1"/>
  <mergeCells count="16">
    <mergeCell ref="B12:B13"/>
    <mergeCell ref="A6:F6"/>
    <mergeCell ref="A7:F7"/>
    <mergeCell ref="A5:F5"/>
    <mergeCell ref="C9:C11"/>
    <mergeCell ref="E9:E11"/>
    <mergeCell ref="A1:F1"/>
    <mergeCell ref="F12:F17"/>
    <mergeCell ref="F9:F11"/>
    <mergeCell ref="C12:C17"/>
    <mergeCell ref="D12:D17"/>
    <mergeCell ref="D9:D11"/>
    <mergeCell ref="E12:E17"/>
    <mergeCell ref="A3:F3"/>
    <mergeCell ref="A4:F4"/>
    <mergeCell ref="A12:A17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50" customWidth="1"/>
    <col min="2" max="2" width="37.375" style="50" customWidth="1"/>
    <col min="3" max="3" width="9.625" style="50" customWidth="1"/>
    <col min="4" max="15" width="15.75390625" style="50" customWidth="1"/>
    <col min="16" max="16" width="13.625" style="50" bestFit="1" customWidth="1"/>
    <col min="17" max="16384" width="9.125" style="50" customWidth="1"/>
  </cols>
  <sheetData>
    <row r="2" spans="1:15" ht="15.75">
      <c r="A2" s="721" t="s">
        <v>657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</row>
    <row r="3" spans="1:15" ht="15.75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</row>
    <row r="4" spans="2:15" ht="15.7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5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5.75">
      <c r="A6" s="517" t="s">
        <v>41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</row>
    <row r="7" spans="1:15" ht="15.75">
      <c r="A7" s="517" t="s">
        <v>370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</row>
    <row r="8" spans="1:15" ht="15.75">
      <c r="A8" s="517" t="s">
        <v>507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</row>
    <row r="9" spans="1:15" ht="15.7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15.7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</row>
    <row r="11" ht="16.5" thickBot="1">
      <c r="O11" s="190" t="s">
        <v>508</v>
      </c>
    </row>
    <row r="12" spans="1:15" ht="32.25" customHeight="1" thickTop="1">
      <c r="A12" s="708" t="s">
        <v>371</v>
      </c>
      <c r="B12" s="697" t="s">
        <v>372</v>
      </c>
      <c r="C12" s="697" t="s">
        <v>373</v>
      </c>
      <c r="D12" s="700" t="s">
        <v>374</v>
      </c>
      <c r="E12" s="700"/>
      <c r="F12" s="701"/>
      <c r="G12" s="700" t="s">
        <v>375</v>
      </c>
      <c r="H12" s="700"/>
      <c r="I12" s="701"/>
      <c r="J12" s="700" t="s">
        <v>66</v>
      </c>
      <c r="K12" s="700"/>
      <c r="L12" s="701"/>
      <c r="M12" s="684" t="s">
        <v>376</v>
      </c>
      <c r="N12" s="685"/>
      <c r="O12" s="686"/>
    </row>
    <row r="13" spans="1:15" ht="16.5" thickBot="1">
      <c r="A13" s="698"/>
      <c r="B13" s="698"/>
      <c r="C13" s="698"/>
      <c r="D13" s="702"/>
      <c r="E13" s="702"/>
      <c r="F13" s="703"/>
      <c r="G13" s="702"/>
      <c r="H13" s="702"/>
      <c r="I13" s="703"/>
      <c r="J13" s="702"/>
      <c r="K13" s="702"/>
      <c r="L13" s="703"/>
      <c r="M13" s="687"/>
      <c r="N13" s="688"/>
      <c r="O13" s="683"/>
    </row>
    <row r="14" spans="1:15" ht="15.75">
      <c r="A14" s="698"/>
      <c r="B14" s="698"/>
      <c r="C14" s="698"/>
      <c r="D14" s="689" t="s">
        <v>380</v>
      </c>
      <c r="E14" s="689" t="s">
        <v>381</v>
      </c>
      <c r="F14" s="689" t="s">
        <v>542</v>
      </c>
      <c r="G14" s="689" t="s">
        <v>380</v>
      </c>
      <c r="H14" s="689" t="s">
        <v>381</v>
      </c>
      <c r="I14" s="689" t="s">
        <v>542</v>
      </c>
      <c r="J14" s="689" t="s">
        <v>380</v>
      </c>
      <c r="K14" s="689" t="s">
        <v>381</v>
      </c>
      <c r="L14" s="689" t="s">
        <v>542</v>
      </c>
      <c r="M14" s="689" t="s">
        <v>377</v>
      </c>
      <c r="N14" s="680" t="s">
        <v>375</v>
      </c>
      <c r="O14" s="682" t="s">
        <v>378</v>
      </c>
    </row>
    <row r="15" spans="1:15" ht="16.5" thickBot="1">
      <c r="A15" s="699"/>
      <c r="B15" s="699"/>
      <c r="C15" s="699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81"/>
      <c r="O15" s="683"/>
    </row>
    <row r="16" spans="1:16" ht="26.25" customHeight="1">
      <c r="A16" s="731" t="s">
        <v>44</v>
      </c>
      <c r="B16" s="709" t="s">
        <v>383</v>
      </c>
      <c r="C16" s="704"/>
      <c r="D16" s="691">
        <f>12559-9743</f>
        <v>2816</v>
      </c>
      <c r="E16" s="691"/>
      <c r="F16" s="691"/>
      <c r="G16" s="691"/>
      <c r="H16" s="691">
        <v>9743</v>
      </c>
      <c r="I16" s="691"/>
      <c r="J16" s="691">
        <f>D16+G16</f>
        <v>2816</v>
      </c>
      <c r="K16" s="691">
        <f>F16+H16</f>
        <v>9743</v>
      </c>
      <c r="L16" s="691"/>
      <c r="M16" s="718">
        <f>D16+F16</f>
        <v>2816</v>
      </c>
      <c r="N16" s="715">
        <f>G16+H16</f>
        <v>9743</v>
      </c>
      <c r="O16" s="694">
        <f>J16+K16</f>
        <v>12559</v>
      </c>
      <c r="P16" s="187"/>
    </row>
    <row r="17" spans="1:15" ht="26.25" customHeight="1">
      <c r="A17" s="723"/>
      <c r="B17" s="710"/>
      <c r="C17" s="705"/>
      <c r="D17" s="692"/>
      <c r="E17" s="692"/>
      <c r="F17" s="692"/>
      <c r="G17" s="692"/>
      <c r="H17" s="692"/>
      <c r="I17" s="692"/>
      <c r="J17" s="692"/>
      <c r="K17" s="692"/>
      <c r="L17" s="692"/>
      <c r="M17" s="719"/>
      <c r="N17" s="716"/>
      <c r="O17" s="695"/>
    </row>
    <row r="18" spans="1:15" s="191" customFormat="1" ht="26.25" customHeight="1" thickBot="1">
      <c r="A18" s="732"/>
      <c r="B18" s="711"/>
      <c r="C18" s="706"/>
      <c r="D18" s="707"/>
      <c r="E18" s="707"/>
      <c r="F18" s="707"/>
      <c r="G18" s="693"/>
      <c r="H18" s="693"/>
      <c r="I18" s="693"/>
      <c r="J18" s="693"/>
      <c r="K18" s="693"/>
      <c r="L18" s="693"/>
      <c r="M18" s="720"/>
      <c r="N18" s="717"/>
      <c r="O18" s="696"/>
    </row>
    <row r="19" spans="1:15" ht="26.25" customHeight="1" thickTop="1">
      <c r="A19" s="722"/>
      <c r="B19" s="725" t="s">
        <v>379</v>
      </c>
      <c r="C19" s="728"/>
      <c r="D19" s="712">
        <f>D16</f>
        <v>2816</v>
      </c>
      <c r="E19" s="712"/>
      <c r="F19" s="712">
        <f aca="true" t="shared" si="0" ref="F19:O19">F16</f>
        <v>0</v>
      </c>
      <c r="G19" s="712">
        <f t="shared" si="0"/>
        <v>0</v>
      </c>
      <c r="H19" s="712">
        <f>H16</f>
        <v>9743</v>
      </c>
      <c r="I19" s="712">
        <f>I16</f>
        <v>0</v>
      </c>
      <c r="J19" s="712">
        <f t="shared" si="0"/>
        <v>2816</v>
      </c>
      <c r="K19" s="712">
        <f>K16</f>
        <v>9743</v>
      </c>
      <c r="L19" s="712"/>
      <c r="M19" s="712">
        <f t="shared" si="0"/>
        <v>2816</v>
      </c>
      <c r="N19" s="712">
        <f t="shared" si="0"/>
        <v>9743</v>
      </c>
      <c r="O19" s="712">
        <f t="shared" si="0"/>
        <v>12559</v>
      </c>
    </row>
    <row r="20" spans="1:15" ht="26.25" customHeight="1">
      <c r="A20" s="723"/>
      <c r="B20" s="726"/>
      <c r="C20" s="729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</row>
    <row r="21" spans="1:15" s="191" customFormat="1" ht="26.25" customHeight="1" thickBot="1">
      <c r="A21" s="724"/>
      <c r="B21" s="727"/>
      <c r="C21" s="730"/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</row>
    <row r="22" spans="1:15" ht="26.25" customHeight="1" thickTop="1">
      <c r="A22" s="192"/>
      <c r="B22" s="192"/>
      <c r="C22" s="192"/>
      <c r="D22" s="193"/>
      <c r="E22" s="193"/>
      <c r="F22" s="193"/>
      <c r="G22" s="194"/>
      <c r="H22" s="194"/>
      <c r="I22" s="194"/>
      <c r="J22" s="194"/>
      <c r="K22" s="194"/>
      <c r="L22" s="194"/>
      <c r="M22" s="193"/>
      <c r="N22" s="194"/>
      <c r="O22" s="193"/>
    </row>
    <row r="23" spans="1:15" ht="26.25" customHeight="1">
      <c r="A23" s="192"/>
      <c r="B23" s="192"/>
      <c r="C23" s="192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</row>
    <row r="24" spans="1:15" ht="26.25" customHeight="1">
      <c r="A24" s="192"/>
      <c r="B24" s="192"/>
      <c r="C24" s="192"/>
      <c r="D24" s="193"/>
      <c r="E24" s="193"/>
      <c r="F24" s="193"/>
      <c r="G24" s="193"/>
      <c r="H24" s="193"/>
      <c r="I24" s="193"/>
      <c r="J24" s="194"/>
      <c r="K24" s="194"/>
      <c r="L24" s="194"/>
      <c r="M24" s="193"/>
      <c r="N24" s="193"/>
      <c r="O24" s="193"/>
    </row>
    <row r="25" spans="1:15" ht="26.25" customHeight="1">
      <c r="A25" s="192"/>
      <c r="B25" s="192"/>
      <c r="C25" s="192"/>
      <c r="D25" s="193"/>
      <c r="E25" s="193"/>
      <c r="F25" s="193"/>
      <c r="G25" s="194"/>
      <c r="H25" s="194"/>
      <c r="I25" s="194"/>
      <c r="J25" s="193"/>
      <c r="K25" s="193"/>
      <c r="L25" s="193"/>
      <c r="M25" s="193"/>
      <c r="N25" s="193"/>
      <c r="O25" s="193"/>
    </row>
    <row r="26" spans="1:15" ht="26.25" customHeight="1">
      <c r="A26" s="192"/>
      <c r="B26" s="192"/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</row>
    <row r="30" spans="7:9" ht="15.75">
      <c r="G30" s="187"/>
      <c r="H30" s="187"/>
      <c r="I30" s="187"/>
    </row>
  </sheetData>
  <sheetProtection password="AF00" sheet="1" objects="1" scenarios="1" selectLockedCells="1" selectUnlockedCells="1"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O9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5" ht="19.5" customHeight="1">
      <c r="A1" s="721" t="s">
        <v>658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</row>
    <row r="2" spans="1:13" ht="12.75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</row>
    <row r="4" spans="1:13" ht="20.25" customHeight="1">
      <c r="A4" s="760"/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</row>
    <row r="5" spans="1:13" s="50" customFormat="1" ht="15.75">
      <c r="A5" s="517" t="s">
        <v>41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</row>
    <row r="6" spans="1:13" s="50" customFormat="1" ht="15.75">
      <c r="A6" s="517" t="s">
        <v>384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</row>
    <row r="7" spans="1:13" s="50" customFormat="1" ht="15.75">
      <c r="A7" s="517" t="s">
        <v>480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</row>
    <row r="8" spans="1:13" ht="12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s="50" customFormat="1" ht="15.75">
      <c r="A9" s="196" t="s">
        <v>385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3" ht="12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1" spans="1:13" ht="15.75">
      <c r="A11" s="197" t="s">
        <v>541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" customHeight="1" thickBo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13" ht="16.5" thickBot="1">
      <c r="A13" s="763" t="s">
        <v>386</v>
      </c>
      <c r="B13" s="764"/>
      <c r="C13" s="764"/>
      <c r="D13" s="767" t="s">
        <v>387</v>
      </c>
      <c r="E13" s="768"/>
      <c r="F13" s="769"/>
      <c r="G13" s="767" t="s">
        <v>388</v>
      </c>
      <c r="H13" s="768"/>
      <c r="I13" s="769"/>
      <c r="J13" s="767" t="s">
        <v>389</v>
      </c>
      <c r="K13" s="768"/>
      <c r="L13" s="769"/>
      <c r="M13" s="733" t="s">
        <v>390</v>
      </c>
    </row>
    <row r="14" spans="1:13" ht="15.75">
      <c r="A14" s="765"/>
      <c r="B14" s="766"/>
      <c r="C14" s="766"/>
      <c r="D14" s="198" t="s">
        <v>391</v>
      </c>
      <c r="E14" s="199" t="s">
        <v>392</v>
      </c>
      <c r="F14" s="200" t="s">
        <v>393</v>
      </c>
      <c r="G14" s="199" t="s">
        <v>394</v>
      </c>
      <c r="H14" s="199" t="s">
        <v>392</v>
      </c>
      <c r="I14" s="200" t="s">
        <v>395</v>
      </c>
      <c r="J14" s="199" t="s">
        <v>394</v>
      </c>
      <c r="K14" s="200" t="s">
        <v>392</v>
      </c>
      <c r="L14" s="199" t="s">
        <v>395</v>
      </c>
      <c r="M14" s="734"/>
    </row>
    <row r="15" spans="1:13" ht="16.5" thickBot="1">
      <c r="A15" s="765"/>
      <c r="B15" s="766"/>
      <c r="C15" s="766"/>
      <c r="D15" s="201" t="s">
        <v>396</v>
      </c>
      <c r="E15" s="202" t="s">
        <v>397</v>
      </c>
      <c r="F15" s="203" t="s">
        <v>6</v>
      </c>
      <c r="G15" s="204" t="s">
        <v>396</v>
      </c>
      <c r="H15" s="202" t="s">
        <v>397</v>
      </c>
      <c r="I15" s="203" t="s">
        <v>6</v>
      </c>
      <c r="J15" s="204" t="s">
        <v>396</v>
      </c>
      <c r="K15" s="203" t="s">
        <v>397</v>
      </c>
      <c r="L15" s="202" t="s">
        <v>6</v>
      </c>
      <c r="M15" s="735"/>
    </row>
    <row r="16" spans="1:13" ht="7.5" customHeight="1">
      <c r="A16" s="736" t="s">
        <v>398</v>
      </c>
      <c r="B16" s="737"/>
      <c r="C16" s="738"/>
      <c r="D16" s="745"/>
      <c r="E16" s="748"/>
      <c r="F16" s="751"/>
      <c r="G16" s="754" t="s">
        <v>399</v>
      </c>
      <c r="H16" s="757"/>
      <c r="I16" s="771">
        <v>2208</v>
      </c>
      <c r="J16" s="748"/>
      <c r="K16" s="748"/>
      <c r="L16" s="748"/>
      <c r="M16" s="773">
        <f>I16</f>
        <v>2208</v>
      </c>
    </row>
    <row r="17" spans="1:13" ht="7.5" customHeight="1">
      <c r="A17" s="739"/>
      <c r="B17" s="740"/>
      <c r="C17" s="741"/>
      <c r="D17" s="746"/>
      <c r="E17" s="749"/>
      <c r="F17" s="752"/>
      <c r="G17" s="755"/>
      <c r="H17" s="758"/>
      <c r="I17" s="749"/>
      <c r="J17" s="749"/>
      <c r="K17" s="749"/>
      <c r="L17" s="749"/>
      <c r="M17" s="749"/>
    </row>
    <row r="18" spans="1:13" ht="15.75" customHeight="1" thickBot="1">
      <c r="A18" s="742"/>
      <c r="B18" s="743"/>
      <c r="C18" s="744"/>
      <c r="D18" s="747"/>
      <c r="E18" s="750"/>
      <c r="F18" s="753"/>
      <c r="G18" s="756"/>
      <c r="H18" s="759"/>
      <c r="I18" s="772"/>
      <c r="J18" s="750"/>
      <c r="K18" s="750"/>
      <c r="L18" s="750"/>
      <c r="M18" s="750"/>
    </row>
    <row r="19" spans="1:13" s="111" customFormat="1" ht="12.75" customHeight="1">
      <c r="A19" s="774" t="s">
        <v>2</v>
      </c>
      <c r="B19" s="775"/>
      <c r="C19" s="776"/>
      <c r="D19" s="761"/>
      <c r="E19" s="761"/>
      <c r="F19" s="780">
        <f>SUM(F16)</f>
        <v>0</v>
      </c>
      <c r="G19" s="761"/>
      <c r="H19" s="761"/>
      <c r="I19" s="761">
        <f>I16</f>
        <v>2208</v>
      </c>
      <c r="J19" s="761"/>
      <c r="K19" s="761"/>
      <c r="L19" s="761"/>
      <c r="M19" s="770">
        <f>M16</f>
        <v>2208</v>
      </c>
    </row>
    <row r="20" spans="1:13" s="111" customFormat="1" ht="13.5" customHeight="1" thickBot="1">
      <c r="A20" s="777"/>
      <c r="B20" s="778"/>
      <c r="C20" s="779"/>
      <c r="D20" s="762"/>
      <c r="E20" s="762"/>
      <c r="F20" s="781"/>
      <c r="G20" s="762"/>
      <c r="H20" s="762"/>
      <c r="I20" s="762"/>
      <c r="J20" s="762"/>
      <c r="K20" s="762"/>
      <c r="L20" s="762"/>
      <c r="M20" s="762"/>
    </row>
    <row r="21" spans="1:13" ht="12" customHeight="1">
      <c r="A21" s="195"/>
      <c r="B21" s="195"/>
      <c r="C21" s="195"/>
      <c r="D21" s="195"/>
      <c r="E21" s="195"/>
      <c r="F21" s="205"/>
      <c r="G21" s="195"/>
      <c r="H21" s="195"/>
      <c r="I21" s="195"/>
      <c r="J21" s="195"/>
      <c r="K21" s="195"/>
      <c r="L21" s="195"/>
      <c r="M21" s="195"/>
    </row>
    <row r="22" spans="1:6" s="197" customFormat="1" ht="12" customHeight="1">
      <c r="A22" s="197" t="s">
        <v>400</v>
      </c>
      <c r="F22" s="206"/>
    </row>
    <row r="23" spans="1:13" ht="17.25" customHeight="1">
      <c r="A23" s="207" t="s">
        <v>401</v>
      </c>
      <c r="B23" s="207"/>
      <c r="C23" s="207"/>
      <c r="D23" s="207"/>
      <c r="E23" s="207"/>
      <c r="F23" s="208"/>
      <c r="G23" s="209" t="s">
        <v>6</v>
      </c>
      <c r="H23" s="195"/>
      <c r="I23" s="195"/>
      <c r="J23" s="195"/>
      <c r="K23" s="195"/>
      <c r="L23" s="195"/>
      <c r="M23" s="195"/>
    </row>
    <row r="24" spans="1:13" ht="17.25" customHeight="1">
      <c r="A24" s="207" t="s">
        <v>402</v>
      </c>
      <c r="B24" s="207"/>
      <c r="C24" s="207"/>
      <c r="D24" s="207"/>
      <c r="E24" s="207"/>
      <c r="F24" s="208"/>
      <c r="G24" s="209" t="s">
        <v>6</v>
      </c>
      <c r="H24" s="195"/>
      <c r="I24" s="195"/>
      <c r="J24" s="195"/>
      <c r="K24" s="195"/>
      <c r="L24" s="195"/>
      <c r="M24" s="195"/>
    </row>
    <row r="25" spans="1:13" ht="15.75" customHeight="1">
      <c r="A25" s="207" t="s">
        <v>403</v>
      </c>
      <c r="B25" s="207"/>
      <c r="C25" s="207"/>
      <c r="D25" s="207"/>
      <c r="E25" s="207"/>
      <c r="F25" s="210">
        <v>324</v>
      </c>
      <c r="G25" s="211" t="s">
        <v>6</v>
      </c>
      <c r="H25" s="195"/>
      <c r="I25" s="195"/>
      <c r="J25" s="195"/>
      <c r="K25" s="195"/>
      <c r="L25" s="195"/>
      <c r="M25" s="195"/>
    </row>
    <row r="26" spans="1:13" ht="17.25" customHeight="1">
      <c r="A26" s="207" t="s">
        <v>404</v>
      </c>
      <c r="B26" s="207"/>
      <c r="C26" s="207"/>
      <c r="D26" s="207"/>
      <c r="E26" s="207"/>
      <c r="F26" s="212">
        <f>SUM(F23:F25)</f>
        <v>324</v>
      </c>
      <c r="G26" s="213" t="s">
        <v>6</v>
      </c>
      <c r="H26" s="195"/>
      <c r="I26" s="195"/>
      <c r="J26" s="195"/>
      <c r="K26" s="195"/>
      <c r="L26" s="195"/>
      <c r="M26" s="195"/>
    </row>
    <row r="27" spans="1:13" ht="13.5" customHeight="1">
      <c r="A27" s="207"/>
      <c r="B27" s="207"/>
      <c r="C27" s="207"/>
      <c r="D27" s="207"/>
      <c r="E27" s="207"/>
      <c r="F27" s="212"/>
      <c r="G27" s="213"/>
      <c r="H27" s="195"/>
      <c r="I27" s="195"/>
      <c r="J27" s="195"/>
      <c r="K27" s="195"/>
      <c r="L27" s="195"/>
      <c r="M27" s="195"/>
    </row>
    <row r="28" spans="1:13" ht="15.75">
      <c r="A28" s="197" t="s">
        <v>405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3.5" customHeight="1">
      <c r="A29" s="207"/>
      <c r="B29" s="207"/>
      <c r="C29" s="207"/>
      <c r="D29" s="207"/>
      <c r="E29" s="207"/>
      <c r="F29" s="212"/>
      <c r="G29" s="213"/>
      <c r="H29" s="195"/>
      <c r="I29" s="195"/>
      <c r="J29" s="195"/>
      <c r="K29" s="195"/>
      <c r="L29" s="195"/>
      <c r="M29" s="195"/>
    </row>
    <row r="30" spans="1:13" ht="13.5" customHeight="1" thickBot="1">
      <c r="A30" s="207"/>
      <c r="B30" s="207"/>
      <c r="C30" s="207"/>
      <c r="D30" s="207"/>
      <c r="E30" s="207"/>
      <c r="F30" s="212"/>
      <c r="G30" s="213"/>
      <c r="H30" s="195"/>
      <c r="I30" s="195"/>
      <c r="J30" s="195"/>
      <c r="K30" s="195"/>
      <c r="L30" s="195"/>
      <c r="M30" s="195"/>
    </row>
    <row r="31" spans="1:13" ht="16.5" thickBot="1">
      <c r="A31" s="763" t="s">
        <v>386</v>
      </c>
      <c r="B31" s="764"/>
      <c r="C31" s="764"/>
      <c r="D31" s="767" t="s">
        <v>387</v>
      </c>
      <c r="E31" s="768"/>
      <c r="F31" s="769"/>
      <c r="G31" s="767" t="s">
        <v>388</v>
      </c>
      <c r="H31" s="768"/>
      <c r="I31" s="769"/>
      <c r="J31" s="767" t="s">
        <v>389</v>
      </c>
      <c r="K31" s="768"/>
      <c r="L31" s="769"/>
      <c r="M31" s="733" t="s">
        <v>390</v>
      </c>
    </row>
    <row r="32" spans="1:13" ht="15.75">
      <c r="A32" s="765"/>
      <c r="B32" s="766"/>
      <c r="C32" s="766"/>
      <c r="D32" s="198" t="s">
        <v>391</v>
      </c>
      <c r="E32" s="199" t="s">
        <v>392</v>
      </c>
      <c r="F32" s="200" t="s">
        <v>393</v>
      </c>
      <c r="G32" s="199" t="s">
        <v>394</v>
      </c>
      <c r="H32" s="199" t="s">
        <v>392</v>
      </c>
      <c r="I32" s="200" t="s">
        <v>395</v>
      </c>
      <c r="J32" s="199" t="s">
        <v>394</v>
      </c>
      <c r="K32" s="200" t="s">
        <v>392</v>
      </c>
      <c r="L32" s="199" t="s">
        <v>395</v>
      </c>
      <c r="M32" s="734"/>
    </row>
    <row r="33" spans="1:13" ht="16.5" thickBot="1">
      <c r="A33" s="765"/>
      <c r="B33" s="766"/>
      <c r="C33" s="766"/>
      <c r="D33" s="201" t="s">
        <v>396</v>
      </c>
      <c r="E33" s="202" t="s">
        <v>397</v>
      </c>
      <c r="F33" s="203" t="s">
        <v>6</v>
      </c>
      <c r="G33" s="204" t="s">
        <v>396</v>
      </c>
      <c r="H33" s="202" t="s">
        <v>397</v>
      </c>
      <c r="I33" s="203" t="s">
        <v>6</v>
      </c>
      <c r="J33" s="204" t="s">
        <v>396</v>
      </c>
      <c r="K33" s="203" t="s">
        <v>397</v>
      </c>
      <c r="L33" s="202" t="s">
        <v>6</v>
      </c>
      <c r="M33" s="735"/>
    </row>
    <row r="34" spans="1:13" ht="7.5" customHeight="1">
      <c r="A34" s="783" t="s">
        <v>406</v>
      </c>
      <c r="B34" s="784"/>
      <c r="C34" s="785"/>
      <c r="D34" s="745" t="s">
        <v>407</v>
      </c>
      <c r="E34" s="748"/>
      <c r="F34" s="751"/>
      <c r="G34" s="782"/>
      <c r="H34" s="782"/>
      <c r="I34" s="782"/>
      <c r="J34" s="748"/>
      <c r="K34" s="748"/>
      <c r="L34" s="748"/>
      <c r="M34" s="773">
        <f>L34+I34+F34</f>
        <v>0</v>
      </c>
    </row>
    <row r="35" spans="1:13" ht="7.5" customHeight="1">
      <c r="A35" s="786"/>
      <c r="B35" s="787"/>
      <c r="C35" s="788"/>
      <c r="D35" s="746"/>
      <c r="E35" s="749"/>
      <c r="F35" s="752"/>
      <c r="G35" s="782"/>
      <c r="H35" s="782"/>
      <c r="I35" s="782"/>
      <c r="J35" s="749"/>
      <c r="K35" s="749"/>
      <c r="L35" s="749"/>
      <c r="M35" s="749"/>
    </row>
    <row r="36" spans="1:13" ht="7.5" customHeight="1">
      <c r="A36" s="789"/>
      <c r="B36" s="790"/>
      <c r="C36" s="791"/>
      <c r="D36" s="747"/>
      <c r="E36" s="750"/>
      <c r="F36" s="753"/>
      <c r="G36" s="782"/>
      <c r="H36" s="782"/>
      <c r="I36" s="782"/>
      <c r="J36" s="750"/>
      <c r="K36" s="750"/>
      <c r="L36" s="750"/>
      <c r="M36" s="750"/>
    </row>
    <row r="37" spans="1:13" ht="7.5" customHeight="1">
      <c r="A37" s="821" t="s">
        <v>478</v>
      </c>
      <c r="B37" s="822"/>
      <c r="C37" s="823"/>
      <c r="D37" s="745" t="s">
        <v>479</v>
      </c>
      <c r="E37" s="748"/>
      <c r="F37" s="751">
        <v>71</v>
      </c>
      <c r="G37" s="748"/>
      <c r="H37" s="748"/>
      <c r="I37" s="748"/>
      <c r="J37" s="748"/>
      <c r="K37" s="748"/>
      <c r="L37" s="748"/>
      <c r="M37" s="773">
        <f>L37+I37+F37</f>
        <v>71</v>
      </c>
    </row>
    <row r="38" spans="1:13" ht="7.5" customHeight="1">
      <c r="A38" s="824"/>
      <c r="B38" s="825"/>
      <c r="C38" s="826"/>
      <c r="D38" s="830"/>
      <c r="E38" s="793"/>
      <c r="F38" s="793"/>
      <c r="G38" s="793"/>
      <c r="H38" s="793"/>
      <c r="I38" s="793"/>
      <c r="J38" s="793"/>
      <c r="K38" s="793"/>
      <c r="L38" s="793"/>
      <c r="M38" s="749"/>
    </row>
    <row r="39" spans="1:13" ht="7.5" customHeight="1">
      <c r="A39" s="827"/>
      <c r="B39" s="828"/>
      <c r="C39" s="829"/>
      <c r="D39" s="831"/>
      <c r="E39" s="794"/>
      <c r="F39" s="794"/>
      <c r="G39" s="794"/>
      <c r="H39" s="794"/>
      <c r="I39" s="794"/>
      <c r="J39" s="794"/>
      <c r="K39" s="794"/>
      <c r="L39" s="794"/>
      <c r="M39" s="750"/>
    </row>
    <row r="40" spans="1:13" ht="7.5" customHeight="1">
      <c r="A40" s="783" t="s">
        <v>408</v>
      </c>
      <c r="B40" s="784"/>
      <c r="C40" s="785"/>
      <c r="D40" s="745"/>
      <c r="E40" s="748"/>
      <c r="F40" s="751"/>
      <c r="G40" s="795" t="s">
        <v>409</v>
      </c>
      <c r="H40" s="782"/>
      <c r="I40" s="792">
        <v>226</v>
      </c>
      <c r="J40" s="748"/>
      <c r="K40" s="748"/>
      <c r="L40" s="748"/>
      <c r="M40" s="773">
        <f>L40+I40+F40</f>
        <v>226</v>
      </c>
    </row>
    <row r="41" spans="1:13" ht="7.5" customHeight="1">
      <c r="A41" s="786"/>
      <c r="B41" s="787"/>
      <c r="C41" s="788"/>
      <c r="D41" s="746"/>
      <c r="E41" s="749"/>
      <c r="F41" s="752"/>
      <c r="G41" s="795"/>
      <c r="H41" s="782"/>
      <c r="I41" s="792"/>
      <c r="J41" s="749"/>
      <c r="K41" s="749"/>
      <c r="L41" s="749"/>
      <c r="M41" s="749"/>
    </row>
    <row r="42" spans="1:13" ht="7.5" customHeight="1" thickBot="1">
      <c r="A42" s="789"/>
      <c r="B42" s="790"/>
      <c r="C42" s="791"/>
      <c r="D42" s="747"/>
      <c r="E42" s="750"/>
      <c r="F42" s="753"/>
      <c r="G42" s="795"/>
      <c r="H42" s="782"/>
      <c r="I42" s="792"/>
      <c r="J42" s="750"/>
      <c r="K42" s="750"/>
      <c r="L42" s="750"/>
      <c r="M42" s="750"/>
    </row>
    <row r="43" spans="1:13" s="111" customFormat="1" ht="12.75" customHeight="1">
      <c r="A43" s="774" t="s">
        <v>2</v>
      </c>
      <c r="B43" s="775"/>
      <c r="C43" s="776"/>
      <c r="D43" s="761"/>
      <c r="E43" s="761"/>
      <c r="F43" s="780">
        <f>SUM(F34:F42)</f>
        <v>71</v>
      </c>
      <c r="G43" s="761"/>
      <c r="H43" s="761"/>
      <c r="I43" s="770">
        <f>SUM(I40:I42)</f>
        <v>226</v>
      </c>
      <c r="J43" s="761"/>
      <c r="K43" s="761"/>
      <c r="L43" s="761"/>
      <c r="M43" s="770">
        <f>SUM(M34:M42)</f>
        <v>297</v>
      </c>
    </row>
    <row r="44" spans="1:13" s="111" customFormat="1" ht="13.5" customHeight="1" thickBot="1">
      <c r="A44" s="777"/>
      <c r="B44" s="778"/>
      <c r="C44" s="779"/>
      <c r="D44" s="762"/>
      <c r="E44" s="762"/>
      <c r="F44" s="781"/>
      <c r="G44" s="762"/>
      <c r="H44" s="762"/>
      <c r="I44" s="762"/>
      <c r="J44" s="762"/>
      <c r="K44" s="762"/>
      <c r="L44" s="762"/>
      <c r="M44" s="762"/>
    </row>
    <row r="45" spans="1:13" ht="13.5" customHeight="1">
      <c r="A45" s="207"/>
      <c r="B45" s="207"/>
      <c r="C45" s="207"/>
      <c r="D45" s="207"/>
      <c r="E45" s="207"/>
      <c r="F45" s="212"/>
      <c r="G45" s="213"/>
      <c r="H45" s="195"/>
      <c r="I45" s="195"/>
      <c r="J45" s="195"/>
      <c r="K45" s="195"/>
      <c r="L45" s="195"/>
      <c r="M45" s="195"/>
    </row>
    <row r="46" spans="1:13" ht="13.5" customHeight="1">
      <c r="A46" s="207"/>
      <c r="B46" s="207"/>
      <c r="C46" s="207"/>
      <c r="D46" s="207"/>
      <c r="E46" s="207"/>
      <c r="F46" s="212"/>
      <c r="G46" s="213"/>
      <c r="H46" s="195"/>
      <c r="I46" s="195"/>
      <c r="J46" s="195"/>
      <c r="K46" s="195"/>
      <c r="L46" s="195"/>
      <c r="M46" s="195"/>
    </row>
    <row r="47" spans="1:13" ht="13.5" customHeight="1">
      <c r="A47" s="207"/>
      <c r="B47" s="207"/>
      <c r="C47" s="207"/>
      <c r="D47" s="207"/>
      <c r="E47" s="207"/>
      <c r="F47" s="212"/>
      <c r="G47" s="213"/>
      <c r="H47" s="195"/>
      <c r="I47" s="195"/>
      <c r="J47" s="195"/>
      <c r="K47" s="195"/>
      <c r="L47" s="195"/>
      <c r="M47" s="195"/>
    </row>
    <row r="48" spans="1:13" ht="13.5" customHeight="1">
      <c r="A48" s="207"/>
      <c r="B48" s="207"/>
      <c r="C48" s="207"/>
      <c r="D48" s="207"/>
      <c r="E48" s="207"/>
      <c r="F48" s="212"/>
      <c r="G48" s="213"/>
      <c r="H48" s="195"/>
      <c r="I48" s="195"/>
      <c r="J48" s="195"/>
      <c r="K48" s="195"/>
      <c r="L48" s="195"/>
      <c r="M48" s="195"/>
    </row>
    <row r="49" spans="1:13" ht="13.5" customHeight="1">
      <c r="A49" s="207"/>
      <c r="B49" s="207"/>
      <c r="C49" s="207"/>
      <c r="D49" s="207"/>
      <c r="E49" s="207"/>
      <c r="F49" s="212"/>
      <c r="G49" s="213"/>
      <c r="H49" s="195"/>
      <c r="I49" s="195"/>
      <c r="J49" s="195"/>
      <c r="K49" s="195"/>
      <c r="L49" s="195"/>
      <c r="M49" s="195"/>
    </row>
    <row r="50" spans="1:13" ht="13.5" customHeight="1">
      <c r="A50" s="207"/>
      <c r="B50" s="207"/>
      <c r="C50" s="207"/>
      <c r="D50" s="207"/>
      <c r="E50" s="207"/>
      <c r="F50" s="212"/>
      <c r="G50" s="213"/>
      <c r="H50" s="195"/>
      <c r="I50" s="195"/>
      <c r="J50" s="195"/>
      <c r="K50" s="195"/>
      <c r="L50" s="195"/>
      <c r="M50" s="195"/>
    </row>
    <row r="51" spans="1:13" ht="13.5" customHeight="1">
      <c r="A51" s="207"/>
      <c r="B51" s="207"/>
      <c r="C51" s="207"/>
      <c r="D51" s="207"/>
      <c r="E51" s="207"/>
      <c r="F51" s="212"/>
      <c r="G51" s="213"/>
      <c r="H51" s="195"/>
      <c r="I51" s="195"/>
      <c r="J51" s="195"/>
      <c r="K51" s="195"/>
      <c r="L51" s="195"/>
      <c r="M51" s="195"/>
    </row>
    <row r="52" spans="1:13" ht="13.5" customHeight="1">
      <c r="A52" s="207"/>
      <c r="B52" s="207"/>
      <c r="C52" s="207"/>
      <c r="D52" s="207"/>
      <c r="E52" s="207"/>
      <c r="F52" s="212"/>
      <c r="G52" s="213"/>
      <c r="H52" s="195"/>
      <c r="I52" s="195"/>
      <c r="J52" s="195"/>
      <c r="K52" s="195"/>
      <c r="L52" s="195"/>
      <c r="M52" s="195"/>
    </row>
    <row r="53" spans="1:13" ht="13.5" customHeight="1">
      <c r="A53" s="207"/>
      <c r="B53" s="207"/>
      <c r="C53" s="207"/>
      <c r="D53" s="207"/>
      <c r="E53" s="207"/>
      <c r="F53" s="212"/>
      <c r="G53" s="213"/>
      <c r="H53" s="195"/>
      <c r="I53" s="195"/>
      <c r="J53" s="195"/>
      <c r="K53" s="195"/>
      <c r="L53" s="195"/>
      <c r="M53" s="195"/>
    </row>
    <row r="54" spans="1:13" ht="13.5" customHeight="1">
      <c r="A54" s="207"/>
      <c r="B54" s="207"/>
      <c r="C54" s="207"/>
      <c r="D54" s="207"/>
      <c r="E54" s="207"/>
      <c r="F54" s="212"/>
      <c r="G54" s="213"/>
      <c r="H54" s="195"/>
      <c r="I54" s="195"/>
      <c r="J54" s="195"/>
      <c r="K54" s="195"/>
      <c r="L54" s="195"/>
      <c r="M54" s="195"/>
    </row>
    <row r="55" spans="1:13" ht="13.5" customHeight="1">
      <c r="A55" s="207"/>
      <c r="B55" s="207"/>
      <c r="C55" s="207"/>
      <c r="D55" s="207"/>
      <c r="E55" s="207"/>
      <c r="F55" s="212"/>
      <c r="G55" s="213"/>
      <c r="H55" s="195"/>
      <c r="I55" s="195"/>
      <c r="J55" s="195"/>
      <c r="K55" s="195"/>
      <c r="L55" s="195"/>
      <c r="M55" s="195"/>
    </row>
    <row r="56" spans="1:13" ht="13.5" customHeight="1">
      <c r="A56" s="207"/>
      <c r="B56" s="207"/>
      <c r="C56" s="207"/>
      <c r="D56" s="207"/>
      <c r="E56" s="207"/>
      <c r="F56" s="212"/>
      <c r="G56" s="213"/>
      <c r="H56" s="195"/>
      <c r="I56" s="195"/>
      <c r="J56" s="195"/>
      <c r="K56" s="195"/>
      <c r="L56" s="195"/>
      <c r="M56" s="195"/>
    </row>
    <row r="57" spans="1:13" ht="15.75">
      <c r="A57" s="7" t="s">
        <v>410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" customHeight="1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</row>
    <row r="59" spans="1:13" ht="15.75">
      <c r="A59" s="7" t="s">
        <v>411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" customHeight="1" thickBot="1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</row>
    <row r="61" spans="1:11" ht="12.75" customHeight="1">
      <c r="A61" s="763" t="s">
        <v>386</v>
      </c>
      <c r="B61" s="764"/>
      <c r="C61" s="764"/>
      <c r="D61" s="763" t="s">
        <v>412</v>
      </c>
      <c r="E61" s="733"/>
      <c r="F61" s="763" t="s">
        <v>413</v>
      </c>
      <c r="G61" s="733"/>
      <c r="H61" s="763" t="s">
        <v>414</v>
      </c>
      <c r="I61" s="733"/>
      <c r="J61" s="763" t="s">
        <v>415</v>
      </c>
      <c r="K61" s="733"/>
    </row>
    <row r="62" spans="1:11" ht="12.75" customHeight="1">
      <c r="A62" s="765"/>
      <c r="B62" s="766"/>
      <c r="C62" s="766"/>
      <c r="D62" s="765"/>
      <c r="E62" s="734"/>
      <c r="F62" s="765"/>
      <c r="G62" s="734"/>
      <c r="H62" s="765"/>
      <c r="I62" s="734"/>
      <c r="J62" s="765"/>
      <c r="K62" s="734"/>
    </row>
    <row r="63" spans="1:11" ht="13.5" customHeight="1" thickBot="1">
      <c r="A63" s="797"/>
      <c r="B63" s="800"/>
      <c r="C63" s="800"/>
      <c r="D63" s="797"/>
      <c r="E63" s="735"/>
      <c r="F63" s="797"/>
      <c r="G63" s="735"/>
      <c r="H63" s="797"/>
      <c r="I63" s="735"/>
      <c r="J63" s="797"/>
      <c r="K63" s="735"/>
    </row>
    <row r="64" spans="1:12" s="50" customFormat="1" ht="25.5" customHeight="1" thickBot="1">
      <c r="A64" s="749" t="s">
        <v>416</v>
      </c>
      <c r="B64" s="749"/>
      <c r="C64" s="749"/>
      <c r="D64" s="749" t="s">
        <v>417</v>
      </c>
      <c r="E64" s="749"/>
      <c r="F64" s="798" t="s">
        <v>417</v>
      </c>
      <c r="G64" s="799"/>
      <c r="H64" s="798" t="s">
        <v>417</v>
      </c>
      <c r="I64" s="799"/>
      <c r="J64" s="749" t="s">
        <v>417</v>
      </c>
      <c r="K64" s="749"/>
      <c r="L64" s="214"/>
    </row>
    <row r="65" spans="1:13" s="111" customFormat="1" ht="12.75" customHeight="1">
      <c r="A65" s="774" t="s">
        <v>2</v>
      </c>
      <c r="B65" s="775"/>
      <c r="C65" s="776"/>
      <c r="D65" s="774"/>
      <c r="E65" s="776"/>
      <c r="F65" s="774"/>
      <c r="G65" s="776"/>
      <c r="H65" s="774"/>
      <c r="I65" s="776"/>
      <c r="J65" s="774" t="s">
        <v>417</v>
      </c>
      <c r="K65" s="776"/>
      <c r="L65" s="796"/>
      <c r="M65" s="796"/>
    </row>
    <row r="66" spans="1:13" s="111" customFormat="1" ht="13.5" customHeight="1" thickBot="1">
      <c r="A66" s="777"/>
      <c r="B66" s="778"/>
      <c r="C66" s="779"/>
      <c r="D66" s="777"/>
      <c r="E66" s="779"/>
      <c r="F66" s="777"/>
      <c r="G66" s="779"/>
      <c r="H66" s="777"/>
      <c r="I66" s="779"/>
      <c r="J66" s="777"/>
      <c r="K66" s="779"/>
      <c r="L66" s="796"/>
      <c r="M66" s="796"/>
    </row>
    <row r="68" spans="1:13" ht="15.75">
      <c r="A68" s="7" t="s">
        <v>418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ht="13.5" thickBot="1"/>
    <row r="70" spans="1:11" ht="12.75" customHeight="1">
      <c r="A70" s="763" t="s">
        <v>386</v>
      </c>
      <c r="B70" s="764"/>
      <c r="C70" s="764"/>
      <c r="D70" s="763" t="s">
        <v>412</v>
      </c>
      <c r="E70" s="733"/>
      <c r="F70" s="763" t="s">
        <v>419</v>
      </c>
      <c r="G70" s="733"/>
      <c r="H70" s="763" t="s">
        <v>414</v>
      </c>
      <c r="I70" s="733"/>
      <c r="J70" s="763" t="s">
        <v>415</v>
      </c>
      <c r="K70" s="733"/>
    </row>
    <row r="71" spans="1:11" ht="12.75" customHeight="1">
      <c r="A71" s="765"/>
      <c r="B71" s="766"/>
      <c r="C71" s="766"/>
      <c r="D71" s="765"/>
      <c r="E71" s="734"/>
      <c r="F71" s="765"/>
      <c r="G71" s="734"/>
      <c r="H71" s="765"/>
      <c r="I71" s="734"/>
      <c r="J71" s="765"/>
      <c r="K71" s="734"/>
    </row>
    <row r="72" spans="1:11" ht="13.5" customHeight="1" thickBot="1">
      <c r="A72" s="797"/>
      <c r="B72" s="800"/>
      <c r="C72" s="800"/>
      <c r="D72" s="797"/>
      <c r="E72" s="735"/>
      <c r="F72" s="797"/>
      <c r="G72" s="735"/>
      <c r="H72" s="797"/>
      <c r="I72" s="735"/>
      <c r="J72" s="797"/>
      <c r="K72" s="735"/>
    </row>
    <row r="73" spans="1:12" s="50" customFormat="1" ht="25.5" customHeight="1" thickBot="1">
      <c r="A73" s="749" t="s">
        <v>420</v>
      </c>
      <c r="B73" s="749"/>
      <c r="C73" s="749"/>
      <c r="D73" s="749" t="s">
        <v>421</v>
      </c>
      <c r="E73" s="749"/>
      <c r="F73" s="818" t="s">
        <v>417</v>
      </c>
      <c r="G73" s="819"/>
      <c r="H73" s="818">
        <v>257</v>
      </c>
      <c r="I73" s="819"/>
      <c r="J73" s="752">
        <v>257</v>
      </c>
      <c r="K73" s="752"/>
      <c r="L73" s="214"/>
    </row>
    <row r="74" spans="1:13" ht="12.75" customHeight="1">
      <c r="A74" s="801" t="s">
        <v>2</v>
      </c>
      <c r="B74" s="802"/>
      <c r="C74" s="803"/>
      <c r="D74" s="807"/>
      <c r="E74" s="808"/>
      <c r="F74" s="810">
        <f>SUM(F73)</f>
        <v>0</v>
      </c>
      <c r="G74" s="811"/>
      <c r="H74" s="814">
        <f>SUM(H73)</f>
        <v>257</v>
      </c>
      <c r="I74" s="815"/>
      <c r="J74" s="814">
        <f>SUM(J73)</f>
        <v>257</v>
      </c>
      <c r="K74" s="815"/>
      <c r="L74" s="820"/>
      <c r="M74" s="820"/>
    </row>
    <row r="75" spans="1:13" ht="13.5" customHeight="1" thickBot="1">
      <c r="A75" s="804"/>
      <c r="B75" s="805"/>
      <c r="C75" s="806"/>
      <c r="D75" s="809"/>
      <c r="E75" s="703"/>
      <c r="F75" s="812"/>
      <c r="G75" s="813"/>
      <c r="H75" s="816"/>
      <c r="I75" s="817"/>
      <c r="J75" s="816"/>
      <c r="K75" s="817"/>
      <c r="L75" s="820"/>
      <c r="M75" s="820"/>
    </row>
    <row r="77" spans="1:13" ht="15.75">
      <c r="A77" s="7" t="s">
        <v>422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ht="13.5" thickBot="1"/>
    <row r="79" spans="1:11" ht="12.75" customHeight="1">
      <c r="A79" s="763" t="s">
        <v>386</v>
      </c>
      <c r="B79" s="764"/>
      <c r="C79" s="764"/>
      <c r="D79" s="763" t="s">
        <v>412</v>
      </c>
      <c r="E79" s="733"/>
      <c r="F79" s="763" t="s">
        <v>413</v>
      </c>
      <c r="G79" s="733"/>
      <c r="H79" s="763" t="s">
        <v>414</v>
      </c>
      <c r="I79" s="733"/>
      <c r="J79" s="763" t="s">
        <v>415</v>
      </c>
      <c r="K79" s="733"/>
    </row>
    <row r="80" spans="1:11" ht="12.75" customHeight="1">
      <c r="A80" s="765"/>
      <c r="B80" s="766"/>
      <c r="C80" s="766"/>
      <c r="D80" s="765"/>
      <c r="E80" s="734"/>
      <c r="F80" s="765"/>
      <c r="G80" s="734"/>
      <c r="H80" s="765"/>
      <c r="I80" s="734"/>
      <c r="J80" s="765"/>
      <c r="K80" s="734"/>
    </row>
    <row r="81" spans="1:11" ht="13.5" customHeight="1" thickBot="1">
      <c r="A81" s="797"/>
      <c r="B81" s="800"/>
      <c r="C81" s="800"/>
      <c r="D81" s="797"/>
      <c r="E81" s="735"/>
      <c r="F81" s="797"/>
      <c r="G81" s="735"/>
      <c r="H81" s="797"/>
      <c r="I81" s="735"/>
      <c r="J81" s="797"/>
      <c r="K81" s="735"/>
    </row>
    <row r="82" spans="1:12" s="50" customFormat="1" ht="25.5" customHeight="1" thickBot="1">
      <c r="A82" s="749" t="s">
        <v>420</v>
      </c>
      <c r="B82" s="749"/>
      <c r="C82" s="749"/>
      <c r="D82" s="749" t="s">
        <v>423</v>
      </c>
      <c r="E82" s="749"/>
      <c r="F82" s="798" t="s">
        <v>417</v>
      </c>
      <c r="G82" s="799"/>
      <c r="H82" s="798"/>
      <c r="I82" s="799"/>
      <c r="J82" s="749"/>
      <c r="K82" s="749"/>
      <c r="L82" s="214"/>
    </row>
    <row r="83" spans="1:13" ht="12.75" customHeight="1">
      <c r="A83" s="801" t="s">
        <v>2</v>
      </c>
      <c r="B83" s="802"/>
      <c r="C83" s="803"/>
      <c r="D83" s="807"/>
      <c r="E83" s="808"/>
      <c r="F83" s="807"/>
      <c r="G83" s="808"/>
      <c r="H83" s="774">
        <f>SUM(H82)</f>
        <v>0</v>
      </c>
      <c r="I83" s="776"/>
      <c r="J83" s="774">
        <f>SUM(J82)</f>
        <v>0</v>
      </c>
      <c r="K83" s="776"/>
      <c r="L83" s="820"/>
      <c r="M83" s="820"/>
    </row>
    <row r="84" spans="1:13" ht="13.5" customHeight="1" thickBot="1">
      <c r="A84" s="804"/>
      <c r="B84" s="805"/>
      <c r="C84" s="806"/>
      <c r="D84" s="809"/>
      <c r="E84" s="703"/>
      <c r="F84" s="809"/>
      <c r="G84" s="703"/>
      <c r="H84" s="777"/>
      <c r="I84" s="779"/>
      <c r="J84" s="777"/>
      <c r="K84" s="779"/>
      <c r="L84" s="820"/>
      <c r="M84" s="820"/>
    </row>
    <row r="86" spans="1:13" ht="15.75">
      <c r="A86" s="7" t="s">
        <v>424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ht="13.5" thickBot="1"/>
    <row r="88" spans="1:11" ht="12.75" customHeight="1">
      <c r="A88" s="763" t="s">
        <v>386</v>
      </c>
      <c r="B88" s="764"/>
      <c r="C88" s="764"/>
      <c r="D88" s="763" t="s">
        <v>412</v>
      </c>
      <c r="E88" s="733"/>
      <c r="F88" s="763" t="s">
        <v>413</v>
      </c>
      <c r="G88" s="733"/>
      <c r="H88" s="763" t="s">
        <v>414</v>
      </c>
      <c r="I88" s="733"/>
      <c r="J88" s="763" t="s">
        <v>415</v>
      </c>
      <c r="K88" s="733"/>
    </row>
    <row r="89" spans="1:11" ht="12.75" customHeight="1">
      <c r="A89" s="765"/>
      <c r="B89" s="766"/>
      <c r="C89" s="766"/>
      <c r="D89" s="765"/>
      <c r="E89" s="734"/>
      <c r="F89" s="765"/>
      <c r="G89" s="734"/>
      <c r="H89" s="765"/>
      <c r="I89" s="734"/>
      <c r="J89" s="765"/>
      <c r="K89" s="734"/>
    </row>
    <row r="90" spans="1:11" ht="13.5" customHeight="1" thickBot="1">
      <c r="A90" s="797"/>
      <c r="B90" s="800"/>
      <c r="C90" s="800"/>
      <c r="D90" s="797"/>
      <c r="E90" s="735"/>
      <c r="F90" s="797"/>
      <c r="G90" s="735"/>
      <c r="H90" s="797"/>
      <c r="I90" s="735"/>
      <c r="J90" s="797"/>
      <c r="K90" s="735"/>
    </row>
    <row r="91" spans="1:12" s="50" customFormat="1" ht="25.5" customHeight="1" thickBot="1">
      <c r="A91" s="749" t="s">
        <v>420</v>
      </c>
      <c r="B91" s="749"/>
      <c r="C91" s="749"/>
      <c r="D91" s="749"/>
      <c r="E91" s="749"/>
      <c r="F91" s="798" t="s">
        <v>417</v>
      </c>
      <c r="G91" s="799"/>
      <c r="H91" s="798"/>
      <c r="I91" s="799"/>
      <c r="J91" s="749"/>
      <c r="K91" s="749"/>
      <c r="L91" s="214"/>
    </row>
    <row r="92" spans="1:13" ht="12.75" customHeight="1">
      <c r="A92" s="801" t="s">
        <v>2</v>
      </c>
      <c r="B92" s="802"/>
      <c r="C92" s="803"/>
      <c r="D92" s="807"/>
      <c r="E92" s="808"/>
      <c r="F92" s="807"/>
      <c r="G92" s="808"/>
      <c r="H92" s="774">
        <f>SUM(H91)</f>
        <v>0</v>
      </c>
      <c r="I92" s="776"/>
      <c r="J92" s="774">
        <f>SUM(J91)</f>
        <v>0</v>
      </c>
      <c r="K92" s="776"/>
      <c r="L92" s="820"/>
      <c r="M92" s="820"/>
    </row>
    <row r="93" spans="1:13" ht="13.5" customHeight="1" thickBot="1">
      <c r="A93" s="804"/>
      <c r="B93" s="805"/>
      <c r="C93" s="806"/>
      <c r="D93" s="809"/>
      <c r="E93" s="703"/>
      <c r="F93" s="809"/>
      <c r="G93" s="703"/>
      <c r="H93" s="777"/>
      <c r="I93" s="779"/>
      <c r="J93" s="777"/>
      <c r="K93" s="779"/>
      <c r="L93" s="820"/>
      <c r="M93" s="820"/>
    </row>
  </sheetData>
  <sheetProtection password="AF00" sheet="1" objects="1" scenarios="1" selectLockedCells="1" selectUnlockedCells="1"/>
  <mergeCells count="150">
    <mergeCell ref="A82:C82"/>
    <mergeCell ref="D82:E82"/>
    <mergeCell ref="F82:G82"/>
    <mergeCell ref="A88:C90"/>
    <mergeCell ref="D88:E90"/>
    <mergeCell ref="F88:G90"/>
    <mergeCell ref="A83:C84"/>
    <mergeCell ref="D83:E84"/>
    <mergeCell ref="F83:G84"/>
    <mergeCell ref="K37:K39"/>
    <mergeCell ref="L37:L39"/>
    <mergeCell ref="M37:M39"/>
    <mergeCell ref="A37:C39"/>
    <mergeCell ref="D37:D39"/>
    <mergeCell ref="I34:I36"/>
    <mergeCell ref="J34:J36"/>
    <mergeCell ref="L34:L36"/>
    <mergeCell ref="G37:G39"/>
    <mergeCell ref="M34:M36"/>
    <mergeCell ref="A92:C93"/>
    <mergeCell ref="D92:E93"/>
    <mergeCell ref="F92:G93"/>
    <mergeCell ref="A91:C91"/>
    <mergeCell ref="D91:E91"/>
    <mergeCell ref="F91:G91"/>
    <mergeCell ref="L92:L93"/>
    <mergeCell ref="M92:M93"/>
    <mergeCell ref="J91:K91"/>
    <mergeCell ref="H91:I91"/>
    <mergeCell ref="H92:I93"/>
    <mergeCell ref="J92:K93"/>
    <mergeCell ref="H88:I90"/>
    <mergeCell ref="M83:M84"/>
    <mergeCell ref="J88:K90"/>
    <mergeCell ref="L83:L84"/>
    <mergeCell ref="J82:K82"/>
    <mergeCell ref="J83:K84"/>
    <mergeCell ref="H83:I84"/>
    <mergeCell ref="H82:I82"/>
    <mergeCell ref="L74:L75"/>
    <mergeCell ref="M74:M75"/>
    <mergeCell ref="A79:C81"/>
    <mergeCell ref="D79:E81"/>
    <mergeCell ref="F79:G81"/>
    <mergeCell ref="H79:I81"/>
    <mergeCell ref="J79:K81"/>
    <mergeCell ref="J73:K73"/>
    <mergeCell ref="A74:C75"/>
    <mergeCell ref="D74:E75"/>
    <mergeCell ref="F74:G75"/>
    <mergeCell ref="H74:I75"/>
    <mergeCell ref="J74:K75"/>
    <mergeCell ref="A73:C73"/>
    <mergeCell ref="D73:E73"/>
    <mergeCell ref="F73:G73"/>
    <mergeCell ref="H73:I73"/>
    <mergeCell ref="J70:K72"/>
    <mergeCell ref="A65:C66"/>
    <mergeCell ref="D65:E66"/>
    <mergeCell ref="F65:G66"/>
    <mergeCell ref="H65:I66"/>
    <mergeCell ref="A70:C72"/>
    <mergeCell ref="D70:E72"/>
    <mergeCell ref="F70:G72"/>
    <mergeCell ref="H70:I72"/>
    <mergeCell ref="A64:C64"/>
    <mergeCell ref="D64:E64"/>
    <mergeCell ref="F64:G64"/>
    <mergeCell ref="M65:M66"/>
    <mergeCell ref="A61:C63"/>
    <mergeCell ref="D61:E63"/>
    <mergeCell ref="F61:G63"/>
    <mergeCell ref="H61:I63"/>
    <mergeCell ref="H64:I64"/>
    <mergeCell ref="K40:K42"/>
    <mergeCell ref="L40:L42"/>
    <mergeCell ref="J65:K66"/>
    <mergeCell ref="L65:L66"/>
    <mergeCell ref="J61:K63"/>
    <mergeCell ref="M40:M42"/>
    <mergeCell ref="J64:K64"/>
    <mergeCell ref="H43:H44"/>
    <mergeCell ref="I43:I44"/>
    <mergeCell ref="J43:J44"/>
    <mergeCell ref="L43:L44"/>
    <mergeCell ref="M43:M44"/>
    <mergeCell ref="K43:K44"/>
    <mergeCell ref="G43:G44"/>
    <mergeCell ref="G40:G42"/>
    <mergeCell ref="A43:C44"/>
    <mergeCell ref="D43:D44"/>
    <mergeCell ref="E43:E44"/>
    <mergeCell ref="F43:F44"/>
    <mergeCell ref="F40:F42"/>
    <mergeCell ref="A40:C42"/>
    <mergeCell ref="D40:D42"/>
    <mergeCell ref="I40:I42"/>
    <mergeCell ref="J40:J42"/>
    <mergeCell ref="E34:E36"/>
    <mergeCell ref="E40:E42"/>
    <mergeCell ref="H40:H42"/>
    <mergeCell ref="I37:I39"/>
    <mergeCell ref="J37:J39"/>
    <mergeCell ref="H37:H39"/>
    <mergeCell ref="E37:E39"/>
    <mergeCell ref="F37:F39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A31:C33"/>
    <mergeCell ref="D31:F31"/>
    <mergeCell ref="G31:I31"/>
    <mergeCell ref="H19:H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G19:G20"/>
    <mergeCell ref="A1:O1"/>
    <mergeCell ref="M13:M15"/>
    <mergeCell ref="A16:C18"/>
    <mergeCell ref="D16:D18"/>
    <mergeCell ref="E16:E18"/>
    <mergeCell ref="F16:F18"/>
    <mergeCell ref="G16:G18"/>
    <mergeCell ref="H16:H18"/>
    <mergeCell ref="A4:M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24" customWidth="1"/>
    <col min="2" max="2" width="65.75390625" style="24" customWidth="1"/>
    <col min="3" max="5" width="15.75390625" style="24" bestFit="1" customWidth="1"/>
    <col min="6" max="6" width="18.00390625" style="24" bestFit="1" customWidth="1"/>
    <col min="7" max="7" width="11.375" style="50" bestFit="1" customWidth="1"/>
    <col min="8" max="16384" width="9.125" style="50" customWidth="1"/>
  </cols>
  <sheetData>
    <row r="1" spans="1:6" ht="15.75">
      <c r="A1" s="564" t="s">
        <v>659</v>
      </c>
      <c r="B1" s="564"/>
      <c r="C1" s="564"/>
      <c r="D1" s="564"/>
      <c r="E1" s="564"/>
      <c r="F1" s="564"/>
    </row>
    <row r="2" spans="1:6" ht="21" customHeight="1">
      <c r="A2" s="665"/>
      <c r="B2" s="665"/>
      <c r="C2" s="665"/>
      <c r="D2" s="665"/>
      <c r="E2" s="665"/>
      <c r="F2" s="665"/>
    </row>
    <row r="3" spans="1:6" ht="15.75">
      <c r="A3" s="665" t="s">
        <v>425</v>
      </c>
      <c r="B3" s="665"/>
      <c r="C3" s="665"/>
      <c r="D3" s="665"/>
      <c r="E3" s="665"/>
      <c r="F3" s="665"/>
    </row>
    <row r="4" spans="1:6" ht="15.75">
      <c r="A4" s="665" t="s">
        <v>426</v>
      </c>
      <c r="B4" s="665"/>
      <c r="C4" s="665"/>
      <c r="D4" s="665"/>
      <c r="E4" s="665"/>
      <c r="F4" s="665"/>
    </row>
    <row r="5" spans="1:6" ht="15.75">
      <c r="A5" s="665" t="s">
        <v>509</v>
      </c>
      <c r="B5" s="665"/>
      <c r="C5" s="665"/>
      <c r="D5" s="665"/>
      <c r="E5" s="665"/>
      <c r="F5" s="665"/>
    </row>
    <row r="6" spans="1:6" ht="16.5" thickBot="1">
      <c r="A6" s="26"/>
      <c r="B6" s="26"/>
      <c r="C6" s="50"/>
      <c r="D6" s="216"/>
      <c r="E6" s="50"/>
      <c r="F6" s="216" t="s">
        <v>5</v>
      </c>
    </row>
    <row r="7" spans="1:6" ht="15.75">
      <c r="A7" s="217" t="s">
        <v>42</v>
      </c>
      <c r="B7" s="832" t="s">
        <v>427</v>
      </c>
      <c r="C7" s="835" t="s">
        <v>428</v>
      </c>
      <c r="D7" s="836"/>
      <c r="E7" s="836"/>
      <c r="F7" s="832" t="s">
        <v>313</v>
      </c>
    </row>
    <row r="8" spans="1:6" ht="16.5" thickBot="1">
      <c r="A8" s="218"/>
      <c r="B8" s="833"/>
      <c r="C8" s="837"/>
      <c r="D8" s="838"/>
      <c r="E8" s="838"/>
      <c r="F8" s="833"/>
    </row>
    <row r="9" spans="1:6" ht="16.5" thickBot="1">
      <c r="A9" s="218"/>
      <c r="B9" s="833"/>
      <c r="C9" s="219" t="s">
        <v>382</v>
      </c>
      <c r="D9" s="219" t="s">
        <v>463</v>
      </c>
      <c r="E9" s="219" t="s">
        <v>510</v>
      </c>
      <c r="F9" s="833"/>
    </row>
    <row r="10" spans="1:6" ht="16.5" thickBot="1">
      <c r="A10" s="220" t="s">
        <v>43</v>
      </c>
      <c r="B10" s="834"/>
      <c r="C10" s="839" t="s">
        <v>429</v>
      </c>
      <c r="D10" s="840"/>
      <c r="E10" s="840"/>
      <c r="F10" s="834"/>
    </row>
    <row r="11" spans="1:6" ht="15.75">
      <c r="A11" s="215" t="s">
        <v>44</v>
      </c>
      <c r="B11" s="245" t="s">
        <v>435</v>
      </c>
      <c r="C11" s="221">
        <v>7733</v>
      </c>
      <c r="D11" s="221">
        <v>7733</v>
      </c>
      <c r="E11" s="221">
        <v>7733</v>
      </c>
      <c r="F11" s="221">
        <f>SUM(C11:E11)</f>
        <v>23199</v>
      </c>
    </row>
    <row r="12" spans="1:6" ht="31.5">
      <c r="A12" s="215" t="s">
        <v>27</v>
      </c>
      <c r="B12" s="246" t="s">
        <v>436</v>
      </c>
      <c r="C12" s="222"/>
      <c r="D12" s="222"/>
      <c r="E12" s="222"/>
      <c r="F12" s="221">
        <f>SUM(C12:E12)</f>
        <v>0</v>
      </c>
    </row>
    <row r="13" spans="1:2" s="193" customFormat="1" ht="15.75">
      <c r="A13" s="215" t="s">
        <v>45</v>
      </c>
      <c r="B13" s="245" t="s">
        <v>437</v>
      </c>
    </row>
    <row r="14" spans="1:6" s="193" customFormat="1" ht="31.5">
      <c r="A14" s="215" t="s">
        <v>105</v>
      </c>
      <c r="B14" s="246" t="s">
        <v>438</v>
      </c>
      <c r="C14" s="223"/>
      <c r="D14" s="223"/>
      <c r="E14" s="223"/>
      <c r="F14" s="221">
        <f>SUM(C14:E14)</f>
        <v>0</v>
      </c>
    </row>
    <row r="15" spans="1:6" s="193" customFormat="1" ht="15.75">
      <c r="A15" s="215" t="s">
        <v>106</v>
      </c>
      <c r="B15" s="245" t="s">
        <v>430</v>
      </c>
      <c r="C15" s="223">
        <v>75</v>
      </c>
      <c r="D15" s="223">
        <v>75</v>
      </c>
      <c r="E15" s="223">
        <v>75</v>
      </c>
      <c r="F15" s="221">
        <f>SUM(C15:E15)</f>
        <v>225</v>
      </c>
    </row>
    <row r="16" spans="1:6" s="193" customFormat="1" ht="15.75">
      <c r="A16" s="215" t="s">
        <v>112</v>
      </c>
      <c r="B16" s="245" t="s">
        <v>439</v>
      </c>
      <c r="C16" s="224"/>
      <c r="D16" s="224"/>
      <c r="E16" s="224"/>
      <c r="F16" s="224"/>
    </row>
    <row r="17" spans="1:6" s="228" customFormat="1" ht="15.75">
      <c r="A17" s="225" t="s">
        <v>248</v>
      </c>
      <c r="B17" s="226" t="s">
        <v>431</v>
      </c>
      <c r="C17" s="227">
        <f>SUM(C11:C16)</f>
        <v>7808</v>
      </c>
      <c r="D17" s="227">
        <f>SUM(D11:D16)</f>
        <v>7808</v>
      </c>
      <c r="E17" s="227">
        <f>SUM(E11:E16)</f>
        <v>7808</v>
      </c>
      <c r="F17" s="227">
        <f>SUM(F11:F16)</f>
        <v>23424</v>
      </c>
    </row>
    <row r="18" spans="1:6" s="233" customFormat="1" ht="18.75">
      <c r="A18" s="229" t="s">
        <v>252</v>
      </c>
      <c r="B18" s="230" t="s">
        <v>432</v>
      </c>
      <c r="C18" s="231">
        <f>C17*0.5</f>
        <v>3904</v>
      </c>
      <c r="D18" s="231">
        <f>D17*0.5</f>
        <v>3904</v>
      </c>
      <c r="E18" s="231">
        <f>E17*0.5</f>
        <v>3904</v>
      </c>
      <c r="F18" s="232">
        <f>SUM(C18:E18)</f>
        <v>11712</v>
      </c>
    </row>
    <row r="19" spans="1:6" s="193" customFormat="1" ht="31.5">
      <c r="A19" s="234" t="s">
        <v>259</v>
      </c>
      <c r="B19" s="246" t="s">
        <v>440</v>
      </c>
      <c r="C19" s="223"/>
      <c r="D19" s="223"/>
      <c r="E19" s="223"/>
      <c r="F19" s="223">
        <f>SUM(C19:E19)</f>
        <v>0</v>
      </c>
    </row>
    <row r="20" spans="1:6" s="193" customFormat="1" ht="31.5">
      <c r="A20" s="234" t="s">
        <v>261</v>
      </c>
      <c r="B20" s="246" t="s">
        <v>441</v>
      </c>
      <c r="C20" s="223"/>
      <c r="D20" s="223"/>
      <c r="E20" s="223"/>
      <c r="F20" s="223">
        <f>SUM(C20:E20)</f>
        <v>0</v>
      </c>
    </row>
    <row r="21" spans="1:6" s="193" customFormat="1" ht="15.75">
      <c r="A21" s="234" t="s">
        <v>263</v>
      </c>
      <c r="B21" s="245" t="s">
        <v>442</v>
      </c>
      <c r="C21" s="223"/>
      <c r="D21" s="223"/>
      <c r="E21" s="223"/>
      <c r="F21" s="223"/>
    </row>
    <row r="22" spans="1:6" s="193" customFormat="1" ht="31.5">
      <c r="A22" s="234" t="s">
        <v>268</v>
      </c>
      <c r="B22" s="235" t="s">
        <v>443</v>
      </c>
      <c r="C22" s="223"/>
      <c r="D22" s="223"/>
      <c r="E22" s="223"/>
      <c r="F22" s="223"/>
    </row>
    <row r="23" spans="1:6" s="193" customFormat="1" ht="47.25">
      <c r="A23" s="234" t="s">
        <v>270</v>
      </c>
      <c r="B23" s="235" t="s">
        <v>444</v>
      </c>
      <c r="C23" s="223"/>
      <c r="D23" s="223"/>
      <c r="E23" s="223"/>
      <c r="F23" s="223"/>
    </row>
    <row r="24" spans="1:6" s="193" customFormat="1" ht="31.5">
      <c r="A24" s="234" t="s">
        <v>272</v>
      </c>
      <c r="B24" s="235" t="s">
        <v>445</v>
      </c>
      <c r="C24" s="223"/>
      <c r="D24" s="223"/>
      <c r="E24" s="223"/>
      <c r="F24" s="223"/>
    </row>
    <row r="25" spans="1:6" s="193" customFormat="1" ht="31.5">
      <c r="A25" s="234" t="s">
        <v>279</v>
      </c>
      <c r="B25" s="235" t="s">
        <v>446</v>
      </c>
      <c r="C25" s="236"/>
      <c r="D25" s="236"/>
      <c r="E25" s="236"/>
      <c r="F25" s="236"/>
    </row>
    <row r="26" spans="1:6" s="228" customFormat="1" ht="15.75">
      <c r="A26" s="225" t="s">
        <v>282</v>
      </c>
      <c r="B26" s="237" t="s">
        <v>433</v>
      </c>
      <c r="C26" s="238">
        <f>SUM(C19:C24)</f>
        <v>0</v>
      </c>
      <c r="D26" s="238">
        <f>SUM(D19:D24)</f>
        <v>0</v>
      </c>
      <c r="E26" s="238">
        <f>SUM(E19:E24)</f>
        <v>0</v>
      </c>
      <c r="F26" s="238">
        <f>SUM(F19:F24)</f>
        <v>0</v>
      </c>
    </row>
    <row r="27" spans="1:6" s="241" customFormat="1" ht="37.5">
      <c r="A27" s="229" t="s">
        <v>284</v>
      </c>
      <c r="B27" s="239" t="s">
        <v>434</v>
      </c>
      <c r="C27" s="240">
        <f>C18-C26</f>
        <v>3904</v>
      </c>
      <c r="D27" s="240">
        <f>D18-D26</f>
        <v>3904</v>
      </c>
      <c r="E27" s="240">
        <f>E18-E26</f>
        <v>3904</v>
      </c>
      <c r="F27" s="240">
        <f>SUM(C27:E27)</f>
        <v>11712</v>
      </c>
    </row>
    <row r="28" spans="1:6" s="193" customFormat="1" ht="15.75">
      <c r="A28" s="242"/>
      <c r="B28" s="243"/>
      <c r="C28" s="223"/>
      <c r="D28" s="223"/>
      <c r="E28" s="223"/>
      <c r="F28" s="223"/>
    </row>
    <row r="29" spans="1:7" s="193" customFormat="1" ht="15.75">
      <c r="A29" s="242"/>
      <c r="B29" s="243"/>
      <c r="C29" s="223"/>
      <c r="D29" s="223"/>
      <c r="E29" s="223"/>
      <c r="F29" s="223"/>
      <c r="G29" s="223"/>
    </row>
    <row r="30" spans="1:6" s="193" customFormat="1" ht="15.75">
      <c r="A30" s="243"/>
      <c r="B30" s="243"/>
      <c r="C30" s="223"/>
      <c r="D30" s="223"/>
      <c r="E30" s="223"/>
      <c r="F30" s="223"/>
    </row>
    <row r="31" spans="1:6" s="193" customFormat="1" ht="15.75">
      <c r="A31" s="243"/>
      <c r="B31" s="243"/>
      <c r="C31" s="223"/>
      <c r="D31" s="223"/>
      <c r="E31" s="223"/>
      <c r="F31" s="223"/>
    </row>
    <row r="32" spans="1:6" s="193" customFormat="1" ht="15.75">
      <c r="A32" s="243"/>
      <c r="B32" s="243"/>
      <c r="C32" s="223"/>
      <c r="D32" s="223"/>
      <c r="E32" s="223"/>
      <c r="F32" s="223"/>
    </row>
    <row r="33" spans="1:6" s="193" customFormat="1" ht="15.75">
      <c r="A33" s="243"/>
      <c r="B33" s="244"/>
      <c r="C33" s="223"/>
      <c r="D33" s="223"/>
      <c r="E33" s="223"/>
      <c r="F33" s="223"/>
    </row>
    <row r="34" spans="1:6" s="193" customFormat="1" ht="15.75">
      <c r="A34" s="243"/>
      <c r="B34" s="243"/>
      <c r="C34" s="223"/>
      <c r="D34" s="223"/>
      <c r="E34" s="223"/>
      <c r="F34" s="223"/>
    </row>
    <row r="35" spans="1:6" s="193" customFormat="1" ht="15.75">
      <c r="A35" s="243"/>
      <c r="B35" s="243"/>
      <c r="C35" s="223"/>
      <c r="D35" s="223"/>
      <c r="E35" s="223"/>
      <c r="F35" s="223"/>
    </row>
  </sheetData>
  <sheetProtection password="AF00" sheet="1" objects="1" scenarios="1" selectLockedCells="1" selectUnlockedCells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9.875" style="0" customWidth="1"/>
    <col min="2" max="2" width="25.125" style="0" customWidth="1"/>
  </cols>
  <sheetData>
    <row r="1" spans="1:2" ht="15.75">
      <c r="A1" s="564" t="s">
        <v>591</v>
      </c>
      <c r="B1" s="564"/>
    </row>
    <row r="2" spans="1:2" ht="15.75">
      <c r="A2" s="325"/>
      <c r="B2" s="325"/>
    </row>
    <row r="3" spans="1:2" ht="15.75">
      <c r="A3" s="565"/>
      <c r="B3" s="565"/>
    </row>
    <row r="4" spans="1:2" ht="15.75">
      <c r="A4" s="372"/>
      <c r="B4" s="372"/>
    </row>
    <row r="6" spans="1:2" ht="15">
      <c r="A6" s="618"/>
      <c r="B6" s="841"/>
    </row>
    <row r="7" spans="1:2" ht="15.75">
      <c r="A7" s="165" t="s">
        <v>316</v>
      </c>
      <c r="B7" s="165"/>
    </row>
    <row r="8" spans="1:2" ht="15.75">
      <c r="A8" s="532" t="s">
        <v>549</v>
      </c>
      <c r="B8" s="532"/>
    </row>
    <row r="9" spans="1:2" ht="15.75">
      <c r="A9" s="532" t="s">
        <v>480</v>
      </c>
      <c r="B9" s="532"/>
    </row>
    <row r="10" spans="1:2" ht="16.5" thickBot="1">
      <c r="A10" s="15"/>
      <c r="B10" s="15"/>
    </row>
    <row r="11" spans="1:2" ht="15.75">
      <c r="A11" s="166"/>
      <c r="B11" s="167" t="s">
        <v>10</v>
      </c>
    </row>
    <row r="12" spans="1:2" ht="15.75">
      <c r="A12" s="168" t="s">
        <v>318</v>
      </c>
      <c r="B12" s="168"/>
    </row>
    <row r="13" spans="1:2" ht="16.5" thickBot="1">
      <c r="A13" s="308"/>
      <c r="B13" s="168" t="s">
        <v>546</v>
      </c>
    </row>
    <row r="14" spans="1:2" ht="38.25" customHeight="1" thickBot="1">
      <c r="A14" s="463" t="s">
        <v>550</v>
      </c>
      <c r="B14" s="326">
        <f>B15+B16</f>
        <v>46529051</v>
      </c>
    </row>
    <row r="15" spans="1:2" ht="26.25" customHeight="1">
      <c r="A15" s="462" t="s">
        <v>590</v>
      </c>
      <c r="B15" s="461">
        <v>4825255</v>
      </c>
    </row>
    <row r="16" spans="1:2" ht="27.75" customHeight="1" thickBot="1">
      <c r="A16" s="460" t="s">
        <v>654</v>
      </c>
      <c r="B16" s="459">
        <f>38415438+5185082+115989+806700+65080-1181000-606235-120000-499999-190000-287259</f>
        <v>41703796</v>
      </c>
    </row>
  </sheetData>
  <sheetProtection password="AF00" sheet="1" objects="1" scenarios="1" selectLockedCells="1" selectUnlockedCells="1"/>
  <mergeCells count="5">
    <mergeCell ref="A1:B1"/>
    <mergeCell ref="A3:B3"/>
    <mergeCell ref="A8:B8"/>
    <mergeCell ref="A9:B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5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.25390625" style="0" customWidth="1"/>
    <col min="2" max="2" width="27.375" style="0" customWidth="1"/>
    <col min="3" max="3" width="13.75390625" style="0" customWidth="1"/>
    <col min="4" max="4" width="15.625" style="0" customWidth="1"/>
    <col min="5" max="5" width="12.75390625" style="0" customWidth="1"/>
    <col min="6" max="6" width="11.625" style="0" customWidth="1"/>
    <col min="7" max="7" width="12.25390625" style="0" customWidth="1"/>
    <col min="8" max="8" width="11.875" style="0" customWidth="1"/>
    <col min="9" max="9" width="13.00390625" style="0" customWidth="1"/>
    <col min="10" max="10" width="10.375" style="0" customWidth="1"/>
    <col min="11" max="11" width="11.125" style="0" customWidth="1"/>
    <col min="12" max="12" width="12.875" style="0" customWidth="1"/>
    <col min="13" max="13" width="14.625" style="0" customWidth="1"/>
    <col min="14" max="14" width="13.625" style="0" customWidth="1"/>
  </cols>
  <sheetData>
    <row r="1" spans="2:14" ht="12.75">
      <c r="B1" s="844" t="s">
        <v>611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3" spans="2:4" ht="12.75">
      <c r="B3" s="479"/>
      <c r="C3" s="479"/>
      <c r="D3" s="479"/>
    </row>
    <row r="4" spans="2:4" ht="12.75">
      <c r="B4" s="479"/>
      <c r="C4" s="479"/>
      <c r="D4" s="479"/>
    </row>
    <row r="5" spans="2:14" ht="18.75" customHeight="1"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</row>
    <row r="6" spans="2:14" ht="23.25" customHeight="1">
      <c r="B6" s="634" t="s">
        <v>610</v>
      </c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</row>
    <row r="7" spans="2:14" ht="18.75" customHeight="1">
      <c r="B7" s="634" t="s">
        <v>609</v>
      </c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</row>
    <row r="8" spans="2:14" ht="16.5" customHeight="1">
      <c r="B8" s="634" t="s">
        <v>480</v>
      </c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</row>
    <row r="10" ht="13.5" thickBot="1">
      <c r="N10" s="339" t="s">
        <v>608</v>
      </c>
    </row>
    <row r="11" spans="1:14" ht="21" customHeight="1" thickBot="1">
      <c r="A11" s="845" t="s">
        <v>607</v>
      </c>
      <c r="B11" s="842" t="s">
        <v>0</v>
      </c>
      <c r="C11" s="843" t="s">
        <v>606</v>
      </c>
      <c r="D11" s="842" t="s">
        <v>602</v>
      </c>
      <c r="E11" s="842"/>
      <c r="F11" s="842"/>
      <c r="G11" s="842"/>
      <c r="H11" s="842"/>
      <c r="I11" s="843" t="s">
        <v>598</v>
      </c>
      <c r="J11" s="843"/>
      <c r="K11" s="843"/>
      <c r="L11" s="843"/>
      <c r="M11" s="843" t="s">
        <v>605</v>
      </c>
      <c r="N11" s="843"/>
    </row>
    <row r="12" spans="1:14" ht="61.5" customHeight="1" thickBot="1">
      <c r="A12" s="846"/>
      <c r="B12" s="842"/>
      <c r="C12" s="843"/>
      <c r="D12" s="476" t="s">
        <v>604</v>
      </c>
      <c r="E12" s="476" t="s">
        <v>603</v>
      </c>
      <c r="F12" s="476" t="s">
        <v>602</v>
      </c>
      <c r="G12" s="476" t="s">
        <v>601</v>
      </c>
      <c r="H12" s="476" t="s">
        <v>600</v>
      </c>
      <c r="I12" s="476" t="s">
        <v>599</v>
      </c>
      <c r="J12" s="476" t="s">
        <v>598</v>
      </c>
      <c r="K12" s="477" t="s">
        <v>597</v>
      </c>
      <c r="L12" s="476" t="s">
        <v>596</v>
      </c>
      <c r="M12" s="476" t="s">
        <v>595</v>
      </c>
      <c r="N12" s="476" t="s">
        <v>594</v>
      </c>
    </row>
    <row r="13" spans="1:14" ht="18" customHeight="1" thickBot="1">
      <c r="A13" s="475" t="s">
        <v>44</v>
      </c>
      <c r="B13" s="474" t="s">
        <v>593</v>
      </c>
      <c r="C13" s="470">
        <f>H13+L13+M13+N13</f>
        <v>110849998</v>
      </c>
      <c r="D13" s="470">
        <f>28045173+46400+27846+722670+1000000+1240320+3944762+28792+115989+537800+268900+65080+501752+66664+50000+64999+290830</f>
        <v>37017977</v>
      </c>
      <c r="E13" s="470">
        <v>7813000</v>
      </c>
      <c r="F13" s="470">
        <f>15503474-2730485</f>
        <v>12772989</v>
      </c>
      <c r="G13" s="470"/>
      <c r="H13" s="470">
        <f>D13+E13+F13+G13</f>
        <v>57603966</v>
      </c>
      <c r="I13" s="470"/>
      <c r="J13" s="470">
        <v>61800</v>
      </c>
      <c r="K13" s="470"/>
      <c r="L13" s="470">
        <f>I13+J13+K13</f>
        <v>61800</v>
      </c>
      <c r="M13" s="470">
        <f>23131431+64122+89764+17000+195900+38415438+120000</f>
        <v>62033655</v>
      </c>
      <c r="N13" s="473">
        <f>-8667923-181500</f>
        <v>-8849423</v>
      </c>
    </row>
    <row r="14" spans="1:14" ht="21" customHeight="1" thickBot="1">
      <c r="A14" s="472" t="s">
        <v>27</v>
      </c>
      <c r="B14" s="469" t="s">
        <v>592</v>
      </c>
      <c r="C14" s="470">
        <f>H14+L14+M14+N14</f>
        <v>11579908</v>
      </c>
      <c r="D14" s="470"/>
      <c r="E14" s="471"/>
      <c r="F14" s="471">
        <v>2730485</v>
      </c>
      <c r="G14" s="469"/>
      <c r="H14" s="470">
        <f>D14+E14+F14+G14</f>
        <v>2730485</v>
      </c>
      <c r="I14" s="469"/>
      <c r="J14" s="469"/>
      <c r="K14" s="469"/>
      <c r="L14" s="469"/>
      <c r="M14" s="469"/>
      <c r="N14" s="468">
        <f>8667923+181500</f>
        <v>8849423</v>
      </c>
    </row>
    <row r="15" spans="1:37" s="464" customFormat="1" ht="24" customHeight="1" thickBot="1">
      <c r="A15" s="467" t="s">
        <v>45</v>
      </c>
      <c r="B15" s="467" t="s">
        <v>563</v>
      </c>
      <c r="C15" s="466">
        <f>H15+L15+M15+N15</f>
        <v>122429906</v>
      </c>
      <c r="D15" s="466">
        <f aca="true" t="shared" si="0" ref="D15:N15">D13++D14</f>
        <v>37017977</v>
      </c>
      <c r="E15" s="466">
        <f t="shared" si="0"/>
        <v>7813000</v>
      </c>
      <c r="F15" s="466">
        <f t="shared" si="0"/>
        <v>15503474</v>
      </c>
      <c r="G15" s="466">
        <f t="shared" si="0"/>
        <v>0</v>
      </c>
      <c r="H15" s="466">
        <f t="shared" si="0"/>
        <v>60334451</v>
      </c>
      <c r="I15" s="466">
        <f t="shared" si="0"/>
        <v>0</v>
      </c>
      <c r="J15" s="466">
        <f t="shared" si="0"/>
        <v>61800</v>
      </c>
      <c r="K15" s="466">
        <f t="shared" si="0"/>
        <v>0</v>
      </c>
      <c r="L15" s="466">
        <f t="shared" si="0"/>
        <v>61800</v>
      </c>
      <c r="M15" s="466">
        <f t="shared" si="0"/>
        <v>62033655</v>
      </c>
      <c r="N15" s="466">
        <f t="shared" si="0"/>
        <v>0</v>
      </c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</row>
  </sheetData>
  <sheetProtection password="AF00" sheet="1" objects="1" scenarios="1" selectLockedCells="1" selectUnlockedCells="1"/>
  <mergeCells count="11">
    <mergeCell ref="A11:A12"/>
    <mergeCell ref="B6:N6"/>
    <mergeCell ref="B7:N7"/>
    <mergeCell ref="B8:N8"/>
    <mergeCell ref="C11:C12"/>
    <mergeCell ref="B11:B12"/>
    <mergeCell ref="D11:H11"/>
    <mergeCell ref="I11:L11"/>
    <mergeCell ref="M11:N11"/>
    <mergeCell ref="B1:N1"/>
    <mergeCell ref="B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62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327" customWidth="1"/>
    <col min="4" max="4" width="4.875" style="4" customWidth="1"/>
    <col min="5" max="5" width="16.375" style="327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514" t="s">
        <v>560</v>
      </c>
      <c r="B1" s="515"/>
      <c r="C1" s="515"/>
      <c r="D1" s="515"/>
      <c r="E1" s="515"/>
      <c r="F1" s="515"/>
    </row>
    <row r="3" spans="1:6" ht="15">
      <c r="A3" s="519"/>
      <c r="B3" s="520"/>
      <c r="C3" s="520"/>
      <c r="D3" s="520"/>
      <c r="E3" s="520"/>
      <c r="F3" s="520"/>
    </row>
    <row r="4" spans="2:6" ht="15">
      <c r="B4" s="96"/>
      <c r="C4" s="96"/>
      <c r="D4" s="96"/>
      <c r="E4" s="96"/>
      <c r="F4" s="96"/>
    </row>
    <row r="5" spans="2:6" s="50" customFormat="1" ht="15.75">
      <c r="B5" s="518"/>
      <c r="C5" s="518"/>
      <c r="D5" s="518"/>
      <c r="E5" s="518"/>
      <c r="F5" s="518"/>
    </row>
    <row r="6" spans="2:6" s="50" customFormat="1" ht="15.75">
      <c r="B6" s="517" t="s">
        <v>41</v>
      </c>
      <c r="C6" s="517"/>
      <c r="D6" s="517"/>
      <c r="E6" s="517"/>
      <c r="F6" s="517"/>
    </row>
    <row r="7" spans="2:6" ht="15.75">
      <c r="B7" s="517" t="s">
        <v>161</v>
      </c>
      <c r="C7" s="517"/>
      <c r="D7" s="517"/>
      <c r="E7" s="517"/>
      <c r="F7" s="517"/>
    </row>
    <row r="8" spans="2:6" ht="12.75" customHeight="1">
      <c r="B8" s="516" t="s">
        <v>485</v>
      </c>
      <c r="C8" s="516"/>
      <c r="D8" s="516"/>
      <c r="E8" s="516"/>
      <c r="F8" s="516"/>
    </row>
    <row r="9" spans="2:6" s="1" customFormat="1" ht="15">
      <c r="B9" s="4"/>
      <c r="C9" s="327"/>
      <c r="D9" s="4"/>
      <c r="E9" s="331"/>
      <c r="F9" s="4"/>
    </row>
    <row r="10" spans="1:5" s="1" customFormat="1" ht="18.75">
      <c r="A10" s="290" t="s">
        <v>44</v>
      </c>
      <c r="B10" s="110" t="s">
        <v>162</v>
      </c>
      <c r="C10" s="330"/>
      <c r="E10" s="111"/>
    </row>
    <row r="11" spans="1:6" ht="15.75">
      <c r="A11" s="290" t="s">
        <v>514</v>
      </c>
      <c r="B11" s="7" t="s">
        <v>163</v>
      </c>
      <c r="C11" s="330"/>
      <c r="D11" s="1"/>
      <c r="E11" s="335">
        <f>C12+C13</f>
        <v>37017977</v>
      </c>
      <c r="F11" s="1" t="s">
        <v>486</v>
      </c>
    </row>
    <row r="12" spans="1:8" ht="15.75">
      <c r="A12" s="290" t="s">
        <v>515</v>
      </c>
      <c r="B12" s="112" t="s">
        <v>164</v>
      </c>
      <c r="C12" s="327">
        <f>'2.mell - bevétel'!H60</f>
        <v>35274662</v>
      </c>
      <c r="D12" s="4" t="s">
        <v>6</v>
      </c>
      <c r="E12" s="331"/>
      <c r="H12" s="90"/>
    </row>
    <row r="13" spans="1:6" s="1" customFormat="1" ht="15.75" customHeight="1">
      <c r="A13" s="290" t="s">
        <v>516</v>
      </c>
      <c r="B13" s="112" t="s">
        <v>165</v>
      </c>
      <c r="C13" s="327">
        <f>'2.mell - bevétel'!H69</f>
        <v>1743315</v>
      </c>
      <c r="D13" s="4" t="s">
        <v>6</v>
      </c>
      <c r="E13" s="331"/>
      <c r="F13" s="4"/>
    </row>
    <row r="14" spans="1:5" s="1" customFormat="1" ht="15.75">
      <c r="A14" s="290"/>
      <c r="B14" s="7"/>
      <c r="C14" s="330"/>
      <c r="E14" s="335"/>
    </row>
    <row r="15" spans="1:6" s="1" customFormat="1" ht="15.75">
      <c r="A15" s="290" t="s">
        <v>517</v>
      </c>
      <c r="B15" s="7" t="s">
        <v>166</v>
      </c>
      <c r="C15" s="330"/>
      <c r="E15" s="335"/>
      <c r="F15" s="1" t="s">
        <v>486</v>
      </c>
    </row>
    <row r="16" spans="1:5" s="1" customFormat="1" ht="15.75">
      <c r="A16" s="290"/>
      <c r="B16" s="7"/>
      <c r="C16" s="330"/>
      <c r="E16" s="335"/>
    </row>
    <row r="17" spans="1:6" s="1" customFormat="1" ht="15.75">
      <c r="A17" s="290" t="s">
        <v>518</v>
      </c>
      <c r="B17" s="7" t="s">
        <v>119</v>
      </c>
      <c r="C17" s="330"/>
      <c r="E17" s="335">
        <f>'2.mell - bevétel'!G89</f>
        <v>7813000</v>
      </c>
      <c r="F17" s="1" t="s">
        <v>486</v>
      </c>
    </row>
    <row r="18" spans="1:8" s="1" customFormat="1" ht="15.75">
      <c r="A18" s="290"/>
      <c r="B18" s="7"/>
      <c r="C18" s="330"/>
      <c r="E18" s="335"/>
      <c r="H18" s="91"/>
    </row>
    <row r="19" spans="1:6" s="1" customFormat="1" ht="15.75">
      <c r="A19" s="290" t="s">
        <v>519</v>
      </c>
      <c r="B19" s="7" t="s">
        <v>57</v>
      </c>
      <c r="C19" s="330"/>
      <c r="E19" s="335">
        <f>'2.mell - bevétel'!H112</f>
        <v>15503474</v>
      </c>
      <c r="F19" s="1" t="s">
        <v>486</v>
      </c>
    </row>
    <row r="20" spans="1:5" s="1" customFormat="1" ht="15.75">
      <c r="A20" s="290"/>
      <c r="B20" s="8"/>
      <c r="C20" s="334"/>
      <c r="E20" s="335"/>
    </row>
    <row r="21" spans="1:6" s="1" customFormat="1" ht="15.75">
      <c r="A21" s="290" t="s">
        <v>520</v>
      </c>
      <c r="B21" s="7" t="s">
        <v>167</v>
      </c>
      <c r="C21" s="330"/>
      <c r="E21" s="335">
        <v>0</v>
      </c>
      <c r="F21" s="1" t="s">
        <v>486</v>
      </c>
    </row>
    <row r="22" spans="1:5" s="1" customFormat="1" ht="15.75">
      <c r="A22" s="290"/>
      <c r="B22" s="8"/>
      <c r="C22" s="330"/>
      <c r="E22" s="335"/>
    </row>
    <row r="23" spans="1:6" s="1" customFormat="1" ht="15.75">
      <c r="A23" s="290" t="s">
        <v>521</v>
      </c>
      <c r="B23" s="7" t="s">
        <v>168</v>
      </c>
      <c r="E23" s="335">
        <f>C24+C25</f>
        <v>0</v>
      </c>
      <c r="F23" s="1" t="s">
        <v>486</v>
      </c>
    </row>
    <row r="24" spans="1:8" s="6" customFormat="1" ht="32.25">
      <c r="A24" s="291" t="s">
        <v>522</v>
      </c>
      <c r="B24" s="112" t="s">
        <v>169</v>
      </c>
      <c r="C24" s="334">
        <v>0</v>
      </c>
      <c r="D24" s="1" t="s">
        <v>6</v>
      </c>
      <c r="E24" s="335"/>
      <c r="F24" s="1"/>
      <c r="G24" s="1"/>
      <c r="H24" s="92"/>
    </row>
    <row r="25" spans="1:8" ht="18.75">
      <c r="A25" s="290"/>
      <c r="B25" s="50" t="s">
        <v>170</v>
      </c>
      <c r="C25" s="330">
        <v>0</v>
      </c>
      <c r="D25" s="1" t="s">
        <v>6</v>
      </c>
      <c r="E25" s="335"/>
      <c r="F25" s="1"/>
      <c r="G25" s="6"/>
      <c r="H25" s="93"/>
    </row>
    <row r="26" spans="1:8" s="1" customFormat="1" ht="18.75">
      <c r="A26" s="290"/>
      <c r="B26" s="60"/>
      <c r="C26" s="327"/>
      <c r="D26" s="4"/>
      <c r="E26" s="336"/>
      <c r="F26" s="6"/>
      <c r="H26" s="94"/>
    </row>
    <row r="27" spans="1:6" s="1" customFormat="1" ht="15.75">
      <c r="A27" s="290" t="s">
        <v>523</v>
      </c>
      <c r="B27" s="7" t="s">
        <v>147</v>
      </c>
      <c r="C27" s="330"/>
      <c r="E27" s="335">
        <f>C28+C29</f>
        <v>61800</v>
      </c>
      <c r="F27" s="1" t="s">
        <v>486</v>
      </c>
    </row>
    <row r="28" spans="1:5" s="1" customFormat="1" ht="31.5">
      <c r="A28" s="290" t="s">
        <v>524</v>
      </c>
      <c r="B28" s="112" t="s">
        <v>171</v>
      </c>
      <c r="C28" s="330">
        <f>'2.mell - bevétel'!H120</f>
        <v>61800</v>
      </c>
      <c r="D28" s="1" t="s">
        <v>6</v>
      </c>
      <c r="E28" s="335"/>
    </row>
    <row r="29" spans="1:5" s="1" customFormat="1" ht="15.75">
      <c r="A29" s="290" t="s">
        <v>525</v>
      </c>
      <c r="B29" s="50" t="s">
        <v>172</v>
      </c>
      <c r="C29" s="330">
        <v>0</v>
      </c>
      <c r="D29" s="1" t="s">
        <v>6</v>
      </c>
      <c r="E29" s="335"/>
    </row>
    <row r="30" spans="1:5" s="1" customFormat="1" ht="15.75">
      <c r="A30" s="290"/>
      <c r="B30" s="60"/>
      <c r="E30" s="111"/>
    </row>
    <row r="31" spans="1:6" s="1" customFormat="1" ht="15.75">
      <c r="A31" s="290" t="s">
        <v>27</v>
      </c>
      <c r="B31" s="7" t="s">
        <v>46</v>
      </c>
      <c r="E31" s="113">
        <f>SUM(E11:E30)</f>
        <v>60396251</v>
      </c>
      <c r="F31" s="1" t="s">
        <v>486</v>
      </c>
    </row>
    <row r="32" spans="1:5" s="1" customFormat="1" ht="15.75">
      <c r="A32" s="290"/>
      <c r="B32" s="50"/>
      <c r="E32" s="111"/>
    </row>
    <row r="33" spans="1:5" s="1" customFormat="1" ht="18.75">
      <c r="A33" s="290" t="s">
        <v>45</v>
      </c>
      <c r="B33" s="110" t="s">
        <v>173</v>
      </c>
      <c r="E33" s="111"/>
    </row>
    <row r="34" spans="1:6" s="1" customFormat="1" ht="15.75">
      <c r="A34" s="290" t="s">
        <v>526</v>
      </c>
      <c r="B34" s="9" t="s">
        <v>17</v>
      </c>
      <c r="C34" s="330"/>
      <c r="E34" s="335">
        <f>C36+C37+C38+C39+C40+C41</f>
        <v>107425300</v>
      </c>
      <c r="F34" s="1" t="s">
        <v>486</v>
      </c>
    </row>
    <row r="35" spans="1:5" s="1" customFormat="1" ht="15.75">
      <c r="A35" s="290"/>
      <c r="B35" s="8" t="s">
        <v>16</v>
      </c>
      <c r="C35" s="330"/>
      <c r="E35" s="335"/>
    </row>
    <row r="36" spans="1:5" s="1" customFormat="1" ht="15.75">
      <c r="A36" s="290" t="s">
        <v>527</v>
      </c>
      <c r="B36" s="50" t="s">
        <v>174</v>
      </c>
      <c r="C36" s="330">
        <f>'4.mell. - kiadás'!E48</f>
        <v>21342184</v>
      </c>
      <c r="D36" s="1" t="s">
        <v>486</v>
      </c>
      <c r="E36" s="335"/>
    </row>
    <row r="37" spans="1:5" s="1" customFormat="1" ht="15.75">
      <c r="A37" s="290" t="s">
        <v>528</v>
      </c>
      <c r="B37" s="50" t="s">
        <v>175</v>
      </c>
      <c r="C37" s="330">
        <f>'4.mell. - kiadás'!F48</f>
        <v>4790355</v>
      </c>
      <c r="D37" s="1" t="s">
        <v>486</v>
      </c>
      <c r="E37" s="335"/>
    </row>
    <row r="38" spans="1:5" s="1" customFormat="1" ht="15.75">
      <c r="A38" s="290" t="s">
        <v>529</v>
      </c>
      <c r="B38" s="50" t="s">
        <v>176</v>
      </c>
      <c r="C38" s="330">
        <f>'4.mell. - kiadás'!G48</f>
        <v>29908510</v>
      </c>
      <c r="D38" s="1" t="s">
        <v>486</v>
      </c>
      <c r="E38" s="335"/>
    </row>
    <row r="39" spans="1:5" s="1" customFormat="1" ht="15.75">
      <c r="A39" s="290" t="s">
        <v>530</v>
      </c>
      <c r="B39" s="114" t="s">
        <v>177</v>
      </c>
      <c r="C39" s="330">
        <f>'4.mell. - kiadás'!H42</f>
        <v>2911400</v>
      </c>
      <c r="D39" s="1" t="s">
        <v>486</v>
      </c>
      <c r="E39" s="335"/>
    </row>
    <row r="40" spans="1:5" s="1" customFormat="1" ht="15.75">
      <c r="A40" s="290" t="s">
        <v>537</v>
      </c>
      <c r="B40" s="50" t="s">
        <v>82</v>
      </c>
      <c r="C40" s="330">
        <f>'4.mell. - kiadás'!I42-C41</f>
        <v>5232158</v>
      </c>
      <c r="D40" s="1" t="s">
        <v>486</v>
      </c>
      <c r="E40" s="335"/>
    </row>
    <row r="41" spans="1:5" s="1" customFormat="1" ht="15.75">
      <c r="A41" s="290" t="s">
        <v>552</v>
      </c>
      <c r="B41" s="50" t="s">
        <v>551</v>
      </c>
      <c r="C41" s="334">
        <f>4825255+38415438</f>
        <v>43240693</v>
      </c>
      <c r="D41" s="1" t="s">
        <v>1</v>
      </c>
      <c r="E41" s="335"/>
    </row>
    <row r="42" spans="1:6" s="1" customFormat="1" ht="15.75">
      <c r="A42" s="290" t="s">
        <v>531</v>
      </c>
      <c r="B42" s="9" t="s">
        <v>18</v>
      </c>
      <c r="C42" s="330"/>
      <c r="E42" s="333">
        <f>C44+C45+C46</f>
        <v>13883397</v>
      </c>
      <c r="F42" s="1" t="s">
        <v>486</v>
      </c>
    </row>
    <row r="43" spans="1:5" s="1" customFormat="1" ht="15.75">
      <c r="A43" s="290"/>
      <c r="B43" s="8" t="s">
        <v>16</v>
      </c>
      <c r="C43" s="330"/>
      <c r="E43" s="335"/>
    </row>
    <row r="44" spans="1:5" s="1" customFormat="1" ht="15.75">
      <c r="A44" s="290" t="s">
        <v>538</v>
      </c>
      <c r="B44" s="50" t="s">
        <v>178</v>
      </c>
      <c r="C44" s="334">
        <f>'4.mell. - kiadás'!K48</f>
        <v>2563397</v>
      </c>
      <c r="D44" s="1" t="s">
        <v>486</v>
      </c>
      <c r="E44" s="335"/>
    </row>
    <row r="45" spans="1:5" s="1" customFormat="1" ht="15.75">
      <c r="A45" s="290" t="s">
        <v>532</v>
      </c>
      <c r="B45" s="50" t="s">
        <v>179</v>
      </c>
      <c r="C45" s="334">
        <f>'4.mell. - kiadás'!L48</f>
        <v>10120000</v>
      </c>
      <c r="D45" s="1" t="s">
        <v>486</v>
      </c>
      <c r="E45" s="335"/>
    </row>
    <row r="46" spans="1:7" ht="15.75">
      <c r="A46" s="290" t="s">
        <v>533</v>
      </c>
      <c r="B46" s="50" t="s">
        <v>83</v>
      </c>
      <c r="C46" s="334">
        <f>'4.mell. - kiadás'!M48</f>
        <v>1200000</v>
      </c>
      <c r="D46" s="1" t="s">
        <v>486</v>
      </c>
      <c r="E46" s="335"/>
      <c r="F46" s="1"/>
      <c r="G46" s="1"/>
    </row>
    <row r="47" s="1" customFormat="1" ht="7.5" customHeight="1">
      <c r="E47" s="335"/>
    </row>
    <row r="48" spans="1:6" s="1" customFormat="1" ht="15.75">
      <c r="A48" s="290" t="s">
        <v>105</v>
      </c>
      <c r="B48" s="18" t="s">
        <v>180</v>
      </c>
      <c r="C48" s="334"/>
      <c r="E48" s="335">
        <f>C49+C50+C51</f>
        <v>1121209</v>
      </c>
      <c r="F48" s="1" t="s">
        <v>486</v>
      </c>
    </row>
    <row r="49" spans="1:5" s="1" customFormat="1" ht="15.75">
      <c r="A49" s="290" t="s">
        <v>534</v>
      </c>
      <c r="B49" s="50" t="s">
        <v>181</v>
      </c>
      <c r="C49" s="330"/>
      <c r="D49" s="1" t="s">
        <v>486</v>
      </c>
      <c r="E49" s="335"/>
    </row>
    <row r="50" spans="1:7" s="6" customFormat="1" ht="18.75">
      <c r="A50" s="292" t="s">
        <v>535</v>
      </c>
      <c r="B50" s="50" t="s">
        <v>182</v>
      </c>
      <c r="C50" s="330"/>
      <c r="D50" s="1" t="s">
        <v>486</v>
      </c>
      <c r="E50" s="335"/>
      <c r="F50" s="1"/>
      <c r="G50" s="4"/>
    </row>
    <row r="51" spans="1:7" ht="15.75">
      <c r="A51" s="290" t="s">
        <v>536</v>
      </c>
      <c r="B51" s="50" t="s">
        <v>472</v>
      </c>
      <c r="C51" s="334">
        <f>'4.mell. - kiadás'!O48</f>
        <v>1121209</v>
      </c>
      <c r="D51" s="1" t="s">
        <v>486</v>
      </c>
      <c r="E51" s="335"/>
      <c r="F51" s="1"/>
      <c r="G51" s="1"/>
    </row>
    <row r="52" spans="1:7" ht="15.75">
      <c r="A52" s="290" t="s">
        <v>106</v>
      </c>
      <c r="B52" s="7" t="s">
        <v>49</v>
      </c>
      <c r="C52" s="334"/>
      <c r="D52" s="1"/>
      <c r="E52" s="331">
        <f>SUM(E34:E51)</f>
        <v>122429906</v>
      </c>
      <c r="F52" s="4" t="s">
        <v>486</v>
      </c>
      <c r="G52" s="1"/>
    </row>
    <row r="53" spans="1:7" ht="15.75">
      <c r="A53" s="290"/>
      <c r="B53" s="50"/>
      <c r="C53" s="330"/>
      <c r="D53" s="1"/>
      <c r="E53" s="333"/>
      <c r="F53" s="1"/>
      <c r="G53" s="1"/>
    </row>
    <row r="54" spans="1:7" ht="18.75">
      <c r="A54" s="290" t="s">
        <v>112</v>
      </c>
      <c r="B54" s="7" t="s">
        <v>50</v>
      </c>
      <c r="C54" s="330"/>
      <c r="D54" s="1"/>
      <c r="E54" s="331">
        <f>E31-E52</f>
        <v>-62033655</v>
      </c>
      <c r="F54" s="4" t="s">
        <v>486</v>
      </c>
      <c r="G54" s="6"/>
    </row>
    <row r="55" spans="1:5" ht="15.75">
      <c r="A55" s="290"/>
      <c r="B55" s="50"/>
      <c r="C55" s="330"/>
      <c r="D55" s="1"/>
      <c r="E55" s="331"/>
    </row>
    <row r="56" spans="1:6" ht="32.25">
      <c r="A56" s="290" t="s">
        <v>248</v>
      </c>
      <c r="B56" s="105" t="s">
        <v>559</v>
      </c>
      <c r="C56" s="332"/>
      <c r="D56" s="6"/>
      <c r="E56" s="331">
        <f>'2.mell - bevétel'!H126</f>
        <v>50912446</v>
      </c>
      <c r="F56" s="4" t="s">
        <v>486</v>
      </c>
    </row>
    <row r="57" spans="1:5" ht="48">
      <c r="A57" s="290" t="s">
        <v>250</v>
      </c>
      <c r="B57" s="105" t="s">
        <v>513</v>
      </c>
      <c r="C57" s="332"/>
      <c r="D57" s="6"/>
      <c r="E57" s="331">
        <v>10000000</v>
      </c>
    </row>
    <row r="58" spans="1:7" s="1" customFormat="1" ht="15.75">
      <c r="A58" s="290" t="s">
        <v>252</v>
      </c>
      <c r="B58" s="21" t="s">
        <v>493</v>
      </c>
      <c r="C58" s="327"/>
      <c r="D58" s="4"/>
      <c r="E58" s="331">
        <f>'2.mell - bevétel'!H128</f>
        <v>1121209</v>
      </c>
      <c r="F58" s="4"/>
      <c r="G58" s="4"/>
    </row>
    <row r="59" spans="1:6" ht="15.75">
      <c r="A59" s="293" t="s">
        <v>259</v>
      </c>
      <c r="B59" s="7" t="s">
        <v>540</v>
      </c>
      <c r="E59" s="331">
        <f>E54+E56+E57+E58</f>
        <v>0</v>
      </c>
      <c r="F59" s="4" t="s">
        <v>486</v>
      </c>
    </row>
    <row r="60" spans="2:5" s="1" customFormat="1" ht="10.5" customHeight="1">
      <c r="B60" s="5"/>
      <c r="C60" s="330"/>
      <c r="E60" s="329"/>
    </row>
    <row r="61" spans="2:6" ht="15.75">
      <c r="B61" s="5"/>
      <c r="C61" s="330"/>
      <c r="D61" s="1"/>
      <c r="E61" s="329"/>
      <c r="F61" s="7"/>
    </row>
    <row r="62" spans="2:6" ht="15.75">
      <c r="B62" s="7"/>
      <c r="E62" s="328"/>
      <c r="F62" s="7"/>
    </row>
  </sheetData>
  <sheetProtection password="AF00" sheet="1" objects="1" scenarios="1" selectLockedCells="1" selectUnlockedCells="1"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2:G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00390625" style="0" customWidth="1"/>
    <col min="2" max="2" width="37.875" style="0" customWidth="1"/>
    <col min="3" max="3" width="15.375" style="0" customWidth="1"/>
    <col min="4" max="4" width="13.25390625" style="0" customWidth="1"/>
    <col min="5" max="5" width="15.375" style="0" customWidth="1"/>
    <col min="6" max="6" width="14.25390625" style="0" customWidth="1"/>
    <col min="7" max="7" width="18.875" style="0" customWidth="1"/>
  </cols>
  <sheetData>
    <row r="2" spans="3:7" ht="12.75">
      <c r="C2" s="515"/>
      <c r="D2" s="515"/>
      <c r="E2" s="515"/>
      <c r="F2" s="515"/>
      <c r="G2" s="515"/>
    </row>
    <row r="3" spans="2:7" ht="12.75">
      <c r="B3" s="844" t="s">
        <v>623</v>
      </c>
      <c r="C3" s="844"/>
      <c r="D3" s="844"/>
      <c r="E3" s="844"/>
      <c r="F3" s="844"/>
      <c r="G3" s="617"/>
    </row>
    <row r="5" spans="2:7" ht="12.75">
      <c r="B5" s="847"/>
      <c r="C5" s="847"/>
      <c r="D5" s="847"/>
      <c r="E5" s="847"/>
      <c r="F5" s="847"/>
      <c r="G5" s="339"/>
    </row>
    <row r="6" spans="2:6" ht="12.75">
      <c r="B6" s="337"/>
      <c r="C6" s="520"/>
      <c r="D6" s="520"/>
      <c r="E6" s="520"/>
      <c r="F6" s="337"/>
    </row>
    <row r="7" spans="3:5" ht="15" customHeight="1">
      <c r="C7" s="634"/>
      <c r="D7" s="634"/>
      <c r="E7" s="634"/>
    </row>
    <row r="8" spans="2:7" ht="18.75" customHeight="1">
      <c r="B8" s="849" t="s">
        <v>41</v>
      </c>
      <c r="C8" s="849"/>
      <c r="D8" s="849"/>
      <c r="E8" s="849"/>
      <c r="F8" s="849"/>
      <c r="G8" s="849"/>
    </row>
    <row r="9" spans="2:7" ht="19.5" customHeight="1">
      <c r="B9" s="634" t="s">
        <v>622</v>
      </c>
      <c r="C9" s="634"/>
      <c r="D9" s="634"/>
      <c r="E9" s="634"/>
      <c r="F9" s="634"/>
      <c r="G9" s="634"/>
    </row>
    <row r="10" spans="2:7" ht="18.75" customHeight="1">
      <c r="B10" s="634" t="s">
        <v>480</v>
      </c>
      <c r="C10" s="634"/>
      <c r="D10" s="634"/>
      <c r="E10" s="634"/>
      <c r="F10" s="634"/>
      <c r="G10" s="634"/>
    </row>
    <row r="12" ht="13.5" thickBot="1">
      <c r="G12" s="339" t="s">
        <v>621</v>
      </c>
    </row>
    <row r="13" spans="1:7" ht="92.25" customHeight="1" thickBot="1">
      <c r="A13" s="488" t="s">
        <v>502</v>
      </c>
      <c r="B13" s="487" t="s">
        <v>620</v>
      </c>
      <c r="C13" s="843" t="s">
        <v>619</v>
      </c>
      <c r="D13" s="843"/>
      <c r="E13" s="848" t="s">
        <v>618</v>
      </c>
      <c r="F13" s="848"/>
      <c r="G13" s="478" t="s">
        <v>617</v>
      </c>
    </row>
    <row r="14" spans="1:7" ht="24.75" customHeight="1" thickBot="1">
      <c r="A14" s="486"/>
      <c r="B14" s="485" t="s">
        <v>616</v>
      </c>
      <c r="C14" s="484" t="s">
        <v>614</v>
      </c>
      <c r="D14" s="476" t="s">
        <v>615</v>
      </c>
      <c r="E14" s="467" t="s">
        <v>614</v>
      </c>
      <c r="F14" s="476" t="s">
        <v>613</v>
      </c>
      <c r="G14" s="467"/>
    </row>
    <row r="15" spans="1:7" ht="23.25" customHeight="1" thickBot="1">
      <c r="A15" s="472" t="s">
        <v>44</v>
      </c>
      <c r="B15" s="469" t="s">
        <v>612</v>
      </c>
      <c r="C15" s="471">
        <f>830400+5185082</f>
        <v>6015482</v>
      </c>
      <c r="D15" s="483">
        <f>C15/G15*100</f>
        <v>67.97597990287049</v>
      </c>
      <c r="E15" s="471">
        <f>8667923-830400+181500-5185082</f>
        <v>2833941</v>
      </c>
      <c r="F15" s="483">
        <f>E15/G15*100</f>
        <v>32.024020097129494</v>
      </c>
      <c r="G15" s="468">
        <f>C15+E15</f>
        <v>8849423</v>
      </c>
    </row>
    <row r="16" spans="1:7" ht="26.25" customHeight="1" thickBot="1">
      <c r="A16" s="467" t="s">
        <v>27</v>
      </c>
      <c r="B16" s="482" t="s">
        <v>2</v>
      </c>
      <c r="C16" s="480">
        <f>C15</f>
        <v>6015482</v>
      </c>
      <c r="D16" s="481">
        <f>C16/G16*100</f>
        <v>67.97597990287049</v>
      </c>
      <c r="E16" s="480">
        <f>E15</f>
        <v>2833941</v>
      </c>
      <c r="F16" s="481">
        <f>E16/G16*100</f>
        <v>32.024020097129494</v>
      </c>
      <c r="G16" s="480">
        <f>G15</f>
        <v>8849423</v>
      </c>
    </row>
  </sheetData>
  <sheetProtection password="AF00" sheet="1" objects="1" scenarios="1" selectLockedCells="1" selectUnlockedCells="1"/>
  <mergeCells count="10">
    <mergeCell ref="C2:G2"/>
    <mergeCell ref="C6:E6"/>
    <mergeCell ref="C7:E7"/>
    <mergeCell ref="B5:F5"/>
    <mergeCell ref="B3:G3"/>
    <mergeCell ref="C13:D13"/>
    <mergeCell ref="E13:F13"/>
    <mergeCell ref="B8:G8"/>
    <mergeCell ref="B9:G9"/>
    <mergeCell ref="B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K16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59" customWidth="1"/>
    <col min="2" max="5" width="3.125" style="57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514"/>
      <c r="B1" s="514"/>
      <c r="C1" s="514"/>
      <c r="D1" s="514"/>
      <c r="E1" s="514"/>
      <c r="F1" s="514"/>
      <c r="G1" s="514"/>
      <c r="H1" s="514"/>
      <c r="I1" s="514"/>
    </row>
    <row r="2" spans="1:9" ht="15.75">
      <c r="A2" s="324"/>
      <c r="B2" s="324"/>
      <c r="C2" s="324"/>
      <c r="D2" s="324"/>
      <c r="E2" s="324"/>
      <c r="F2" s="324"/>
      <c r="G2" s="324"/>
      <c r="H2" s="324"/>
      <c r="I2" s="324"/>
    </row>
    <row r="3" spans="1:9" ht="15.75">
      <c r="A3" s="514" t="s">
        <v>562</v>
      </c>
      <c r="B3" s="514"/>
      <c r="C3" s="514"/>
      <c r="D3" s="514"/>
      <c r="E3" s="514"/>
      <c r="F3" s="514"/>
      <c r="G3" s="514"/>
      <c r="H3" s="514"/>
      <c r="I3" s="514"/>
    </row>
    <row r="4" spans="1:9" ht="15.75">
      <c r="A4" s="519"/>
      <c r="B4" s="519"/>
      <c r="C4" s="519"/>
      <c r="D4" s="519"/>
      <c r="E4" s="519"/>
      <c r="F4" s="519"/>
      <c r="G4" s="519"/>
      <c r="H4" s="519"/>
      <c r="I4" s="519"/>
    </row>
    <row r="5" spans="1:9" ht="15.75">
      <c r="A5" s="338"/>
      <c r="B5" s="338"/>
      <c r="C5" s="338"/>
      <c r="D5" s="338"/>
      <c r="E5" s="338"/>
      <c r="F5" s="338"/>
      <c r="G5" s="338"/>
      <c r="H5" s="338"/>
      <c r="I5" s="338"/>
    </row>
    <row r="6" spans="1:9" s="9" customFormat="1" ht="15.75">
      <c r="A6" s="530" t="s">
        <v>4</v>
      </c>
      <c r="B6" s="530"/>
      <c r="C6" s="530"/>
      <c r="D6" s="530"/>
      <c r="E6" s="530"/>
      <c r="F6" s="530"/>
      <c r="G6" s="530"/>
      <c r="H6" s="530"/>
      <c r="I6" s="530"/>
    </row>
    <row r="7" spans="1:9" s="9" customFormat="1" ht="15.75">
      <c r="A7" s="530" t="s">
        <v>38</v>
      </c>
      <c r="B7" s="530"/>
      <c r="C7" s="530"/>
      <c r="D7" s="530"/>
      <c r="E7" s="530"/>
      <c r="F7" s="530"/>
      <c r="G7" s="530"/>
      <c r="H7" s="530"/>
      <c r="I7" s="530"/>
    </row>
    <row r="8" spans="1:9" ht="15.75">
      <c r="A8" s="530" t="s">
        <v>480</v>
      </c>
      <c r="B8" s="530"/>
      <c r="C8" s="530"/>
      <c r="D8" s="530"/>
      <c r="E8" s="530"/>
      <c r="F8" s="530"/>
      <c r="G8" s="530"/>
      <c r="H8" s="530"/>
      <c r="I8" s="530"/>
    </row>
    <row r="9" ht="15.75" hidden="1"/>
    <row r="10" spans="1:9" ht="15.75">
      <c r="A10" s="532"/>
      <c r="B10" s="532"/>
      <c r="C10" s="532"/>
      <c r="D10" s="532"/>
      <c r="E10" s="532"/>
      <c r="F10" s="532"/>
      <c r="G10" s="532"/>
      <c r="H10" s="532"/>
      <c r="I10" s="532"/>
    </row>
    <row r="11" spans="8:9" ht="16.5" thickBot="1">
      <c r="H11" s="61"/>
      <c r="I11" s="62" t="s">
        <v>481</v>
      </c>
    </row>
    <row r="12" spans="1:9" ht="15.75">
      <c r="A12" s="533" t="s">
        <v>21</v>
      </c>
      <c r="B12" s="534"/>
      <c r="C12" s="534"/>
      <c r="D12" s="534"/>
      <c r="E12" s="534"/>
      <c r="F12" s="535"/>
      <c r="G12" s="63" t="s">
        <v>19</v>
      </c>
      <c r="H12" s="63" t="s">
        <v>19</v>
      </c>
      <c r="I12" s="63" t="s">
        <v>20</v>
      </c>
    </row>
    <row r="13" spans="1:9" ht="15.75">
      <c r="A13" s="536"/>
      <c r="B13" s="537"/>
      <c r="C13" s="537"/>
      <c r="D13" s="537"/>
      <c r="E13" s="537"/>
      <c r="F13" s="538"/>
      <c r="G13" s="64" t="s">
        <v>10</v>
      </c>
      <c r="H13" s="64" t="s">
        <v>10</v>
      </c>
      <c r="I13" s="64"/>
    </row>
    <row r="14" spans="1:9" ht="16.5" thickBot="1">
      <c r="A14" s="539"/>
      <c r="B14" s="540"/>
      <c r="C14" s="540"/>
      <c r="D14" s="540"/>
      <c r="E14" s="540"/>
      <c r="F14" s="541"/>
      <c r="G14" s="65" t="s">
        <v>448</v>
      </c>
      <c r="H14" s="65" t="s">
        <v>480</v>
      </c>
      <c r="I14" s="65" t="s">
        <v>22</v>
      </c>
    </row>
    <row r="15" spans="1:9" ht="6.75" customHeight="1">
      <c r="A15" s="248"/>
      <c r="B15" s="248"/>
      <c r="C15" s="248"/>
      <c r="D15" s="248"/>
      <c r="E15" s="248"/>
      <c r="F15" s="248"/>
      <c r="G15" s="248"/>
      <c r="H15" s="248"/>
      <c r="I15" s="248"/>
    </row>
    <row r="16" spans="1:9" ht="15.75">
      <c r="A16" s="18" t="s">
        <v>51</v>
      </c>
      <c r="B16" s="523" t="s">
        <v>87</v>
      </c>
      <c r="C16" s="523"/>
      <c r="D16" s="523"/>
      <c r="E16" s="523"/>
      <c r="F16" s="523"/>
      <c r="G16" s="98"/>
      <c r="H16" s="350"/>
      <c r="I16" s="98"/>
    </row>
    <row r="17" spans="1:9" ht="15.75">
      <c r="A17" s="18"/>
      <c r="B17" s="18" t="s">
        <v>51</v>
      </c>
      <c r="C17" s="18" t="s">
        <v>88</v>
      </c>
      <c r="D17" s="18"/>
      <c r="E17" s="18"/>
      <c r="F17" s="18"/>
      <c r="G17" s="351"/>
      <c r="H17" s="351"/>
      <c r="I17" s="18"/>
    </row>
    <row r="18" spans="1:9" ht="18" customHeight="1">
      <c r="A18" s="18"/>
      <c r="B18" s="18"/>
      <c r="C18" s="18" t="s">
        <v>44</v>
      </c>
      <c r="D18" s="523" t="s">
        <v>89</v>
      </c>
      <c r="E18" s="523"/>
      <c r="F18" s="523"/>
      <c r="G18" s="350"/>
      <c r="H18" s="350"/>
      <c r="I18" s="98"/>
    </row>
    <row r="19" spans="1:9" ht="21.75" customHeight="1">
      <c r="A19" s="18"/>
      <c r="B19" s="18"/>
      <c r="C19" s="18"/>
      <c r="D19" s="18" t="s">
        <v>44</v>
      </c>
      <c r="E19" s="523" t="s">
        <v>90</v>
      </c>
      <c r="F19" s="523"/>
      <c r="G19" s="350"/>
      <c r="H19" s="350"/>
      <c r="I19" s="98"/>
    </row>
    <row r="20" spans="1:9" ht="15.75">
      <c r="A20" s="21"/>
      <c r="B20" s="21"/>
      <c r="C20" s="21"/>
      <c r="D20" s="21"/>
      <c r="E20" s="21" t="s">
        <v>58</v>
      </c>
      <c r="F20" s="21" t="s">
        <v>52</v>
      </c>
      <c r="G20" s="349"/>
      <c r="H20" s="349"/>
      <c r="I20" s="99"/>
    </row>
    <row r="21" spans="1:9" ht="20.25" customHeight="1">
      <c r="A21" s="21"/>
      <c r="B21" s="21"/>
      <c r="C21" s="21"/>
      <c r="D21" s="21"/>
      <c r="E21" s="21"/>
      <c r="F21" s="21" t="s">
        <v>91</v>
      </c>
      <c r="G21" s="349"/>
      <c r="I21" s="99"/>
    </row>
    <row r="22" spans="1:9" ht="31.5" customHeight="1">
      <c r="A22" s="21"/>
      <c r="B22" s="21"/>
      <c r="C22" s="21"/>
      <c r="D22" s="21"/>
      <c r="E22" s="21" t="s">
        <v>59</v>
      </c>
      <c r="F22" s="100" t="s">
        <v>53</v>
      </c>
      <c r="G22" s="348"/>
      <c r="I22" s="99"/>
    </row>
    <row r="23" spans="1:9" ht="36.75" customHeight="1">
      <c r="A23" s="21"/>
      <c r="B23" s="21"/>
      <c r="C23" s="21"/>
      <c r="D23" s="21"/>
      <c r="E23" s="21" t="s">
        <v>92</v>
      </c>
      <c r="F23" s="100" t="s">
        <v>93</v>
      </c>
      <c r="G23" s="261">
        <f>2553*1000</f>
        <v>2553000</v>
      </c>
      <c r="H23" s="261">
        <v>2553350</v>
      </c>
      <c r="I23" s="99">
        <f>H23/G23*100</f>
        <v>100.01370936153545</v>
      </c>
    </row>
    <row r="24" spans="1:9" ht="15.75">
      <c r="A24" s="21"/>
      <c r="B24" s="21"/>
      <c r="C24" s="21"/>
      <c r="D24" s="21"/>
      <c r="E24" s="21"/>
      <c r="F24" s="21" t="s">
        <v>91</v>
      </c>
      <c r="G24" s="261"/>
      <c r="H24" s="261"/>
      <c r="I24" s="99"/>
    </row>
    <row r="25" spans="1:9" ht="15.75">
      <c r="A25" s="21"/>
      <c r="B25" s="21"/>
      <c r="C25" s="21"/>
      <c r="D25" s="21"/>
      <c r="E25" s="21" t="s">
        <v>94</v>
      </c>
      <c r="F25" s="100" t="s">
        <v>95</v>
      </c>
      <c r="G25" s="261">
        <v>3648000</v>
      </c>
      <c r="H25" s="261">
        <v>3040000</v>
      </c>
      <c r="I25" s="99">
        <f>H25/G25*100</f>
        <v>83.33333333333334</v>
      </c>
    </row>
    <row r="26" spans="1:9" ht="15.75">
      <c r="A26" s="21"/>
      <c r="B26" s="21"/>
      <c r="C26" s="21"/>
      <c r="D26" s="21"/>
      <c r="E26" s="21"/>
      <c r="F26" s="21" t="s">
        <v>91</v>
      </c>
      <c r="G26" s="261"/>
      <c r="H26" s="261"/>
      <c r="I26" s="99"/>
    </row>
    <row r="27" spans="1:9" ht="23.25" customHeight="1">
      <c r="A27" s="21"/>
      <c r="B27" s="21"/>
      <c r="C27" s="21"/>
      <c r="D27" s="21"/>
      <c r="E27" s="21" t="s">
        <v>96</v>
      </c>
      <c r="F27" s="100" t="s">
        <v>97</v>
      </c>
      <c r="G27" s="261">
        <v>100000</v>
      </c>
      <c r="H27" s="261">
        <v>100000</v>
      </c>
      <c r="I27" s="99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91</v>
      </c>
      <c r="G28" s="261"/>
      <c r="H28" s="261"/>
      <c r="I28" s="99"/>
    </row>
    <row r="29" spans="1:9" ht="15.75">
      <c r="A29" s="21"/>
      <c r="B29" s="21"/>
      <c r="C29" s="21"/>
      <c r="D29" s="21"/>
      <c r="E29" s="21" t="s">
        <v>98</v>
      </c>
      <c r="F29" s="100" t="s">
        <v>99</v>
      </c>
      <c r="G29" s="261">
        <v>7507000</v>
      </c>
      <c r="H29" s="261">
        <v>7506890</v>
      </c>
      <c r="I29" s="99">
        <f>H29/G29*100</f>
        <v>99.99853470094578</v>
      </c>
    </row>
    <row r="30" spans="1:9" s="51" customFormat="1" ht="15.75">
      <c r="A30" s="21"/>
      <c r="B30" s="21"/>
      <c r="C30" s="21"/>
      <c r="D30" s="21"/>
      <c r="E30" s="21"/>
      <c r="F30" s="21" t="s">
        <v>91</v>
      </c>
      <c r="G30" s="262"/>
      <c r="H30" s="262"/>
      <c r="I30" s="99"/>
    </row>
    <row r="31" spans="1:9" ht="15.75">
      <c r="A31" s="21"/>
      <c r="B31" s="21"/>
      <c r="C31" s="21"/>
      <c r="D31" s="21" t="s">
        <v>60</v>
      </c>
      <c r="E31" s="21" t="s">
        <v>100</v>
      </c>
      <c r="F31" s="21"/>
      <c r="G31" s="261">
        <v>5000000</v>
      </c>
      <c r="H31" s="261">
        <v>5000000</v>
      </c>
      <c r="I31" s="99">
        <f>H31/G31*100</f>
        <v>100</v>
      </c>
    </row>
    <row r="32" spans="1:9" ht="15.75">
      <c r="A32" s="21"/>
      <c r="B32" s="21"/>
      <c r="C32" s="21"/>
      <c r="D32" s="21"/>
      <c r="E32" s="21"/>
      <c r="F32" s="21" t="s">
        <v>91</v>
      </c>
      <c r="G32" s="261">
        <v>-267000</v>
      </c>
      <c r="H32" s="261"/>
      <c r="I32" s="99"/>
    </row>
    <row r="33" spans="1:9" ht="15.75">
      <c r="A33" s="21"/>
      <c r="B33" s="21"/>
      <c r="C33" s="21"/>
      <c r="D33" s="21"/>
      <c r="E33" s="21" t="s">
        <v>483</v>
      </c>
      <c r="F33" s="21"/>
      <c r="G33" s="261"/>
      <c r="H33" s="261">
        <v>3331195</v>
      </c>
      <c r="I33" s="99"/>
    </row>
    <row r="34" spans="1:9" ht="15.75">
      <c r="A34" s="21"/>
      <c r="B34" s="21"/>
      <c r="C34" s="21"/>
      <c r="D34" s="21" t="s">
        <v>61</v>
      </c>
      <c r="E34" s="21" t="s">
        <v>156</v>
      </c>
      <c r="F34" s="21"/>
      <c r="G34" s="261">
        <v>20000</v>
      </c>
      <c r="H34" s="261">
        <v>20400</v>
      </c>
      <c r="I34" s="99">
        <f>H34/G34*100</f>
        <v>102</v>
      </c>
    </row>
    <row r="35" spans="1:9" ht="15.75">
      <c r="A35" s="21"/>
      <c r="B35" s="21"/>
      <c r="C35" s="21"/>
      <c r="D35" s="21" t="s">
        <v>157</v>
      </c>
      <c r="E35" s="21" t="s">
        <v>113</v>
      </c>
      <c r="F35" s="21"/>
      <c r="G35" s="261">
        <v>207000</v>
      </c>
      <c r="H35" s="261">
        <v>286000</v>
      </c>
      <c r="I35" s="99">
        <f>H35/G35*100</f>
        <v>138.16425120772945</v>
      </c>
    </row>
    <row r="36" spans="1:9" ht="15.75">
      <c r="A36" s="21"/>
      <c r="B36" s="21"/>
      <c r="C36" s="21" t="s">
        <v>27</v>
      </c>
      <c r="D36" s="522" t="s">
        <v>101</v>
      </c>
      <c r="E36" s="522"/>
      <c r="F36" s="522"/>
      <c r="G36" s="261">
        <v>3000</v>
      </c>
      <c r="H36" s="261">
        <v>3000</v>
      </c>
      <c r="I36" s="99">
        <f>H36/G36*100</f>
        <v>100</v>
      </c>
    </row>
    <row r="37" spans="1:9" ht="15.75">
      <c r="A37" s="21"/>
      <c r="B37" s="21"/>
      <c r="C37" s="21" t="s">
        <v>106</v>
      </c>
      <c r="D37" s="21" t="s">
        <v>482</v>
      </c>
      <c r="E37" s="21"/>
      <c r="F37" s="21"/>
      <c r="G37" s="261">
        <v>34000</v>
      </c>
      <c r="H37" s="261">
        <v>11938</v>
      </c>
      <c r="I37" s="99">
        <f>H37/G37*100</f>
        <v>35.11176470588235</v>
      </c>
    </row>
    <row r="38" spans="1:9" ht="15.75">
      <c r="A38" s="21"/>
      <c r="B38" s="21"/>
      <c r="C38" s="21" t="s">
        <v>639</v>
      </c>
      <c r="D38" s="21" t="s">
        <v>638</v>
      </c>
      <c r="E38" s="21"/>
      <c r="F38" s="21"/>
      <c r="G38" s="261"/>
      <c r="H38" s="261">
        <v>1000000</v>
      </c>
      <c r="I38" s="99"/>
    </row>
    <row r="39" spans="1:9" ht="21" customHeight="1">
      <c r="A39" s="102"/>
      <c r="B39" s="102"/>
      <c r="C39" s="103"/>
      <c r="D39" s="531" t="s">
        <v>102</v>
      </c>
      <c r="E39" s="531"/>
      <c r="F39" s="531"/>
      <c r="G39" s="347">
        <f>SUM(G20:G37)</f>
        <v>18805000</v>
      </c>
      <c r="H39" s="347">
        <f>SUM(H20:H38)</f>
        <v>22852773</v>
      </c>
      <c r="I39" s="99">
        <f>H39/G39*100</f>
        <v>121.5249827173624</v>
      </c>
    </row>
    <row r="40" spans="1:9" ht="33" customHeight="1">
      <c r="A40" s="21"/>
      <c r="B40" s="21"/>
      <c r="C40" s="18" t="s">
        <v>45</v>
      </c>
      <c r="D40" s="523" t="s">
        <v>103</v>
      </c>
      <c r="E40" s="523"/>
      <c r="F40" s="523"/>
      <c r="G40" s="261"/>
      <c r="H40" s="261"/>
      <c r="I40" s="99"/>
    </row>
    <row r="41" spans="1:9" ht="15.75">
      <c r="A41" s="21"/>
      <c r="B41" s="21"/>
      <c r="C41" s="21"/>
      <c r="D41" s="21" t="s">
        <v>44</v>
      </c>
      <c r="E41" s="21" t="s">
        <v>158</v>
      </c>
      <c r="F41" s="21"/>
      <c r="G41" s="261"/>
      <c r="H41" s="261"/>
      <c r="I41" s="99"/>
    </row>
    <row r="42" spans="1:9" ht="30.75" customHeight="1">
      <c r="A42" s="21"/>
      <c r="B42" s="21"/>
      <c r="C42" s="21"/>
      <c r="D42" s="21" t="s">
        <v>27</v>
      </c>
      <c r="E42" s="522" t="s">
        <v>159</v>
      </c>
      <c r="F42" s="522"/>
      <c r="G42" s="261">
        <v>3855000</v>
      </c>
      <c r="H42" s="261">
        <v>4162000</v>
      </c>
      <c r="I42" s="99">
        <f>H42/G42*100</f>
        <v>107.96368352788586</v>
      </c>
    </row>
    <row r="43" spans="1:9" ht="15.75">
      <c r="A43" s="21"/>
      <c r="B43" s="21"/>
      <c r="C43" s="21"/>
      <c r="D43" s="21" t="s">
        <v>45</v>
      </c>
      <c r="E43" s="21" t="s">
        <v>104</v>
      </c>
      <c r="F43" s="21"/>
      <c r="G43" s="261">
        <v>830000</v>
      </c>
      <c r="H43" s="261">
        <v>830400</v>
      </c>
      <c r="I43" s="99">
        <f>H43/G43*100</f>
        <v>100.04819277108435</v>
      </c>
    </row>
    <row r="44" spans="1:9" ht="15.75">
      <c r="A44" s="21"/>
      <c r="B44" s="21"/>
      <c r="C44" s="21"/>
      <c r="D44" s="21" t="s">
        <v>106</v>
      </c>
      <c r="E44" s="21" t="s">
        <v>107</v>
      </c>
      <c r="F44" s="21"/>
      <c r="G44" s="261">
        <v>3824000</v>
      </c>
      <c r="H44" s="261">
        <f>1240320+3944762</f>
        <v>5185082</v>
      </c>
      <c r="I44" s="99">
        <f>H44/G44*100</f>
        <v>135.59314853556486</v>
      </c>
    </row>
    <row r="45" spans="1:9" ht="33.75" customHeight="1">
      <c r="A45" s="102"/>
      <c r="B45" s="102"/>
      <c r="C45" s="531" t="s">
        <v>108</v>
      </c>
      <c r="D45" s="531"/>
      <c r="E45" s="531"/>
      <c r="F45" s="531"/>
      <c r="G45" s="346">
        <f>SUM(G41:G44)</f>
        <v>8509000</v>
      </c>
      <c r="H45" s="346">
        <f>SUM(H41:H44)</f>
        <v>10177482</v>
      </c>
      <c r="I45" s="99">
        <f>H45/G45*100</f>
        <v>119.60843812433895</v>
      </c>
    </row>
    <row r="46" spans="1:9" ht="21.75" customHeight="1">
      <c r="A46" s="21"/>
      <c r="B46" s="21"/>
      <c r="C46" s="18" t="s">
        <v>105</v>
      </c>
      <c r="D46" s="523" t="s">
        <v>109</v>
      </c>
      <c r="E46" s="523"/>
      <c r="F46" s="523"/>
      <c r="G46" s="345"/>
      <c r="H46" s="261"/>
      <c r="I46" s="99"/>
    </row>
    <row r="47" spans="1:9" ht="15.75">
      <c r="A47" s="21"/>
      <c r="B47" s="21"/>
      <c r="C47" s="21"/>
      <c r="D47" s="21" t="s">
        <v>44</v>
      </c>
      <c r="E47" s="522" t="s">
        <v>56</v>
      </c>
      <c r="F47" s="522"/>
      <c r="G47" s="341"/>
      <c r="H47" s="261"/>
      <c r="I47" s="99"/>
    </row>
    <row r="48" spans="1:9" ht="31.5">
      <c r="A48" s="21"/>
      <c r="B48" s="21"/>
      <c r="C48" s="21"/>
      <c r="D48" s="21"/>
      <c r="E48" s="21" t="s">
        <v>61</v>
      </c>
      <c r="F48" s="100" t="s">
        <v>110</v>
      </c>
      <c r="G48" s="341">
        <v>1200000</v>
      </c>
      <c r="H48" s="261">
        <v>1200000</v>
      </c>
      <c r="I48" s="99">
        <f>H48/G48*100</f>
        <v>100</v>
      </c>
    </row>
    <row r="49" spans="1:9" ht="12" customHeight="1">
      <c r="A49" s="21"/>
      <c r="B49" s="21"/>
      <c r="C49" s="21"/>
      <c r="D49" s="21"/>
      <c r="E49" s="21"/>
      <c r="F49" s="21"/>
      <c r="G49" s="340"/>
      <c r="H49" s="261"/>
      <c r="I49" s="99"/>
    </row>
    <row r="50" spans="1:9" ht="30" customHeight="1">
      <c r="A50" s="102"/>
      <c r="B50" s="102"/>
      <c r="C50" s="531" t="s">
        <v>111</v>
      </c>
      <c r="D50" s="531"/>
      <c r="E50" s="531"/>
      <c r="F50" s="531"/>
      <c r="G50" s="346">
        <f>SUM(G48:G49)</f>
        <v>1200000</v>
      </c>
      <c r="H50" s="346">
        <f>SUM(H48:H49)</f>
        <v>1200000</v>
      </c>
      <c r="I50" s="99">
        <f>H50/G50*100</f>
        <v>100</v>
      </c>
    </row>
    <row r="51" spans="1:9" ht="18.75" customHeight="1">
      <c r="A51" s="102"/>
      <c r="B51" s="102"/>
      <c r="C51" s="489" t="s">
        <v>106</v>
      </c>
      <c r="D51" s="529" t="s">
        <v>637</v>
      </c>
      <c r="E51" s="520"/>
      <c r="F51" s="520"/>
      <c r="G51" s="346"/>
      <c r="H51" s="346"/>
      <c r="I51" s="99"/>
    </row>
    <row r="52" spans="1:10" ht="18.75" customHeight="1">
      <c r="A52" s="102"/>
      <c r="B52" s="102"/>
      <c r="C52" s="59"/>
      <c r="E52" s="57" t="s">
        <v>44</v>
      </c>
      <c r="F52" s="60" t="s">
        <v>636</v>
      </c>
      <c r="G52" s="57"/>
      <c r="H52" s="260">
        <f>27846+28792</f>
        <v>56638</v>
      </c>
      <c r="I52" s="260"/>
      <c r="J52" s="260"/>
    </row>
    <row r="53" spans="1:10" ht="18.75" customHeight="1">
      <c r="A53" s="102"/>
      <c r="B53" s="102"/>
      <c r="C53" s="59"/>
      <c r="E53" s="57" t="s">
        <v>27</v>
      </c>
      <c r="F53" s="57" t="s">
        <v>635</v>
      </c>
      <c r="G53" s="57"/>
      <c r="H53" s="260">
        <v>115989</v>
      </c>
      <c r="I53" s="260"/>
      <c r="J53" s="260"/>
    </row>
    <row r="54" spans="1:10" ht="18" customHeight="1">
      <c r="A54" s="102"/>
      <c r="B54" s="102"/>
      <c r="C54" s="59"/>
      <c r="E54" s="57" t="s">
        <v>45</v>
      </c>
      <c r="F54" s="60" t="s">
        <v>634</v>
      </c>
      <c r="G54" s="57"/>
      <c r="H54" s="260">
        <v>806700</v>
      </c>
      <c r="I54" s="260"/>
      <c r="J54" s="260"/>
    </row>
    <row r="55" spans="1:10" ht="17.25" customHeight="1">
      <c r="A55" s="102"/>
      <c r="B55" s="102"/>
      <c r="C55" s="495" t="s">
        <v>633</v>
      </c>
      <c r="D55" s="492"/>
      <c r="E55" s="492"/>
      <c r="F55" s="492"/>
      <c r="G55" s="57"/>
      <c r="H55" s="260">
        <f>H52+H53+H54</f>
        <v>979327</v>
      </c>
      <c r="I55" s="260"/>
      <c r="J55" s="260"/>
    </row>
    <row r="56" spans="1:10" ht="17.25" customHeight="1">
      <c r="A56" s="102"/>
      <c r="B56" s="102"/>
      <c r="C56" s="493" t="s">
        <v>632</v>
      </c>
      <c r="D56" s="492"/>
      <c r="E56" s="492"/>
      <c r="F56" s="492"/>
      <c r="G56" s="57"/>
      <c r="H56" s="260"/>
      <c r="I56" s="260"/>
      <c r="J56" s="260"/>
    </row>
    <row r="57" spans="1:10" ht="17.25" customHeight="1">
      <c r="A57" s="102"/>
      <c r="B57" s="102"/>
      <c r="C57" s="493"/>
      <c r="D57" s="492"/>
      <c r="E57" s="497" t="s">
        <v>44</v>
      </c>
      <c r="F57" s="496" t="s">
        <v>631</v>
      </c>
      <c r="G57" s="57"/>
      <c r="H57" s="260">
        <v>65080</v>
      </c>
      <c r="I57" s="260"/>
      <c r="J57" s="260"/>
    </row>
    <row r="58" spans="1:9" ht="17.25" customHeight="1">
      <c r="A58" s="102"/>
      <c r="B58" s="102"/>
      <c r="C58" s="495" t="s">
        <v>630</v>
      </c>
      <c r="D58" s="494"/>
      <c r="E58" s="494"/>
      <c r="F58" s="494"/>
      <c r="G58" s="346"/>
      <c r="H58" s="346">
        <f>H57</f>
        <v>65080</v>
      </c>
      <c r="I58" s="99"/>
    </row>
    <row r="59" spans="1:9" ht="7.5" customHeight="1">
      <c r="A59" s="102"/>
      <c r="B59" s="102"/>
      <c r="C59" s="493"/>
      <c r="D59" s="492"/>
      <c r="E59" s="492"/>
      <c r="F59" s="492"/>
      <c r="G59" s="346"/>
      <c r="H59" s="346"/>
      <c r="I59" s="99"/>
    </row>
    <row r="60" spans="1:9" ht="15.75">
      <c r="A60" s="104"/>
      <c r="B60" s="523" t="s">
        <v>114</v>
      </c>
      <c r="C60" s="523"/>
      <c r="D60" s="523"/>
      <c r="E60" s="523"/>
      <c r="F60" s="523"/>
      <c r="G60" s="344">
        <f>G39+G45+G50</f>
        <v>28514000</v>
      </c>
      <c r="H60" s="344">
        <f>H39+H45+H50+H55+H58</f>
        <v>35274662</v>
      </c>
      <c r="I60" s="99">
        <f>H60/G60*100</f>
        <v>123.70997404783614</v>
      </c>
    </row>
    <row r="61" spans="1:9" ht="12" customHeight="1">
      <c r="A61" s="21"/>
      <c r="B61" s="21"/>
      <c r="C61" s="21"/>
      <c r="D61" s="21"/>
      <c r="E61" s="21"/>
      <c r="F61" s="21"/>
      <c r="G61" s="340"/>
      <c r="H61" s="261"/>
      <c r="I61" s="99"/>
    </row>
    <row r="62" spans="1:9" ht="29.25" customHeight="1">
      <c r="A62" s="104"/>
      <c r="B62" s="18" t="s">
        <v>54</v>
      </c>
      <c r="C62" s="523" t="s">
        <v>115</v>
      </c>
      <c r="D62" s="523"/>
      <c r="E62" s="523"/>
      <c r="F62" s="523"/>
      <c r="G62" s="345"/>
      <c r="H62" s="261"/>
      <c r="I62" s="99"/>
    </row>
    <row r="63" spans="1:9" ht="30" customHeight="1">
      <c r="A63" s="21"/>
      <c r="B63" s="21"/>
      <c r="C63" s="21" t="s">
        <v>44</v>
      </c>
      <c r="D63" s="524" t="s">
        <v>369</v>
      </c>
      <c r="E63" s="524"/>
      <c r="F63" s="524"/>
      <c r="G63" s="340">
        <v>46000</v>
      </c>
      <c r="H63" s="261">
        <v>46400</v>
      </c>
      <c r="I63" s="99">
        <f>H63/G63*100</f>
        <v>100.8695652173913</v>
      </c>
    </row>
    <row r="64" spans="1:9" ht="17.25" customHeight="1">
      <c r="A64" s="21"/>
      <c r="B64" s="21"/>
      <c r="C64" s="21" t="s">
        <v>27</v>
      </c>
      <c r="D64" s="21" t="s">
        <v>629</v>
      </c>
      <c r="E64" s="21"/>
      <c r="F64" s="21"/>
      <c r="G64" s="340"/>
      <c r="H64" s="261">
        <f>722670+501752</f>
        <v>1224422</v>
      </c>
      <c r="I64" s="99"/>
    </row>
    <row r="65" spans="1:9" ht="17.25" customHeight="1">
      <c r="A65" s="21"/>
      <c r="B65" s="21"/>
      <c r="C65" s="21" t="s">
        <v>45</v>
      </c>
      <c r="D65" s="21" t="s">
        <v>628</v>
      </c>
      <c r="E65" s="21"/>
      <c r="F65" s="21"/>
      <c r="G65" s="340"/>
      <c r="H65" s="261">
        <v>66664</v>
      </c>
      <c r="I65" s="99"/>
    </row>
    <row r="66" spans="1:9" ht="17.25" customHeight="1">
      <c r="A66" s="21"/>
      <c r="B66" s="21"/>
      <c r="C66" s="21" t="s">
        <v>105</v>
      </c>
      <c r="D66" s="21" t="s">
        <v>627</v>
      </c>
      <c r="E66" s="21"/>
      <c r="F66" s="21"/>
      <c r="G66" s="340"/>
      <c r="H66" s="261">
        <v>50000</v>
      </c>
      <c r="I66" s="99"/>
    </row>
    <row r="67" spans="1:9" ht="34.5" customHeight="1">
      <c r="A67" s="21"/>
      <c r="B67" s="21"/>
      <c r="C67" s="491" t="s">
        <v>106</v>
      </c>
      <c r="D67" s="525" t="s">
        <v>626</v>
      </c>
      <c r="E67" s="526"/>
      <c r="F67" s="526"/>
      <c r="G67" s="340"/>
      <c r="H67" s="261">
        <v>290830</v>
      </c>
      <c r="I67" s="99"/>
    </row>
    <row r="68" spans="1:9" ht="34.5" customHeight="1">
      <c r="A68" s="21"/>
      <c r="B68" s="21"/>
      <c r="C68" s="491" t="s">
        <v>112</v>
      </c>
      <c r="D68" s="525" t="s">
        <v>625</v>
      </c>
      <c r="E68" s="526"/>
      <c r="F68" s="526"/>
      <c r="G68" s="340"/>
      <c r="H68" s="261">
        <v>64999</v>
      </c>
      <c r="I68" s="99"/>
    </row>
    <row r="69" spans="1:9" ht="15.75" customHeight="1">
      <c r="A69" s="104"/>
      <c r="B69" s="523" t="s">
        <v>116</v>
      </c>
      <c r="C69" s="523"/>
      <c r="D69" s="523"/>
      <c r="E69" s="523"/>
      <c r="F69" s="523"/>
      <c r="G69" s="344">
        <f>SUM(G63:G63)</f>
        <v>46000</v>
      </c>
      <c r="H69" s="344">
        <f>SUM(H63:H68)</f>
        <v>1743315</v>
      </c>
      <c r="I69" s="99">
        <f>H69/G69*100</f>
        <v>3789.815217391304</v>
      </c>
    </row>
    <row r="70" spans="1:9" ht="12" customHeight="1">
      <c r="A70" s="21"/>
      <c r="B70" s="21"/>
      <c r="C70" s="21"/>
      <c r="D70" s="21"/>
      <c r="E70" s="21"/>
      <c r="F70" s="21"/>
      <c r="G70" s="340"/>
      <c r="H70" s="261"/>
      <c r="I70" s="99"/>
    </row>
    <row r="71" spans="1:9" ht="36" customHeight="1">
      <c r="A71" s="523" t="s">
        <v>117</v>
      </c>
      <c r="B71" s="523"/>
      <c r="C71" s="523"/>
      <c r="D71" s="523"/>
      <c r="E71" s="523"/>
      <c r="F71" s="523"/>
      <c r="G71" s="263">
        <f>G69+G60</f>
        <v>28560000</v>
      </c>
      <c r="H71" s="263">
        <f>H69+H60</f>
        <v>37017977</v>
      </c>
      <c r="I71" s="99">
        <f>H71/G71*100</f>
        <v>129.61476540616246</v>
      </c>
    </row>
    <row r="72" spans="1:9" s="66" customFormat="1" ht="32.25" customHeight="1">
      <c r="A72" s="18" t="s">
        <v>54</v>
      </c>
      <c r="B72" s="523" t="s">
        <v>118</v>
      </c>
      <c r="C72" s="523"/>
      <c r="D72" s="523"/>
      <c r="E72" s="523"/>
      <c r="F72" s="523"/>
      <c r="G72" s="263"/>
      <c r="H72" s="345"/>
      <c r="I72" s="99"/>
    </row>
    <row r="73" spans="1:9" ht="11.25" customHeight="1">
      <c r="A73" s="97"/>
      <c r="B73" s="97"/>
      <c r="C73" s="97"/>
      <c r="D73" s="97"/>
      <c r="E73" s="97"/>
      <c r="F73" s="97"/>
      <c r="G73" s="344"/>
      <c r="H73" s="344"/>
      <c r="I73" s="99"/>
    </row>
    <row r="74" spans="1:9" ht="15.75">
      <c r="A74" s="18" t="s">
        <v>55</v>
      </c>
      <c r="B74" s="18" t="s">
        <v>119</v>
      </c>
      <c r="C74" s="18"/>
      <c r="D74" s="18"/>
      <c r="E74" s="18"/>
      <c r="F74" s="18"/>
      <c r="G74" s="264"/>
      <c r="H74" s="343"/>
      <c r="I74" s="99"/>
    </row>
    <row r="75" spans="1:9" ht="12" customHeight="1">
      <c r="A75" s="21"/>
      <c r="B75" s="21"/>
      <c r="C75" s="21"/>
      <c r="D75" s="21"/>
      <c r="E75" s="21"/>
      <c r="F75" s="21"/>
      <c r="G75" s="340"/>
      <c r="H75" s="340"/>
      <c r="I75" s="99"/>
    </row>
    <row r="76" spans="1:9" ht="15.75">
      <c r="A76" s="21"/>
      <c r="B76" s="21" t="s">
        <v>44</v>
      </c>
      <c r="C76" s="21" t="s">
        <v>120</v>
      </c>
      <c r="D76" s="21"/>
      <c r="E76" s="21"/>
      <c r="F76" s="21"/>
      <c r="G76" s="265"/>
      <c r="H76" s="340"/>
      <c r="I76" s="99"/>
    </row>
    <row r="77" spans="1:9" ht="15.75">
      <c r="A77" s="21"/>
      <c r="B77" s="21"/>
      <c r="C77" s="21" t="s">
        <v>44</v>
      </c>
      <c r="D77" s="21" t="s">
        <v>121</v>
      </c>
      <c r="E77" s="21"/>
      <c r="F77" s="21"/>
      <c r="G77" s="340">
        <v>1500000</v>
      </c>
      <c r="H77" s="261">
        <v>1500000</v>
      </c>
      <c r="I77" s="99">
        <f>H77/G77*100</f>
        <v>100</v>
      </c>
    </row>
    <row r="78" spans="1:9" ht="15.75">
      <c r="A78" s="18"/>
      <c r="B78" s="18" t="s">
        <v>27</v>
      </c>
      <c r="C78" s="18" t="s">
        <v>122</v>
      </c>
      <c r="D78" s="18"/>
      <c r="E78" s="18"/>
      <c r="F78" s="18"/>
      <c r="G78" s="343"/>
      <c r="H78" s="261"/>
      <c r="I78" s="99"/>
    </row>
    <row r="79" spans="1:9" s="9" customFormat="1" ht="15.75">
      <c r="A79" s="21"/>
      <c r="B79" s="21"/>
      <c r="C79" s="21" t="s">
        <v>44</v>
      </c>
      <c r="D79" s="21" t="s">
        <v>123</v>
      </c>
      <c r="E79" s="21"/>
      <c r="F79" s="21"/>
      <c r="G79" s="340">
        <v>3900000</v>
      </c>
      <c r="H79" s="266">
        <v>3900000</v>
      </c>
      <c r="I79" s="99">
        <f>H79/G79*100</f>
        <v>100</v>
      </c>
    </row>
    <row r="80" spans="1:9" ht="15.75">
      <c r="A80" s="18"/>
      <c r="B80" s="18" t="s">
        <v>45</v>
      </c>
      <c r="C80" s="18" t="s">
        <v>124</v>
      </c>
      <c r="D80" s="18"/>
      <c r="E80" s="18"/>
      <c r="F80" s="18"/>
      <c r="G80" s="343"/>
      <c r="H80" s="261"/>
      <c r="I80" s="99"/>
    </row>
    <row r="81" spans="1:9" ht="15.75">
      <c r="A81" s="21"/>
      <c r="B81" s="21"/>
      <c r="C81" s="21" t="s">
        <v>44</v>
      </c>
      <c r="D81" s="21" t="s">
        <v>125</v>
      </c>
      <c r="E81" s="21"/>
      <c r="F81" s="21"/>
      <c r="G81" s="340">
        <v>1913000</v>
      </c>
      <c r="H81" s="261">
        <v>1913000</v>
      </c>
      <c r="I81" s="99">
        <f>H81/G81*100</f>
        <v>100</v>
      </c>
    </row>
    <row r="82" spans="1:9" ht="15.75">
      <c r="A82" s="21"/>
      <c r="B82" s="18" t="s">
        <v>105</v>
      </c>
      <c r="C82" s="18" t="s">
        <v>126</v>
      </c>
      <c r="D82" s="21"/>
      <c r="E82" s="21"/>
      <c r="F82" s="21"/>
      <c r="G82" s="340"/>
      <c r="H82" s="261"/>
      <c r="I82" s="99"/>
    </row>
    <row r="83" spans="1:9" ht="15.75">
      <c r="A83" s="21"/>
      <c r="B83" s="21"/>
      <c r="C83" s="21" t="s">
        <v>44</v>
      </c>
      <c r="D83" s="21" t="s">
        <v>127</v>
      </c>
      <c r="E83" s="21"/>
      <c r="F83" s="21"/>
      <c r="G83" s="340">
        <v>140000</v>
      </c>
      <c r="H83" s="261">
        <v>140000</v>
      </c>
      <c r="I83" s="99">
        <f>H83/G83*100</f>
        <v>100</v>
      </c>
    </row>
    <row r="84" spans="1:9" ht="15.75">
      <c r="A84" s="21"/>
      <c r="B84" s="21"/>
      <c r="C84" s="21" t="s">
        <v>27</v>
      </c>
      <c r="D84" s="21" t="s">
        <v>86</v>
      </c>
      <c r="E84" s="21"/>
      <c r="F84" s="21"/>
      <c r="G84" s="340">
        <v>280000</v>
      </c>
      <c r="H84" s="261">
        <v>280000</v>
      </c>
      <c r="I84" s="99">
        <f>H84/G84*100</f>
        <v>100</v>
      </c>
    </row>
    <row r="85" spans="1:9" ht="15.75">
      <c r="A85" s="18"/>
      <c r="B85" s="18" t="s">
        <v>106</v>
      </c>
      <c r="C85" s="18" t="s">
        <v>128</v>
      </c>
      <c r="D85" s="18"/>
      <c r="E85" s="18"/>
      <c r="F85" s="18"/>
      <c r="G85" s="343"/>
      <c r="H85" s="261"/>
      <c r="I85" s="99"/>
    </row>
    <row r="86" spans="1:9" ht="15.75">
      <c r="A86" s="21"/>
      <c r="B86" s="21"/>
      <c r="C86" s="18" t="s">
        <v>44</v>
      </c>
      <c r="D86" s="21" t="s">
        <v>129</v>
      </c>
      <c r="E86" s="21"/>
      <c r="F86" s="21"/>
      <c r="G86" s="340">
        <v>5000</v>
      </c>
      <c r="H86" s="261">
        <v>5000</v>
      </c>
      <c r="I86" s="99">
        <f>H86/G86*100</f>
        <v>100</v>
      </c>
    </row>
    <row r="87" spans="1:9" ht="15.75" customHeight="1">
      <c r="A87" s="104"/>
      <c r="B87" s="104"/>
      <c r="C87" s="104" t="s">
        <v>45</v>
      </c>
      <c r="D87" s="106" t="s">
        <v>128</v>
      </c>
      <c r="E87" s="104"/>
      <c r="F87" s="104"/>
      <c r="G87" s="342"/>
      <c r="H87" s="261"/>
      <c r="I87" s="99"/>
    </row>
    <row r="88" spans="1:9" ht="15.75">
      <c r="A88" s="21"/>
      <c r="B88" s="21"/>
      <c r="C88" s="18" t="s">
        <v>105</v>
      </c>
      <c r="D88" s="21" t="s">
        <v>130</v>
      </c>
      <c r="E88" s="21"/>
      <c r="F88" s="21"/>
      <c r="G88" s="340">
        <v>75000</v>
      </c>
      <c r="H88" s="261">
        <v>75000</v>
      </c>
      <c r="I88" s="99">
        <f>H88/G88*100</f>
        <v>100</v>
      </c>
    </row>
    <row r="89" spans="1:9" s="9" customFormat="1" ht="15.75">
      <c r="A89" s="18" t="s">
        <v>73</v>
      </c>
      <c r="B89" s="104"/>
      <c r="C89" s="104"/>
      <c r="D89" s="104"/>
      <c r="E89" s="104"/>
      <c r="F89" s="104"/>
      <c r="G89" s="344">
        <f>G77+G79+G81+G83+G84+G86+G87+G88</f>
        <v>7813000</v>
      </c>
      <c r="H89" s="344">
        <f>H77+H79+H81+H83+H84+H86+H87+H88</f>
        <v>7813000</v>
      </c>
      <c r="I89" s="99">
        <f>H89/G89*100</f>
        <v>100</v>
      </c>
    </row>
    <row r="90" spans="1:9" ht="12.75" customHeight="1">
      <c r="A90" s="104"/>
      <c r="B90" s="104"/>
      <c r="C90" s="104"/>
      <c r="D90" s="104"/>
      <c r="E90" s="104"/>
      <c r="F90" s="104"/>
      <c r="G90" s="342"/>
      <c r="H90" s="342"/>
      <c r="I90" s="99"/>
    </row>
    <row r="91" spans="1:9" ht="15.75">
      <c r="A91" s="18" t="s">
        <v>131</v>
      </c>
      <c r="B91" s="18" t="s">
        <v>57</v>
      </c>
      <c r="C91" s="18"/>
      <c r="D91" s="18"/>
      <c r="E91" s="18"/>
      <c r="F91" s="18"/>
      <c r="G91" s="264"/>
      <c r="H91" s="343"/>
      <c r="I91" s="99"/>
    </row>
    <row r="92" spans="1:9" ht="15.75">
      <c r="A92" s="104"/>
      <c r="B92" s="104" t="s">
        <v>44</v>
      </c>
      <c r="C92" s="528" t="s">
        <v>132</v>
      </c>
      <c r="D92" s="528"/>
      <c r="E92" s="528"/>
      <c r="F92" s="528"/>
      <c r="G92" s="342"/>
      <c r="H92" s="342"/>
      <c r="I92" s="99"/>
    </row>
    <row r="93" spans="1:9" ht="15.75">
      <c r="A93" s="104"/>
      <c r="B93" s="104"/>
      <c r="C93" s="104" t="s">
        <v>44</v>
      </c>
      <c r="D93" s="106" t="s">
        <v>143</v>
      </c>
      <c r="E93" s="106"/>
      <c r="F93" s="106"/>
      <c r="G93" s="342">
        <v>187000</v>
      </c>
      <c r="H93" s="261">
        <v>186535</v>
      </c>
      <c r="I93" s="99">
        <f>H93/G93*100</f>
        <v>99.75133689839572</v>
      </c>
    </row>
    <row r="94" spans="1:9" ht="15.75">
      <c r="A94" s="104"/>
      <c r="B94" s="104"/>
      <c r="C94" s="104" t="s">
        <v>27</v>
      </c>
      <c r="D94" s="106" t="s">
        <v>135</v>
      </c>
      <c r="E94" s="106"/>
      <c r="F94" s="106"/>
      <c r="G94" s="342"/>
      <c r="H94" s="261"/>
      <c r="I94" s="99"/>
    </row>
    <row r="95" spans="1:9" ht="15.75">
      <c r="A95" s="104"/>
      <c r="B95" s="104"/>
      <c r="C95" s="104"/>
      <c r="D95" s="106" t="s">
        <v>44</v>
      </c>
      <c r="E95" s="106" t="s">
        <v>136</v>
      </c>
      <c r="F95" s="106"/>
      <c r="G95" s="342">
        <v>20000</v>
      </c>
      <c r="H95" s="261">
        <v>20000</v>
      </c>
      <c r="I95" s="99">
        <f>H95/G95*100</f>
        <v>100</v>
      </c>
    </row>
    <row r="96" spans="1:9" ht="15.75">
      <c r="A96" s="104"/>
      <c r="B96" s="104"/>
      <c r="C96" s="104"/>
      <c r="D96" s="106" t="s">
        <v>27</v>
      </c>
      <c r="E96" s="106" t="s">
        <v>137</v>
      </c>
      <c r="F96" s="106"/>
      <c r="G96" s="342">
        <v>820000</v>
      </c>
      <c r="H96" s="261">
        <v>820000</v>
      </c>
      <c r="I96" s="99">
        <f>H96/G96*100</f>
        <v>100</v>
      </c>
    </row>
    <row r="97" spans="1:9" ht="15.75">
      <c r="A97" s="104"/>
      <c r="B97" s="104"/>
      <c r="C97" s="104"/>
      <c r="D97" s="106" t="s">
        <v>45</v>
      </c>
      <c r="E97" s="106" t="s">
        <v>138</v>
      </c>
      <c r="F97" s="106"/>
      <c r="G97" s="342">
        <v>2000</v>
      </c>
      <c r="H97" s="261">
        <v>2000</v>
      </c>
      <c r="I97" s="99">
        <f>H97/G97*100</f>
        <v>100</v>
      </c>
    </row>
    <row r="98" spans="1:9" ht="15.75">
      <c r="A98" s="104"/>
      <c r="B98" s="104"/>
      <c r="C98" s="104"/>
      <c r="D98" s="106" t="s">
        <v>105</v>
      </c>
      <c r="E98" s="106" t="s">
        <v>74</v>
      </c>
      <c r="F98" s="106"/>
      <c r="G98" s="342">
        <v>1000</v>
      </c>
      <c r="H98" s="261"/>
      <c r="I98" s="99">
        <f>H98/G98*100</f>
        <v>0</v>
      </c>
    </row>
    <row r="99" spans="1:9" ht="15.75">
      <c r="A99" s="104"/>
      <c r="B99" s="104"/>
      <c r="C99" s="104"/>
      <c r="D99" s="106" t="s">
        <v>106</v>
      </c>
      <c r="E99" s="106" t="s">
        <v>139</v>
      </c>
      <c r="F99" s="106"/>
      <c r="G99" s="342">
        <v>85000</v>
      </c>
      <c r="H99" s="261">
        <v>85179</v>
      </c>
      <c r="I99" s="99">
        <f>H99/G99*100</f>
        <v>100.21058823529413</v>
      </c>
    </row>
    <row r="100" spans="1:9" ht="15.75">
      <c r="A100" s="104"/>
      <c r="B100" s="104"/>
      <c r="C100" s="104" t="s">
        <v>45</v>
      </c>
      <c r="D100" s="106" t="s">
        <v>160</v>
      </c>
      <c r="E100" s="106"/>
      <c r="F100" s="106"/>
      <c r="G100" s="342"/>
      <c r="H100" s="261"/>
      <c r="I100" s="99"/>
    </row>
    <row r="101" spans="1:9" ht="15.75">
      <c r="A101" s="104"/>
      <c r="B101" s="104"/>
      <c r="D101" s="104" t="s">
        <v>44</v>
      </c>
      <c r="E101" s="106" t="s">
        <v>133</v>
      </c>
      <c r="F101" s="104"/>
      <c r="G101" s="342">
        <v>40000</v>
      </c>
      <c r="H101" s="261">
        <v>51800</v>
      </c>
      <c r="I101" s="99">
        <f>H101/G101*100</f>
        <v>129.5</v>
      </c>
    </row>
    <row r="102" spans="1:9" ht="15.75">
      <c r="A102" s="104"/>
      <c r="B102" s="104"/>
      <c r="D102" s="104" t="s">
        <v>27</v>
      </c>
      <c r="E102" s="106" t="s">
        <v>134</v>
      </c>
      <c r="F102" s="106"/>
      <c r="G102" s="342">
        <v>385000</v>
      </c>
      <c r="H102" s="261">
        <v>177600</v>
      </c>
      <c r="I102" s="99">
        <f>H102/G102*100</f>
        <v>46.129870129870135</v>
      </c>
    </row>
    <row r="103" spans="4:9" ht="15.75">
      <c r="D103" s="57" t="s">
        <v>45</v>
      </c>
      <c r="E103" s="106" t="s">
        <v>75</v>
      </c>
      <c r="G103" s="342">
        <v>661000</v>
      </c>
      <c r="H103" s="261">
        <v>660744</v>
      </c>
      <c r="I103" s="99">
        <f>H103/G103*100</f>
        <v>99.96127080181543</v>
      </c>
    </row>
    <row r="104" spans="1:9" ht="15.75">
      <c r="A104" s="104"/>
      <c r="B104" s="104" t="s">
        <v>27</v>
      </c>
      <c r="C104" s="106" t="s">
        <v>140</v>
      </c>
      <c r="D104" s="106"/>
      <c r="E104" s="106"/>
      <c r="F104" s="106"/>
      <c r="G104" s="342"/>
      <c r="H104" s="261"/>
      <c r="I104" s="99"/>
    </row>
    <row r="105" spans="1:9" ht="15.75">
      <c r="A105" s="104"/>
      <c r="B105" s="104"/>
      <c r="C105" s="104" t="s">
        <v>44</v>
      </c>
      <c r="D105" s="106" t="s">
        <v>141</v>
      </c>
      <c r="E105" s="106"/>
      <c r="F105" s="106"/>
      <c r="G105" s="342">
        <v>4099000</v>
      </c>
      <c r="H105" s="261">
        <v>4099152</v>
      </c>
      <c r="I105" s="99">
        <f>H105/G105*100</f>
        <v>100.00370822151746</v>
      </c>
    </row>
    <row r="106" spans="1:9" ht="15.75">
      <c r="A106" s="104"/>
      <c r="B106" s="104" t="s">
        <v>45</v>
      </c>
      <c r="C106" s="106" t="s">
        <v>142</v>
      </c>
      <c r="D106" s="106"/>
      <c r="E106" s="106"/>
      <c r="F106" s="106"/>
      <c r="G106" s="342"/>
      <c r="H106" s="261"/>
      <c r="I106" s="99"/>
    </row>
    <row r="107" spans="1:9" ht="15.75">
      <c r="A107" s="104"/>
      <c r="B107" s="104"/>
      <c r="C107" s="104" t="s">
        <v>44</v>
      </c>
      <c r="D107" s="106" t="s">
        <v>84</v>
      </c>
      <c r="E107" s="106"/>
      <c r="F107" s="106"/>
      <c r="G107" s="342">
        <v>1249000</v>
      </c>
      <c r="H107" s="261">
        <v>1843937</v>
      </c>
      <c r="I107" s="99">
        <f>H107/G107*100</f>
        <v>147.6330664531625</v>
      </c>
    </row>
    <row r="108" spans="1:9" ht="15.75">
      <c r="A108" s="104"/>
      <c r="B108" s="104" t="s">
        <v>105</v>
      </c>
      <c r="C108" s="106" t="s">
        <v>144</v>
      </c>
      <c r="D108" s="104"/>
      <c r="E108" s="104"/>
      <c r="F108" s="104"/>
      <c r="G108" s="342">
        <f>(337+178+50+104+1107+11+29)*1000</f>
        <v>1816000</v>
      </c>
      <c r="H108" s="261">
        <f>28938+1106771+47952+50364+178401</f>
        <v>1412426</v>
      </c>
      <c r="I108" s="99">
        <f>H108/G108*100</f>
        <v>77.77676211453745</v>
      </c>
    </row>
    <row r="109" spans="1:9" ht="15.75">
      <c r="A109" s="104"/>
      <c r="B109" s="104" t="s">
        <v>106</v>
      </c>
      <c r="C109" s="106" t="s">
        <v>145</v>
      </c>
      <c r="D109" s="104"/>
      <c r="E109" s="104"/>
      <c r="F109" s="104"/>
      <c r="G109" s="342">
        <f>(115+1107+80+239)*1000</f>
        <v>1541000</v>
      </c>
      <c r="H109" s="261">
        <f>1106771+95489+114586</f>
        <v>1316846</v>
      </c>
      <c r="I109" s="99">
        <f>H109/G109*100</f>
        <v>85.45399091499026</v>
      </c>
    </row>
    <row r="110" spans="1:9" ht="24.75" customHeight="1">
      <c r="A110" s="104"/>
      <c r="B110" s="104" t="s">
        <v>112</v>
      </c>
      <c r="C110" s="106" t="s">
        <v>146</v>
      </c>
      <c r="D110" s="104"/>
      <c r="E110" s="104"/>
      <c r="F110" s="104"/>
      <c r="G110" s="342">
        <v>2000</v>
      </c>
      <c r="H110" s="261">
        <v>2000</v>
      </c>
      <c r="I110" s="99">
        <f>H110/G110*100</f>
        <v>100</v>
      </c>
    </row>
    <row r="111" spans="1:9" ht="19.5" customHeight="1">
      <c r="A111" s="104"/>
      <c r="B111" s="284" t="s">
        <v>248</v>
      </c>
      <c r="C111" s="528" t="s">
        <v>494</v>
      </c>
      <c r="D111" s="528"/>
      <c r="E111" s="528"/>
      <c r="F111" s="528"/>
      <c r="G111" s="342"/>
      <c r="H111" s="261">
        <v>4825255</v>
      </c>
      <c r="I111" s="99"/>
    </row>
    <row r="112" spans="1:11" ht="15.75">
      <c r="A112" s="18" t="s">
        <v>23</v>
      </c>
      <c r="B112" s="104"/>
      <c r="C112" s="104"/>
      <c r="D112" s="104"/>
      <c r="E112" s="104"/>
      <c r="F112" s="104"/>
      <c r="G112" s="344">
        <f>SUM(G92:G111)</f>
        <v>10908000</v>
      </c>
      <c r="H112" s="344">
        <f>SUM(H92:H111)</f>
        <v>15503474</v>
      </c>
      <c r="I112" s="99">
        <f>H112/G112*100</f>
        <v>142.1293912724606</v>
      </c>
      <c r="K112" s="260"/>
    </row>
    <row r="113" spans="1:9" ht="11.25" customHeight="1">
      <c r="A113" s="104"/>
      <c r="B113" s="104"/>
      <c r="C113" s="104"/>
      <c r="D113" s="104"/>
      <c r="E113" s="104"/>
      <c r="F113" s="104"/>
      <c r="G113" s="342"/>
      <c r="H113" s="261"/>
      <c r="I113" s="99"/>
    </row>
    <row r="114" spans="1:9" ht="10.5" customHeight="1">
      <c r="A114" s="104"/>
      <c r="B114" s="104"/>
      <c r="C114" s="104"/>
      <c r="D114" s="104"/>
      <c r="E114" s="104"/>
      <c r="F114" s="104"/>
      <c r="G114" s="342"/>
      <c r="H114" s="261"/>
      <c r="I114" s="99"/>
    </row>
    <row r="115" spans="1:9" ht="10.5" customHeight="1">
      <c r="A115" s="104"/>
      <c r="B115" s="104"/>
      <c r="C115" s="104"/>
      <c r="D115" s="104"/>
      <c r="E115" s="104"/>
      <c r="F115" s="104"/>
      <c r="G115" s="342"/>
      <c r="H115" s="261"/>
      <c r="I115" s="99"/>
    </row>
    <row r="116" spans="1:9" ht="15.75">
      <c r="A116" s="18" t="s">
        <v>62</v>
      </c>
      <c r="B116" s="18" t="s">
        <v>147</v>
      </c>
      <c r="C116" s="18"/>
      <c r="D116" s="18"/>
      <c r="E116" s="18"/>
      <c r="F116" s="18"/>
      <c r="G116" s="343"/>
      <c r="H116" s="261"/>
      <c r="I116" s="99"/>
    </row>
    <row r="117" spans="1:9" ht="38.25" customHeight="1">
      <c r="A117" s="21"/>
      <c r="B117" s="21" t="s">
        <v>44</v>
      </c>
      <c r="C117" s="522" t="s">
        <v>148</v>
      </c>
      <c r="D117" s="522"/>
      <c r="E117" s="522"/>
      <c r="F117" s="522"/>
      <c r="G117" s="341"/>
      <c r="H117" s="261"/>
      <c r="I117" s="99"/>
    </row>
    <row r="118" spans="1:9" ht="32.25" customHeight="1">
      <c r="A118" s="21"/>
      <c r="B118" s="21"/>
      <c r="C118" s="105" t="s">
        <v>44</v>
      </c>
      <c r="D118" s="522" t="s">
        <v>149</v>
      </c>
      <c r="E118" s="522"/>
      <c r="F118" s="522"/>
      <c r="G118" s="341">
        <v>62000</v>
      </c>
      <c r="H118" s="261">
        <v>61800</v>
      </c>
      <c r="I118" s="99">
        <f>H118/G118*100</f>
        <v>99.67741935483872</v>
      </c>
    </row>
    <row r="119" spans="1:9" ht="12" customHeight="1">
      <c r="A119" s="104"/>
      <c r="B119" s="104"/>
      <c r="C119" s="104"/>
      <c r="D119" s="21"/>
      <c r="E119" s="104"/>
      <c r="F119" s="104"/>
      <c r="G119" s="342"/>
      <c r="H119" s="261"/>
      <c r="I119" s="99"/>
    </row>
    <row r="120" spans="1:9" ht="15.75">
      <c r="A120" s="527" t="s">
        <v>150</v>
      </c>
      <c r="B120" s="527"/>
      <c r="C120" s="527"/>
      <c r="D120" s="527"/>
      <c r="E120" s="527"/>
      <c r="F120" s="527"/>
      <c r="G120" s="264">
        <f>SUM(G118:G119)</f>
        <v>62000</v>
      </c>
      <c r="H120" s="264">
        <f>SUM(H118:H119)</f>
        <v>61800</v>
      </c>
      <c r="I120" s="99">
        <f>H120/G120*100</f>
        <v>99.67741935483872</v>
      </c>
    </row>
    <row r="121" spans="1:9" ht="9" customHeight="1">
      <c r="A121" s="104"/>
      <c r="B121" s="104"/>
      <c r="C121" s="104"/>
      <c r="D121" s="104"/>
      <c r="E121" s="104"/>
      <c r="F121" s="104"/>
      <c r="G121" s="342"/>
      <c r="H121" s="261"/>
      <c r="I121" s="99"/>
    </row>
    <row r="122" spans="1:9" ht="16.5">
      <c r="A122" s="108" t="s">
        <v>151</v>
      </c>
      <c r="B122" s="108"/>
      <c r="C122" s="108"/>
      <c r="D122" s="108"/>
      <c r="E122" s="108"/>
      <c r="F122" s="108"/>
      <c r="G122" s="264">
        <f>G120+G112+G89+G71</f>
        <v>47343000</v>
      </c>
      <c r="H122" s="264">
        <f>H120+H112+H89+H71</f>
        <v>60396251</v>
      </c>
      <c r="I122" s="99">
        <f>H122/G122*100</f>
        <v>127.57166001309592</v>
      </c>
    </row>
    <row r="123" spans="1:9" ht="16.5">
      <c r="A123" s="108"/>
      <c r="B123" s="108"/>
      <c r="C123" s="108"/>
      <c r="D123" s="108"/>
      <c r="E123" s="108"/>
      <c r="F123" s="108"/>
      <c r="G123" s="267"/>
      <c r="H123" s="261"/>
      <c r="I123" s="99"/>
    </row>
    <row r="124" spans="1:9" ht="15.75">
      <c r="A124" s="109" t="s">
        <v>152</v>
      </c>
      <c r="B124" s="523" t="s">
        <v>153</v>
      </c>
      <c r="C124" s="523"/>
      <c r="D124" s="523"/>
      <c r="E124" s="523"/>
      <c r="F124" s="523"/>
      <c r="G124" s="341"/>
      <c r="H124" s="261"/>
      <c r="I124" s="99"/>
    </row>
    <row r="125" spans="1:9" ht="15.75">
      <c r="A125" s="18"/>
      <c r="B125" s="97" t="s">
        <v>44</v>
      </c>
      <c r="C125" s="523" t="s">
        <v>154</v>
      </c>
      <c r="D125" s="523"/>
      <c r="E125" s="523"/>
      <c r="F125" s="523"/>
      <c r="G125" s="341"/>
      <c r="H125" s="261"/>
      <c r="I125" s="99"/>
    </row>
    <row r="126" spans="1:9" ht="23.25" customHeight="1">
      <c r="A126" s="18"/>
      <c r="B126" s="97"/>
      <c r="C126" s="105" t="s">
        <v>44</v>
      </c>
      <c r="D126" s="522" t="s">
        <v>561</v>
      </c>
      <c r="E126" s="522"/>
      <c r="F126" s="522"/>
      <c r="G126" s="341">
        <f>(26261+2000)*1000</f>
        <v>28261000</v>
      </c>
      <c r="H126" s="261">
        <f>600000+4825255+6584967+64122+89764+120000+17000+195900+38415438</f>
        <v>50912446</v>
      </c>
      <c r="I126" s="99">
        <f>H126/G126*100</f>
        <v>180.15090053430524</v>
      </c>
    </row>
    <row r="127" spans="1:9" ht="33" customHeight="1">
      <c r="A127" s="21"/>
      <c r="B127" s="21"/>
      <c r="C127" s="289" t="s">
        <v>27</v>
      </c>
      <c r="D127" s="521" t="s">
        <v>511</v>
      </c>
      <c r="E127" s="521"/>
      <c r="F127" s="521"/>
      <c r="G127" s="340"/>
      <c r="H127" s="261">
        <v>10000000</v>
      </c>
      <c r="I127" s="99"/>
    </row>
    <row r="128" spans="1:9" ht="16.5" customHeight="1">
      <c r="A128" s="21"/>
      <c r="B128" s="21"/>
      <c r="C128" s="21" t="s">
        <v>45</v>
      </c>
      <c r="D128" s="521" t="s">
        <v>512</v>
      </c>
      <c r="E128" s="521"/>
      <c r="F128" s="521"/>
      <c r="G128" s="340"/>
      <c r="H128" s="261">
        <v>1121209</v>
      </c>
      <c r="I128" s="99"/>
    </row>
    <row r="129" spans="1:9" ht="16.5">
      <c r="A129" s="108" t="s">
        <v>153</v>
      </c>
      <c r="B129" s="108"/>
      <c r="C129" s="108"/>
      <c r="D129" s="108"/>
      <c r="E129" s="108"/>
      <c r="F129" s="108"/>
      <c r="G129" s="264">
        <f>G126</f>
        <v>28261000</v>
      </c>
      <c r="H129" s="264">
        <f>SUM(H126:H128)</f>
        <v>62033655</v>
      </c>
      <c r="I129" s="99">
        <f>H129/G129*100</f>
        <v>219.50268921835746</v>
      </c>
    </row>
    <row r="130" spans="1:9" ht="8.25" customHeight="1">
      <c r="A130" s="21"/>
      <c r="B130" s="21"/>
      <c r="C130" s="21"/>
      <c r="D130" s="21"/>
      <c r="E130" s="21"/>
      <c r="F130" s="21"/>
      <c r="G130" s="268"/>
      <c r="H130" s="265"/>
      <c r="I130" s="99"/>
    </row>
    <row r="131" spans="1:9" ht="18.75">
      <c r="A131" s="20" t="s">
        <v>155</v>
      </c>
      <c r="B131" s="20"/>
      <c r="C131" s="20"/>
      <c r="D131" s="20"/>
      <c r="E131" s="20"/>
      <c r="F131" s="20"/>
      <c r="G131" s="264">
        <f>G122+G129</f>
        <v>75604000</v>
      </c>
      <c r="H131" s="264">
        <f>H122+H129</f>
        <v>122429906</v>
      </c>
      <c r="I131" s="99">
        <f>H131/G131*100</f>
        <v>161.9357520766097</v>
      </c>
    </row>
    <row r="132" spans="7:9" ht="15.75">
      <c r="G132" s="260"/>
      <c r="H132" s="260"/>
      <c r="I132" s="99"/>
    </row>
    <row r="133" spans="7:9" ht="15.75">
      <c r="G133" s="260"/>
      <c r="H133" s="260"/>
      <c r="I133" s="99"/>
    </row>
    <row r="134" spans="1:5" ht="15.75">
      <c r="A134" s="8"/>
      <c r="B134" s="8"/>
      <c r="C134" s="8"/>
      <c r="D134" s="8"/>
      <c r="E134" s="8"/>
    </row>
    <row r="135" spans="1:5" ht="15.75">
      <c r="A135" s="8"/>
      <c r="B135" s="8"/>
      <c r="C135" s="8"/>
      <c r="D135" s="8"/>
      <c r="E135" s="8"/>
    </row>
    <row r="136" spans="1:5" ht="15.75">
      <c r="A136" s="8"/>
      <c r="B136" s="8"/>
      <c r="C136" s="8"/>
      <c r="D136" s="8"/>
      <c r="E136" s="8"/>
    </row>
    <row r="137" spans="1:5" ht="15.75">
      <c r="A137" s="8"/>
      <c r="B137" s="8"/>
      <c r="C137" s="8"/>
      <c r="D137" s="8"/>
      <c r="E137" s="8"/>
    </row>
    <row r="138" spans="1:5" ht="15.75">
      <c r="A138" s="8"/>
      <c r="B138" s="8"/>
      <c r="C138" s="8"/>
      <c r="D138" s="8"/>
      <c r="E138" s="8"/>
    </row>
    <row r="139" spans="7:8" ht="15.75">
      <c r="G139" s="260"/>
      <c r="H139" s="260"/>
    </row>
    <row r="140" spans="7:8" ht="15.75">
      <c r="G140" s="260"/>
      <c r="H140" s="260"/>
    </row>
    <row r="141" spans="7:8" ht="15.75">
      <c r="G141" s="260"/>
      <c r="H141" s="260"/>
    </row>
    <row r="142" spans="7:8" ht="15.75">
      <c r="G142" s="260"/>
      <c r="H142" s="260"/>
    </row>
    <row r="143" spans="7:8" ht="15.75">
      <c r="G143" s="260"/>
      <c r="H143" s="260"/>
    </row>
    <row r="144" spans="7:8" ht="15.75">
      <c r="G144" s="260"/>
      <c r="H144" s="260"/>
    </row>
    <row r="145" spans="7:8" ht="15.75">
      <c r="G145" s="260"/>
      <c r="H145" s="260"/>
    </row>
    <row r="146" spans="7:8" ht="15.75">
      <c r="G146" s="260"/>
      <c r="H146" s="260"/>
    </row>
    <row r="147" spans="7:8" ht="15.75">
      <c r="G147" s="260"/>
      <c r="H147" s="260"/>
    </row>
    <row r="148" spans="7:8" ht="15.75">
      <c r="G148" s="260"/>
      <c r="H148" s="260"/>
    </row>
    <row r="149" spans="7:8" ht="15.75">
      <c r="G149" s="260"/>
      <c r="H149" s="260"/>
    </row>
    <row r="150" spans="7:8" ht="15.75">
      <c r="G150" s="260"/>
      <c r="H150" s="260"/>
    </row>
    <row r="151" spans="7:8" ht="15.75">
      <c r="G151" s="260"/>
      <c r="H151" s="260"/>
    </row>
    <row r="152" spans="7:8" ht="15.75">
      <c r="G152" s="260"/>
      <c r="H152" s="260"/>
    </row>
    <row r="153" spans="7:8" ht="15.75">
      <c r="G153" s="260"/>
      <c r="H153" s="260"/>
    </row>
    <row r="154" spans="7:8" ht="15.75">
      <c r="G154" s="260"/>
      <c r="H154" s="260"/>
    </row>
    <row r="155" spans="7:8" ht="15.75">
      <c r="G155" s="260"/>
      <c r="H155" s="260"/>
    </row>
    <row r="156" spans="7:8" ht="15.75">
      <c r="G156" s="260"/>
      <c r="H156" s="260"/>
    </row>
    <row r="157" spans="7:8" ht="15.75">
      <c r="G157" s="260"/>
      <c r="H157" s="260"/>
    </row>
    <row r="158" spans="7:8" ht="15.75">
      <c r="G158" s="260"/>
      <c r="H158" s="260"/>
    </row>
    <row r="159" spans="7:8" ht="15.75">
      <c r="G159" s="260"/>
      <c r="H159" s="260"/>
    </row>
    <row r="160" spans="7:8" ht="15.75">
      <c r="G160" s="260"/>
      <c r="H160" s="260"/>
    </row>
    <row r="161" spans="7:8" ht="15.75">
      <c r="G161" s="260"/>
      <c r="H161" s="260"/>
    </row>
    <row r="162" spans="7:8" ht="15.75">
      <c r="G162" s="260"/>
      <c r="H162" s="260"/>
    </row>
    <row r="163" spans="7:8" ht="15.75">
      <c r="G163" s="260"/>
      <c r="H163" s="260"/>
    </row>
    <row r="164" spans="7:8" ht="15.75">
      <c r="G164" s="260"/>
      <c r="H164" s="260"/>
    </row>
    <row r="165" spans="7:8" ht="15.75">
      <c r="G165" s="260"/>
      <c r="H165" s="260"/>
    </row>
    <row r="166" spans="7:8" ht="15.75">
      <c r="G166" s="260"/>
      <c r="H166" s="260"/>
    </row>
  </sheetData>
  <sheetProtection password="AF00" sheet="1" objects="1" scenarios="1" selectLockedCells="1" selectUnlockedCells="1"/>
  <mergeCells count="38">
    <mergeCell ref="A4:I4"/>
    <mergeCell ref="A1:I1"/>
    <mergeCell ref="D18:F18"/>
    <mergeCell ref="C111:F111"/>
    <mergeCell ref="A3:I3"/>
    <mergeCell ref="A10:I10"/>
    <mergeCell ref="B16:F16"/>
    <mergeCell ref="A12:F14"/>
    <mergeCell ref="A6:I6"/>
    <mergeCell ref="D67:F67"/>
    <mergeCell ref="A7:I7"/>
    <mergeCell ref="A8:I8"/>
    <mergeCell ref="D46:F46"/>
    <mergeCell ref="E47:F47"/>
    <mergeCell ref="C50:F50"/>
    <mergeCell ref="C45:F45"/>
    <mergeCell ref="E19:F19"/>
    <mergeCell ref="D36:F36"/>
    <mergeCell ref="D39:F39"/>
    <mergeCell ref="D40:F40"/>
    <mergeCell ref="E42:F42"/>
    <mergeCell ref="D118:F118"/>
    <mergeCell ref="A120:F120"/>
    <mergeCell ref="B124:F124"/>
    <mergeCell ref="A71:F71"/>
    <mergeCell ref="C92:F92"/>
    <mergeCell ref="B72:F72"/>
    <mergeCell ref="B69:F69"/>
    <mergeCell ref="B60:F60"/>
    <mergeCell ref="D51:F51"/>
    <mergeCell ref="D127:F127"/>
    <mergeCell ref="D128:F128"/>
    <mergeCell ref="C117:F117"/>
    <mergeCell ref="C125:F125"/>
    <mergeCell ref="D126:F126"/>
    <mergeCell ref="C62:F62"/>
    <mergeCell ref="D63:F63"/>
    <mergeCell ref="D68:F6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161" customWidth="1"/>
    <col min="2" max="2" width="9.125" style="161" customWidth="1"/>
    <col min="3" max="3" width="61.125" style="161" customWidth="1"/>
    <col min="4" max="7" width="26.25390625" style="161" customWidth="1"/>
    <col min="8" max="16384" width="9.125" style="161" customWidth="1"/>
  </cols>
  <sheetData>
    <row r="1" spans="1:7" ht="15.75">
      <c r="A1" s="564" t="s">
        <v>568</v>
      </c>
      <c r="B1" s="515"/>
      <c r="C1" s="515"/>
      <c r="D1" s="515"/>
      <c r="E1" s="515"/>
      <c r="F1" s="515"/>
      <c r="G1" s="515"/>
    </row>
    <row r="2" spans="1:7" ht="14.25" customHeight="1">
      <c r="A2" s="564"/>
      <c r="B2" s="515"/>
      <c r="C2" s="515"/>
      <c r="D2" s="515"/>
      <c r="E2" s="515"/>
      <c r="F2" s="515"/>
      <c r="G2" s="515"/>
    </row>
    <row r="3" spans="1:7" s="157" customFormat="1" ht="15.75">
      <c r="A3" s="565"/>
      <c r="B3" s="520"/>
      <c r="C3" s="520"/>
      <c r="D3" s="520"/>
      <c r="E3" s="520"/>
      <c r="F3" s="520"/>
      <c r="G3" s="520"/>
    </row>
    <row r="4" spans="3:7" s="72" customFormat="1" ht="15" customHeight="1">
      <c r="C4" s="566"/>
      <c r="D4" s="566"/>
      <c r="E4" s="566"/>
      <c r="F4" s="566"/>
      <c r="G4" s="566"/>
    </row>
    <row r="5" spans="2:7" s="159" customFormat="1" ht="15" customHeight="1">
      <c r="B5" s="542"/>
      <c r="C5" s="542"/>
      <c r="D5" s="542"/>
      <c r="E5" s="542"/>
      <c r="F5" s="542"/>
      <c r="G5" s="542"/>
    </row>
    <row r="6" spans="2:7" s="125" customFormat="1" ht="15" customHeight="1">
      <c r="B6" s="542" t="s">
        <v>41</v>
      </c>
      <c r="C6" s="542"/>
      <c r="D6" s="542"/>
      <c r="E6" s="542"/>
      <c r="F6" s="542"/>
      <c r="G6" s="542"/>
    </row>
    <row r="7" spans="2:7" s="125" customFormat="1" ht="15.75" customHeight="1">
      <c r="B7" s="563" t="s">
        <v>296</v>
      </c>
      <c r="C7" s="563"/>
      <c r="D7" s="563"/>
      <c r="E7" s="563"/>
      <c r="F7" s="563"/>
      <c r="G7" s="563"/>
    </row>
    <row r="8" spans="3:7" s="125" customFormat="1" ht="15" customHeight="1">
      <c r="C8" s="542" t="s">
        <v>480</v>
      </c>
      <c r="D8" s="542"/>
      <c r="E8" s="542"/>
      <c r="F8" s="542"/>
      <c r="G8" s="542"/>
    </row>
    <row r="9" spans="3:7" s="157" customFormat="1" ht="12" customHeight="1" thickBot="1">
      <c r="C9" s="158"/>
      <c r="D9" s="160"/>
      <c r="E9" s="371"/>
      <c r="F9" s="371"/>
      <c r="G9" s="370"/>
    </row>
    <row r="10" spans="1:7" s="157" customFormat="1" ht="23.25" customHeight="1" thickBot="1">
      <c r="A10" s="543" t="s">
        <v>487</v>
      </c>
      <c r="B10" s="546" t="s">
        <v>184</v>
      </c>
      <c r="C10" s="549" t="s">
        <v>185</v>
      </c>
      <c r="D10" s="552" t="s">
        <v>297</v>
      </c>
      <c r="E10" s="555" t="s">
        <v>298</v>
      </c>
      <c r="F10" s="555"/>
      <c r="G10" s="556"/>
    </row>
    <row r="11" spans="1:7" s="157" customFormat="1" ht="39.75" customHeight="1" thickBot="1">
      <c r="A11" s="544"/>
      <c r="B11" s="547"/>
      <c r="C11" s="550"/>
      <c r="D11" s="553"/>
      <c r="E11" s="367" t="s">
        <v>299</v>
      </c>
      <c r="F11" s="369" t="s">
        <v>300</v>
      </c>
      <c r="G11" s="368" t="s">
        <v>301</v>
      </c>
    </row>
    <row r="12" spans="1:7" s="157" customFormat="1" ht="22.5" customHeight="1">
      <c r="A12" s="544"/>
      <c r="B12" s="547"/>
      <c r="C12" s="550"/>
      <c r="D12" s="553"/>
      <c r="E12" s="557" t="s">
        <v>302</v>
      </c>
      <c r="F12" s="558"/>
      <c r="G12" s="559"/>
    </row>
    <row r="13" spans="1:7" ht="21.75" customHeight="1" thickBot="1">
      <c r="A13" s="545"/>
      <c r="B13" s="548"/>
      <c r="C13" s="551"/>
      <c r="D13" s="554"/>
      <c r="E13" s="560"/>
      <c r="F13" s="561"/>
      <c r="G13" s="562"/>
    </row>
    <row r="14" spans="1:7" ht="30">
      <c r="A14" s="274" t="s">
        <v>44</v>
      </c>
      <c r="B14" s="269" t="s">
        <v>201</v>
      </c>
      <c r="C14" s="162" t="s">
        <v>202</v>
      </c>
      <c r="D14" s="366">
        <f aca="true" t="shared" si="0" ref="D14:D28">SUM(E14:G14)</f>
        <v>185464</v>
      </c>
      <c r="E14" s="366">
        <f>7000+66664+50000</f>
        <v>123664</v>
      </c>
      <c r="F14" s="366">
        <v>61800</v>
      </c>
      <c r="G14" s="365"/>
    </row>
    <row r="15" spans="1:7" ht="15">
      <c r="A15" s="273" t="s">
        <v>27</v>
      </c>
      <c r="B15" s="270" t="s">
        <v>203</v>
      </c>
      <c r="C15" s="118" t="s">
        <v>36</v>
      </c>
      <c r="D15" s="360">
        <f t="shared" si="0"/>
        <v>51800</v>
      </c>
      <c r="E15" s="360">
        <v>51800</v>
      </c>
      <c r="F15" s="360"/>
      <c r="G15" s="359"/>
    </row>
    <row r="16" spans="1:7" ht="15">
      <c r="A16" s="273" t="s">
        <v>45</v>
      </c>
      <c r="B16" s="270" t="s">
        <v>204</v>
      </c>
      <c r="C16" s="118" t="s">
        <v>205</v>
      </c>
      <c r="D16" s="360">
        <f t="shared" si="0"/>
        <v>956117</v>
      </c>
      <c r="E16" s="360">
        <v>820000</v>
      </c>
      <c r="F16" s="360">
        <f>85179+2000+20000+28938</f>
        <v>136117</v>
      </c>
      <c r="G16" s="359"/>
    </row>
    <row r="17" spans="1:7" ht="15">
      <c r="A17" s="273" t="s">
        <v>105</v>
      </c>
      <c r="B17" s="270" t="s">
        <v>303</v>
      </c>
      <c r="C17" s="118" t="s">
        <v>304</v>
      </c>
      <c r="D17" s="360">
        <f t="shared" si="0"/>
        <v>35339661</v>
      </c>
      <c r="E17" s="360">
        <f>28045173+27846+1000000+5185082+28792+115989+806700+65080+64999</f>
        <v>35339661</v>
      </c>
      <c r="F17" s="360"/>
      <c r="G17" s="359"/>
    </row>
    <row r="18" spans="1:7" ht="15">
      <c r="A18" s="273" t="s">
        <v>106</v>
      </c>
      <c r="B18" s="270" t="s">
        <v>489</v>
      </c>
      <c r="C18" s="118" t="s">
        <v>490</v>
      </c>
      <c r="D18" s="360">
        <f t="shared" si="0"/>
        <v>62033655</v>
      </c>
      <c r="E18" s="360">
        <f>16546464+6584967+64122+89764+120000+17000+195900+38415438</f>
        <v>62033655</v>
      </c>
      <c r="F18" s="360"/>
      <c r="G18" s="359"/>
    </row>
    <row r="19" spans="1:7" ht="15">
      <c r="A19" s="273" t="s">
        <v>112</v>
      </c>
      <c r="B19" s="270" t="s">
        <v>567</v>
      </c>
      <c r="C19" s="118" t="s">
        <v>566</v>
      </c>
      <c r="D19" s="360">
        <f t="shared" si="0"/>
        <v>1224422</v>
      </c>
      <c r="E19" s="360">
        <f>722670+501752</f>
        <v>1224422</v>
      </c>
      <c r="F19" s="360"/>
      <c r="G19" s="359"/>
    </row>
    <row r="20" spans="1:7" ht="15">
      <c r="A20" s="273" t="s">
        <v>248</v>
      </c>
      <c r="B20" s="270" t="s">
        <v>208</v>
      </c>
      <c r="C20" s="118" t="s">
        <v>209</v>
      </c>
      <c r="D20" s="360">
        <f t="shared" si="0"/>
        <v>6312694</v>
      </c>
      <c r="E20" s="360">
        <v>6312694</v>
      </c>
      <c r="F20" s="360"/>
      <c r="G20" s="359"/>
    </row>
    <row r="21" spans="1:7" ht="15">
      <c r="A21" s="273" t="s">
        <v>250</v>
      </c>
      <c r="B21" s="270" t="s">
        <v>216</v>
      </c>
      <c r="C21" s="118" t="s">
        <v>217</v>
      </c>
      <c r="D21" s="360">
        <f t="shared" si="0"/>
        <v>290830</v>
      </c>
      <c r="E21" s="360">
        <v>290830</v>
      </c>
      <c r="F21" s="360"/>
      <c r="G21" s="359"/>
    </row>
    <row r="22" spans="1:7" ht="15">
      <c r="A22" s="273" t="s">
        <v>252</v>
      </c>
      <c r="B22" s="270" t="s">
        <v>218</v>
      </c>
      <c r="C22" s="118" t="s">
        <v>34</v>
      </c>
      <c r="D22" s="360">
        <f t="shared" si="0"/>
        <v>4825255</v>
      </c>
      <c r="E22" s="360">
        <v>4825255</v>
      </c>
      <c r="F22" s="360"/>
      <c r="G22" s="359"/>
    </row>
    <row r="23" spans="1:7" ht="15">
      <c r="A23" s="273" t="s">
        <v>259</v>
      </c>
      <c r="B23" s="270" t="s">
        <v>305</v>
      </c>
      <c r="C23" s="118" t="s">
        <v>306</v>
      </c>
      <c r="D23" s="360">
        <f t="shared" si="0"/>
        <v>77200</v>
      </c>
      <c r="E23" s="360">
        <v>77200</v>
      </c>
      <c r="F23" s="360"/>
      <c r="G23" s="359"/>
    </row>
    <row r="24" spans="1:7" ht="15">
      <c r="A24" s="273" t="s">
        <v>261</v>
      </c>
      <c r="B24" s="270" t="s">
        <v>307</v>
      </c>
      <c r="C24" s="118" t="s">
        <v>308</v>
      </c>
      <c r="D24" s="360">
        <f t="shared" si="0"/>
        <v>85418</v>
      </c>
      <c r="E24" s="360"/>
      <c r="F24" s="360">
        <v>85418</v>
      </c>
      <c r="G24" s="359"/>
    </row>
    <row r="25" spans="1:7" ht="15">
      <c r="A25" s="273" t="s">
        <v>263</v>
      </c>
      <c r="B25" s="270" t="s">
        <v>307</v>
      </c>
      <c r="C25" s="120" t="s">
        <v>449</v>
      </c>
      <c r="D25" s="360">
        <f t="shared" si="0"/>
        <v>165719</v>
      </c>
      <c r="E25" s="360"/>
      <c r="F25" s="360">
        <v>165719</v>
      </c>
      <c r="G25" s="359"/>
    </row>
    <row r="26" spans="1:7" ht="15">
      <c r="A26" s="273" t="s">
        <v>268</v>
      </c>
      <c r="B26" s="271">
        <v>104051</v>
      </c>
      <c r="C26" s="118" t="s">
        <v>364</v>
      </c>
      <c r="D26" s="360">
        <f t="shared" si="0"/>
        <v>46400</v>
      </c>
      <c r="E26" s="360"/>
      <c r="F26" s="360"/>
      <c r="G26" s="359">
        <v>46400</v>
      </c>
    </row>
    <row r="27" spans="1:7" ht="15">
      <c r="A27" s="273" t="s">
        <v>270</v>
      </c>
      <c r="B27" s="270" t="s">
        <v>226</v>
      </c>
      <c r="C27" s="120" t="s">
        <v>362</v>
      </c>
      <c r="D27" s="360">
        <f t="shared" si="0"/>
        <v>296786</v>
      </c>
      <c r="E27" s="360">
        <v>296786</v>
      </c>
      <c r="F27" s="360"/>
      <c r="G27" s="359"/>
    </row>
    <row r="28" spans="1:7" ht="30.75" thickBot="1">
      <c r="A28" s="273" t="s">
        <v>272</v>
      </c>
      <c r="B28" s="271">
        <v>900020</v>
      </c>
      <c r="C28" s="118" t="s">
        <v>309</v>
      </c>
      <c r="D28" s="360">
        <f t="shared" si="0"/>
        <v>7808000</v>
      </c>
      <c r="E28" s="360">
        <v>7808000</v>
      </c>
      <c r="F28" s="360"/>
      <c r="G28" s="359"/>
    </row>
    <row r="29" spans="1:7" ht="30" customHeight="1" thickBot="1">
      <c r="A29" s="364" t="s">
        <v>279</v>
      </c>
      <c r="B29" s="272"/>
      <c r="C29" s="353" t="s">
        <v>565</v>
      </c>
      <c r="D29" s="363">
        <f>SUM(D14:D28)</f>
        <v>119699421</v>
      </c>
      <c r="E29" s="363">
        <f>SUM(E14:E28)</f>
        <v>119203967</v>
      </c>
      <c r="F29" s="363">
        <f>SUM(F14:F28)</f>
        <v>449054</v>
      </c>
      <c r="G29" s="363">
        <f>SUM(G14:G28)</f>
        <v>46400</v>
      </c>
    </row>
    <row r="30" spans="1:7" ht="19.5" customHeight="1">
      <c r="A30" s="362" t="s">
        <v>282</v>
      </c>
      <c r="B30" s="361" t="s">
        <v>305</v>
      </c>
      <c r="C30" s="118" t="s">
        <v>306</v>
      </c>
      <c r="D30" s="360">
        <f>SUM(E30:G30)</f>
        <v>148352</v>
      </c>
      <c r="E30" s="360">
        <v>148352</v>
      </c>
      <c r="F30" s="360"/>
      <c r="G30" s="359"/>
    </row>
    <row r="31" spans="1:7" ht="15">
      <c r="A31" s="273" t="s">
        <v>284</v>
      </c>
      <c r="B31" s="119" t="s">
        <v>307</v>
      </c>
      <c r="C31" s="118" t="s">
        <v>308</v>
      </c>
      <c r="D31" s="360">
        <f>SUM(E31:G31)</f>
        <v>246970</v>
      </c>
      <c r="E31" s="360"/>
      <c r="F31" s="360">
        <v>246970</v>
      </c>
      <c r="G31" s="359"/>
    </row>
    <row r="32" spans="1:7" ht="15">
      <c r="A32" s="273" t="s">
        <v>356</v>
      </c>
      <c r="B32" s="119" t="s">
        <v>307</v>
      </c>
      <c r="C32" s="120" t="s">
        <v>449</v>
      </c>
      <c r="D32" s="360">
        <f>SUM(E32:G32)</f>
        <v>788012</v>
      </c>
      <c r="E32" s="360"/>
      <c r="F32" s="360">
        <v>788012</v>
      </c>
      <c r="G32" s="359"/>
    </row>
    <row r="33" spans="1:7" ht="15.75" thickBot="1">
      <c r="A33" s="273" t="s">
        <v>358</v>
      </c>
      <c r="B33" s="358" t="s">
        <v>226</v>
      </c>
      <c r="C33" s="357" t="s">
        <v>362</v>
      </c>
      <c r="D33" s="356">
        <f>SUM(E33:G33)</f>
        <v>1547151</v>
      </c>
      <c r="E33" s="356">
        <v>1547151</v>
      </c>
      <c r="F33" s="356"/>
      <c r="G33" s="355"/>
    </row>
    <row r="34" spans="1:7" ht="19.5" customHeight="1" thickBot="1">
      <c r="A34" s="273" t="s">
        <v>495</v>
      </c>
      <c r="B34" s="163"/>
      <c r="C34" s="353" t="s">
        <v>564</v>
      </c>
      <c r="D34" s="352">
        <f>SUM(D30:D33)</f>
        <v>2730485</v>
      </c>
      <c r="E34" s="352">
        <f>SUM(E30:E33)</f>
        <v>1695503</v>
      </c>
      <c r="F34" s="352">
        <f>SUM(F30:F33)</f>
        <v>1034982</v>
      </c>
      <c r="G34" s="354">
        <f>SUM(G30:G33)</f>
        <v>0</v>
      </c>
    </row>
    <row r="35" spans="1:7" ht="15.75" customHeight="1" thickBot="1">
      <c r="A35" s="297" t="s">
        <v>496</v>
      </c>
      <c r="B35" s="163"/>
      <c r="C35" s="353" t="s">
        <v>563</v>
      </c>
      <c r="D35" s="352">
        <f>D29+D34</f>
        <v>122429906</v>
      </c>
      <c r="E35" s="352">
        <f>E29+E34</f>
        <v>120899470</v>
      </c>
      <c r="F35" s="352">
        <f>F29+F34</f>
        <v>1484036</v>
      </c>
      <c r="G35" s="352">
        <f>G29+G34</f>
        <v>46400</v>
      </c>
    </row>
  </sheetData>
  <sheetProtection password="AF00" sheet="1" objects="1" scenarios="1" selectLockedCells="1" selectUnlockedCells="1"/>
  <mergeCells count="14">
    <mergeCell ref="B5:G5"/>
    <mergeCell ref="B6:G6"/>
    <mergeCell ref="B7:G7"/>
    <mergeCell ref="A1:G1"/>
    <mergeCell ref="A3:G3"/>
    <mergeCell ref="A2:G2"/>
    <mergeCell ref="C4:G4"/>
    <mergeCell ref="C8:G8"/>
    <mergeCell ref="A10:A13"/>
    <mergeCell ref="B10:B13"/>
    <mergeCell ref="C10:C13"/>
    <mergeCell ref="D10:D13"/>
    <mergeCell ref="E10:G10"/>
    <mergeCell ref="E12:G1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9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625" style="10" customWidth="1"/>
    <col min="5" max="5" width="11.75390625" style="10" customWidth="1"/>
    <col min="6" max="6" width="11.125" style="10" customWidth="1"/>
    <col min="7" max="7" width="12.625" style="10" customWidth="1"/>
    <col min="8" max="8" width="10.375" style="10" customWidth="1"/>
    <col min="9" max="9" width="13.1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64" t="s">
        <v>577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</row>
    <row r="2" spans="2:17" ht="15.75" customHeight="1"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</row>
    <row r="3" spans="2:20" s="116" customFormat="1" ht="15.75" customHeight="1"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</row>
    <row r="4" spans="2:17" s="116" customFormat="1" ht="15.75" customHeight="1">
      <c r="B4" s="115"/>
      <c r="C4" s="115"/>
      <c r="D4" s="115"/>
      <c r="E4" s="115"/>
      <c r="F4" s="115"/>
      <c r="G4" s="115"/>
      <c r="H4" s="567"/>
      <c r="I4" s="568"/>
      <c r="J4" s="568"/>
      <c r="K4" s="568"/>
      <c r="L4" s="115"/>
      <c r="M4" s="115"/>
      <c r="N4" s="115"/>
      <c r="O4" s="115"/>
      <c r="P4" s="115"/>
      <c r="Q4" s="115"/>
    </row>
    <row r="5" spans="2:20" s="116" customFormat="1" ht="15.75" customHeight="1">
      <c r="B5" s="567" t="s">
        <v>41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</row>
    <row r="6" spans="2:20" s="116" customFormat="1" ht="15.75" customHeight="1">
      <c r="B6" s="567" t="s">
        <v>183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</row>
    <row r="7" spans="2:20" s="116" customFormat="1" ht="15.75" customHeight="1">
      <c r="B7" s="567" t="s">
        <v>485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</row>
    <row r="8" spans="19:20" s="116" customFormat="1" ht="15.75" thickBot="1">
      <c r="S8" s="592" t="s">
        <v>488</v>
      </c>
      <c r="T8" s="592"/>
    </row>
    <row r="9" spans="1:20" s="117" customFormat="1" ht="20.25" customHeight="1" thickBot="1">
      <c r="A9" s="578" t="s">
        <v>487</v>
      </c>
      <c r="B9" s="575" t="s">
        <v>184</v>
      </c>
      <c r="C9" s="569" t="s">
        <v>185</v>
      </c>
      <c r="D9" s="572" t="s">
        <v>186</v>
      </c>
      <c r="E9" s="598" t="s">
        <v>187</v>
      </c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600"/>
      <c r="S9" s="593" t="s">
        <v>3</v>
      </c>
      <c r="T9" s="594"/>
    </row>
    <row r="10" spans="1:20" s="117" customFormat="1" ht="38.25" customHeight="1" thickBot="1">
      <c r="A10" s="579"/>
      <c r="B10" s="576"/>
      <c r="C10" s="570"/>
      <c r="D10" s="573"/>
      <c r="E10" s="587" t="s">
        <v>76</v>
      </c>
      <c r="F10" s="588"/>
      <c r="G10" s="588"/>
      <c r="H10" s="588"/>
      <c r="I10" s="588"/>
      <c r="J10" s="589"/>
      <c r="K10" s="601" t="s">
        <v>77</v>
      </c>
      <c r="L10" s="602"/>
      <c r="M10" s="602"/>
      <c r="N10" s="603"/>
      <c r="O10" s="581" t="s">
        <v>188</v>
      </c>
      <c r="P10" s="582"/>
      <c r="Q10" s="582"/>
      <c r="R10" s="583"/>
      <c r="S10" s="590" t="s">
        <v>8</v>
      </c>
      <c r="T10" s="591"/>
    </row>
    <row r="11" spans="1:20" s="117" customFormat="1" ht="21" customHeight="1" thickBot="1">
      <c r="A11" s="579"/>
      <c r="B11" s="576"/>
      <c r="C11" s="570"/>
      <c r="D11" s="573"/>
      <c r="E11" s="572" t="s">
        <v>189</v>
      </c>
      <c r="F11" s="572" t="s">
        <v>190</v>
      </c>
      <c r="G11" s="572" t="s">
        <v>191</v>
      </c>
      <c r="H11" s="572" t="s">
        <v>192</v>
      </c>
      <c r="I11" s="572" t="s">
        <v>193</v>
      </c>
      <c r="J11" s="606" t="s">
        <v>194</v>
      </c>
      <c r="K11" s="595" t="s">
        <v>195</v>
      </c>
      <c r="L11" s="595" t="s">
        <v>78</v>
      </c>
      <c r="M11" s="572" t="s">
        <v>310</v>
      </c>
      <c r="N11" s="584" t="s">
        <v>311</v>
      </c>
      <c r="O11" s="572" t="s">
        <v>450</v>
      </c>
      <c r="P11" s="572" t="s">
        <v>196</v>
      </c>
      <c r="Q11" s="572" t="s">
        <v>197</v>
      </c>
      <c r="R11" s="584" t="s">
        <v>312</v>
      </c>
      <c r="S11" s="155" t="s">
        <v>198</v>
      </c>
      <c r="T11" s="156" t="s">
        <v>199</v>
      </c>
    </row>
    <row r="12" spans="1:20" s="117" customFormat="1" ht="18.75" customHeight="1">
      <c r="A12" s="579"/>
      <c r="B12" s="576"/>
      <c r="C12" s="570"/>
      <c r="D12" s="573"/>
      <c r="E12" s="573"/>
      <c r="F12" s="573"/>
      <c r="G12" s="573"/>
      <c r="H12" s="573"/>
      <c r="I12" s="573"/>
      <c r="J12" s="607"/>
      <c r="K12" s="596"/>
      <c r="L12" s="596"/>
      <c r="M12" s="573"/>
      <c r="N12" s="585"/>
      <c r="O12" s="573"/>
      <c r="P12" s="573"/>
      <c r="Q12" s="573"/>
      <c r="R12" s="585"/>
      <c r="S12" s="604" t="s">
        <v>200</v>
      </c>
      <c r="T12" s="605"/>
    </row>
    <row r="13" spans="1:20" s="117" customFormat="1" ht="20.25" customHeight="1" thickBot="1">
      <c r="A13" s="580"/>
      <c r="B13" s="577"/>
      <c r="C13" s="571"/>
      <c r="D13" s="574"/>
      <c r="E13" s="574"/>
      <c r="F13" s="574"/>
      <c r="G13" s="574"/>
      <c r="H13" s="574"/>
      <c r="I13" s="574"/>
      <c r="J13" s="608"/>
      <c r="K13" s="597"/>
      <c r="L13" s="597"/>
      <c r="M13" s="574"/>
      <c r="N13" s="586"/>
      <c r="O13" s="574"/>
      <c r="P13" s="574"/>
      <c r="Q13" s="574"/>
      <c r="R13" s="586"/>
      <c r="S13" s="590"/>
      <c r="T13" s="591"/>
    </row>
    <row r="14" spans="1:20" s="116" customFormat="1" ht="30">
      <c r="A14" s="311" t="s">
        <v>44</v>
      </c>
      <c r="B14" s="309" t="s">
        <v>201</v>
      </c>
      <c r="C14" s="118" t="s">
        <v>202</v>
      </c>
      <c r="D14" s="283">
        <f>J14+N14+P14+Q14</f>
        <v>62521510</v>
      </c>
      <c r="E14" s="275">
        <f>11856713+444000+74764+2250+54642+2371</f>
        <v>12434740</v>
      </c>
      <c r="F14" s="276">
        <f>2822558+97680+15000+12022+280-5979-1876</f>
        <v>2939685</v>
      </c>
      <c r="G14" s="276">
        <f>3583240+143179+64122+120000+120000+37786+9563+64999</f>
        <v>4142889</v>
      </c>
      <c r="H14" s="276"/>
      <c r="I14" s="276">
        <f>278800+38415438+5185082+115989+806700+65080+80000-1181000-606235-120000-499999-190000-287259</f>
        <v>42062596</v>
      </c>
      <c r="J14" s="277">
        <f aca="true" t="shared" si="0" ref="J14:J22">SUM(E14:I14)</f>
        <v>61579910</v>
      </c>
      <c r="K14" s="278">
        <v>101600</v>
      </c>
      <c r="L14" s="278"/>
      <c r="M14" s="278">
        <v>840000</v>
      </c>
      <c r="N14" s="279">
        <f>SUM(K14:M14)</f>
        <v>941600</v>
      </c>
      <c r="O14" s="279"/>
      <c r="P14" s="280"/>
      <c r="Q14" s="281"/>
      <c r="R14" s="281"/>
      <c r="S14" s="316">
        <f>0.5+0.1+0.2-0.3</f>
        <v>0.5</v>
      </c>
      <c r="T14" s="317">
        <v>0.5</v>
      </c>
    </row>
    <row r="15" spans="1:20" s="116" customFormat="1" ht="15">
      <c r="A15" s="311" t="s">
        <v>27</v>
      </c>
      <c r="B15" s="270" t="s">
        <v>203</v>
      </c>
      <c r="C15" s="118" t="s">
        <v>36</v>
      </c>
      <c r="D15" s="283">
        <f>J15+N15+P15+Q15</f>
        <v>64340</v>
      </c>
      <c r="E15" s="275"/>
      <c r="F15" s="276"/>
      <c r="G15" s="276">
        <v>64340</v>
      </c>
      <c r="H15" s="276"/>
      <c r="I15" s="276"/>
      <c r="J15" s="277">
        <f t="shared" si="0"/>
        <v>64340</v>
      </c>
      <c r="K15" s="278"/>
      <c r="L15" s="278"/>
      <c r="M15" s="278"/>
      <c r="N15" s="279"/>
      <c r="O15" s="279"/>
      <c r="P15" s="280"/>
      <c r="Q15" s="281"/>
      <c r="R15" s="281"/>
      <c r="S15" s="318"/>
      <c r="T15" s="319"/>
    </row>
    <row r="16" spans="1:20" s="116" customFormat="1" ht="29.25" customHeight="1">
      <c r="A16" s="311" t="s">
        <v>45</v>
      </c>
      <c r="B16" s="270" t="s">
        <v>204</v>
      </c>
      <c r="C16" s="118" t="s">
        <v>205</v>
      </c>
      <c r="D16" s="283">
        <f>J16+N16+R16</f>
        <v>1545790</v>
      </c>
      <c r="E16" s="275"/>
      <c r="F16" s="276"/>
      <c r="G16" s="276">
        <v>244790</v>
      </c>
      <c r="H16" s="276"/>
      <c r="I16" s="276"/>
      <c r="J16" s="277">
        <f t="shared" si="0"/>
        <v>244790</v>
      </c>
      <c r="K16" s="278">
        <v>1181000</v>
      </c>
      <c r="L16" s="278">
        <v>120000</v>
      </c>
      <c r="M16" s="278"/>
      <c r="N16" s="279">
        <f>SUM(K16:M16)</f>
        <v>1301000</v>
      </c>
      <c r="O16" s="279"/>
      <c r="P16" s="280"/>
      <c r="Q16" s="281"/>
      <c r="R16" s="281"/>
      <c r="S16" s="320"/>
      <c r="T16" s="319"/>
    </row>
    <row r="17" spans="1:20" s="116" customFormat="1" ht="30" customHeight="1">
      <c r="A17" s="311" t="s">
        <v>105</v>
      </c>
      <c r="B17" s="270" t="s">
        <v>303</v>
      </c>
      <c r="C17" s="118" t="s">
        <v>304</v>
      </c>
      <c r="D17" s="283">
        <f>J17+N17+R17</f>
        <v>1121209</v>
      </c>
      <c r="E17" s="275"/>
      <c r="F17" s="276"/>
      <c r="G17" s="276"/>
      <c r="H17" s="276"/>
      <c r="I17" s="276"/>
      <c r="J17" s="277">
        <f t="shared" si="0"/>
        <v>0</v>
      </c>
      <c r="K17" s="278"/>
      <c r="L17" s="278"/>
      <c r="M17" s="278"/>
      <c r="N17" s="279">
        <f>SUM(K17:M17)</f>
        <v>0</v>
      </c>
      <c r="O17" s="279">
        <v>1121209</v>
      </c>
      <c r="P17" s="280"/>
      <c r="Q17" s="281"/>
      <c r="R17" s="281">
        <f>O17+P17+Q17</f>
        <v>1121209</v>
      </c>
      <c r="S17" s="316"/>
      <c r="T17" s="319"/>
    </row>
    <row r="18" spans="1:20" s="116" customFormat="1" ht="30" customHeight="1">
      <c r="A18" s="311" t="s">
        <v>106</v>
      </c>
      <c r="B18" s="270" t="s">
        <v>567</v>
      </c>
      <c r="C18" s="118" t="s">
        <v>566</v>
      </c>
      <c r="D18" s="283">
        <f>J18+N18+R18</f>
        <v>1517660</v>
      </c>
      <c r="E18" s="275">
        <f>647490+180452+49998+423245+28784</f>
        <v>1329969</v>
      </c>
      <c r="F18" s="276">
        <f>75180+39699+17110+49723+5979</f>
        <v>187691</v>
      </c>
      <c r="G18" s="276"/>
      <c r="H18" s="276"/>
      <c r="I18" s="276"/>
      <c r="J18" s="277">
        <f t="shared" si="0"/>
        <v>1517660</v>
      </c>
      <c r="K18" s="278"/>
      <c r="L18" s="278"/>
      <c r="M18" s="278"/>
      <c r="N18" s="279"/>
      <c r="O18" s="279"/>
      <c r="P18" s="280"/>
      <c r="Q18" s="281"/>
      <c r="R18" s="281"/>
      <c r="S18" s="316"/>
      <c r="T18" s="319"/>
    </row>
    <row r="19" spans="1:20" s="116" customFormat="1" ht="30" customHeight="1">
      <c r="A19" s="311" t="s">
        <v>576</v>
      </c>
      <c r="B19" s="270" t="s">
        <v>491</v>
      </c>
      <c r="C19" s="118" t="s">
        <v>492</v>
      </c>
      <c r="D19" s="283">
        <f>J19+N19+R19</f>
        <v>11106234</v>
      </c>
      <c r="E19" s="275"/>
      <c r="F19" s="276"/>
      <c r="G19" s="276">
        <f>606235+499999</f>
        <v>1106234</v>
      </c>
      <c r="H19" s="276"/>
      <c r="I19" s="276"/>
      <c r="J19" s="277">
        <f t="shared" si="0"/>
        <v>1106234</v>
      </c>
      <c r="K19" s="278"/>
      <c r="L19" s="278">
        <v>10000000</v>
      </c>
      <c r="M19" s="278"/>
      <c r="N19" s="279">
        <f>SUM(K19:M19)</f>
        <v>10000000</v>
      </c>
      <c r="O19" s="279"/>
      <c r="P19" s="280"/>
      <c r="Q19" s="281"/>
      <c r="R19" s="281"/>
      <c r="S19" s="316"/>
      <c r="T19" s="319"/>
    </row>
    <row r="20" spans="1:20" s="116" customFormat="1" ht="30">
      <c r="A20" s="311" t="s">
        <v>248</v>
      </c>
      <c r="B20" s="270" t="s">
        <v>206</v>
      </c>
      <c r="C20" s="118" t="s">
        <v>207</v>
      </c>
      <c r="D20" s="283">
        <f aca="true" t="shared" si="1" ref="D20:D41">J20+N20+P20+Q20</f>
        <v>26670</v>
      </c>
      <c r="E20" s="275"/>
      <c r="F20" s="276"/>
      <c r="G20" s="276">
        <v>26670</v>
      </c>
      <c r="H20" s="276"/>
      <c r="I20" s="276"/>
      <c r="J20" s="277">
        <f t="shared" si="0"/>
        <v>26670</v>
      </c>
      <c r="K20" s="278"/>
      <c r="L20" s="278"/>
      <c r="M20" s="278"/>
      <c r="N20" s="279">
        <f>SUM(K20:M20)</f>
        <v>0</v>
      </c>
      <c r="O20" s="279"/>
      <c r="P20" s="280"/>
      <c r="Q20" s="281"/>
      <c r="R20" s="281"/>
      <c r="S20" s="316"/>
      <c r="T20" s="319"/>
    </row>
    <row r="21" spans="1:20" s="116" customFormat="1" ht="15">
      <c r="A21" s="311" t="s">
        <v>250</v>
      </c>
      <c r="B21" s="270" t="s">
        <v>456</v>
      </c>
      <c r="C21" s="118" t="s">
        <v>457</v>
      </c>
      <c r="D21" s="283">
        <f t="shared" si="1"/>
        <v>19050</v>
      </c>
      <c r="E21" s="275"/>
      <c r="F21" s="276"/>
      <c r="G21" s="276">
        <v>19050</v>
      </c>
      <c r="H21" s="276"/>
      <c r="I21" s="276"/>
      <c r="J21" s="277">
        <f t="shared" si="0"/>
        <v>19050</v>
      </c>
      <c r="K21" s="278"/>
      <c r="L21" s="278"/>
      <c r="M21" s="278"/>
      <c r="N21" s="279">
        <f>SUM(K21:M21)</f>
        <v>0</v>
      </c>
      <c r="O21" s="279"/>
      <c r="P21" s="280"/>
      <c r="Q21" s="281"/>
      <c r="R21" s="281"/>
      <c r="S21" s="316"/>
      <c r="T21" s="319"/>
    </row>
    <row r="22" spans="1:20" s="116" customFormat="1" ht="30">
      <c r="A22" s="311" t="s">
        <v>252</v>
      </c>
      <c r="B22" s="270" t="s">
        <v>208</v>
      </c>
      <c r="C22" s="118" t="s">
        <v>209</v>
      </c>
      <c r="D22" s="283">
        <f t="shared" si="1"/>
        <v>6312694</v>
      </c>
      <c r="E22" s="275"/>
      <c r="F22" s="276"/>
      <c r="G22" s="276">
        <v>6312694</v>
      </c>
      <c r="H22" s="276"/>
      <c r="I22" s="276"/>
      <c r="J22" s="277">
        <f t="shared" si="0"/>
        <v>6312694</v>
      </c>
      <c r="K22" s="278"/>
      <c r="L22" s="278"/>
      <c r="M22" s="278"/>
      <c r="N22" s="279"/>
      <c r="O22" s="279"/>
      <c r="P22" s="280"/>
      <c r="Q22" s="281"/>
      <c r="R22" s="281"/>
      <c r="S22" s="320"/>
      <c r="T22" s="319"/>
    </row>
    <row r="23" spans="1:20" s="116" customFormat="1" ht="15">
      <c r="A23" s="311" t="s">
        <v>259</v>
      </c>
      <c r="B23" s="270" t="s">
        <v>210</v>
      </c>
      <c r="C23" s="118" t="s">
        <v>211</v>
      </c>
      <c r="D23" s="283">
        <f t="shared" si="1"/>
        <v>360000</v>
      </c>
      <c r="E23" s="275"/>
      <c r="F23" s="276"/>
      <c r="G23" s="276"/>
      <c r="H23" s="276"/>
      <c r="I23" s="276"/>
      <c r="J23" s="277"/>
      <c r="K23" s="278"/>
      <c r="L23" s="278"/>
      <c r="M23" s="278">
        <f>1200000-840000</f>
        <v>360000</v>
      </c>
      <c r="N23" s="279">
        <f>SUM(K23:M23)</f>
        <v>360000</v>
      </c>
      <c r="O23" s="279"/>
      <c r="P23" s="280"/>
      <c r="Q23" s="281"/>
      <c r="R23" s="281"/>
      <c r="S23" s="320"/>
      <c r="T23" s="319"/>
    </row>
    <row r="24" spans="1:20" s="116" customFormat="1" ht="15">
      <c r="A24" s="311" t="s">
        <v>261</v>
      </c>
      <c r="B24" s="270" t="s">
        <v>212</v>
      </c>
      <c r="C24" s="118" t="s">
        <v>213</v>
      </c>
      <c r="D24" s="283">
        <f t="shared" si="1"/>
        <v>1899920</v>
      </c>
      <c r="E24" s="275"/>
      <c r="F24" s="276"/>
      <c r="G24" s="276">
        <v>1899920</v>
      </c>
      <c r="H24" s="278"/>
      <c r="I24" s="276"/>
      <c r="J24" s="277">
        <f aca="true" t="shared" si="2" ref="J24:J41">SUM(E24:I24)</f>
        <v>1899920</v>
      </c>
      <c r="K24" s="278"/>
      <c r="L24" s="278"/>
      <c r="M24" s="278"/>
      <c r="N24" s="279"/>
      <c r="O24" s="279"/>
      <c r="P24" s="280"/>
      <c r="Q24" s="281"/>
      <c r="R24" s="281"/>
      <c r="S24" s="320"/>
      <c r="T24" s="319"/>
    </row>
    <row r="25" spans="1:20" s="116" customFormat="1" ht="15">
      <c r="A25" s="311" t="s">
        <v>263</v>
      </c>
      <c r="B25" s="270" t="s">
        <v>214</v>
      </c>
      <c r="C25" s="118" t="s">
        <v>215</v>
      </c>
      <c r="D25" s="283">
        <f t="shared" si="1"/>
        <v>635000</v>
      </c>
      <c r="E25" s="275"/>
      <c r="F25" s="276"/>
      <c r="G25" s="276">
        <v>635000</v>
      </c>
      <c r="H25" s="278"/>
      <c r="I25" s="276"/>
      <c r="J25" s="277">
        <f t="shared" si="2"/>
        <v>635000</v>
      </c>
      <c r="K25" s="278"/>
      <c r="L25" s="278"/>
      <c r="M25" s="278"/>
      <c r="N25" s="279"/>
      <c r="O25" s="279"/>
      <c r="P25" s="280"/>
      <c r="Q25" s="281"/>
      <c r="R25" s="281"/>
      <c r="S25" s="320"/>
      <c r="T25" s="319"/>
    </row>
    <row r="26" spans="1:20" s="116" customFormat="1" ht="30">
      <c r="A26" s="311" t="s">
        <v>268</v>
      </c>
      <c r="B26" s="270" t="s">
        <v>216</v>
      </c>
      <c r="C26" s="118" t="s">
        <v>217</v>
      </c>
      <c r="D26" s="283">
        <f t="shared" si="1"/>
        <v>3244436</v>
      </c>
      <c r="E26" s="275"/>
      <c r="F26" s="276"/>
      <c r="G26" s="276">
        <f>1953606+290830</f>
        <v>2244436</v>
      </c>
      <c r="H26" s="278"/>
      <c r="I26" s="276"/>
      <c r="J26" s="277">
        <f t="shared" si="2"/>
        <v>2244436</v>
      </c>
      <c r="K26" s="278">
        <v>1000000</v>
      </c>
      <c r="L26" s="278"/>
      <c r="M26" s="278"/>
      <c r="N26" s="279">
        <f aca="true" t="shared" si="3" ref="N26:N41">SUM(K26:M26)</f>
        <v>1000000</v>
      </c>
      <c r="O26" s="279"/>
      <c r="P26" s="280"/>
      <c r="Q26" s="281"/>
      <c r="R26" s="281"/>
      <c r="S26" s="320"/>
      <c r="T26" s="319"/>
    </row>
    <row r="27" spans="1:20" s="116" customFormat="1" ht="15">
      <c r="A27" s="311" t="s">
        <v>270</v>
      </c>
      <c r="B27" s="270" t="s">
        <v>218</v>
      </c>
      <c r="C27" s="118" t="s">
        <v>34</v>
      </c>
      <c r="D27" s="283">
        <f t="shared" si="1"/>
        <v>9744490</v>
      </c>
      <c r="E27" s="275"/>
      <c r="F27" s="276"/>
      <c r="G27" s="276">
        <f>9744490-4825255</f>
        <v>4919235</v>
      </c>
      <c r="H27" s="278"/>
      <c r="I27" s="276">
        <v>4825255</v>
      </c>
      <c r="J27" s="277">
        <f t="shared" si="2"/>
        <v>9744490</v>
      </c>
      <c r="K27" s="278"/>
      <c r="L27" s="278"/>
      <c r="M27" s="278"/>
      <c r="N27" s="279">
        <f t="shared" si="3"/>
        <v>0</v>
      </c>
      <c r="O27" s="279"/>
      <c r="P27" s="280"/>
      <c r="Q27" s="281"/>
      <c r="R27" s="281"/>
      <c r="S27" s="320"/>
      <c r="T27" s="319"/>
    </row>
    <row r="28" spans="1:20" s="116" customFormat="1" ht="31.5" customHeight="1">
      <c r="A28" s="311" t="s">
        <v>272</v>
      </c>
      <c r="B28" s="270" t="s">
        <v>219</v>
      </c>
      <c r="C28" s="118" t="s">
        <v>220</v>
      </c>
      <c r="D28" s="283">
        <f t="shared" si="1"/>
        <v>675000</v>
      </c>
      <c r="E28" s="275"/>
      <c r="F28" s="276"/>
      <c r="G28" s="276"/>
      <c r="H28" s="276"/>
      <c r="I28" s="276">
        <v>675000</v>
      </c>
      <c r="J28" s="277">
        <f t="shared" si="2"/>
        <v>675000</v>
      </c>
      <c r="K28" s="278"/>
      <c r="L28" s="278"/>
      <c r="M28" s="278"/>
      <c r="N28" s="279">
        <f t="shared" si="3"/>
        <v>0</v>
      </c>
      <c r="O28" s="279"/>
      <c r="P28" s="280"/>
      <c r="Q28" s="281"/>
      <c r="R28" s="281"/>
      <c r="S28" s="320"/>
      <c r="T28" s="319"/>
    </row>
    <row r="29" spans="1:20" s="116" customFormat="1" ht="15">
      <c r="A29" s="311" t="s">
        <v>279</v>
      </c>
      <c r="B29" s="270" t="s">
        <v>221</v>
      </c>
      <c r="C29" s="118" t="s">
        <v>37</v>
      </c>
      <c r="D29" s="283">
        <f t="shared" si="1"/>
        <v>922013</v>
      </c>
      <c r="E29" s="275">
        <f>537200+900</f>
        <v>538100</v>
      </c>
      <c r="F29" s="276">
        <v>121404</v>
      </c>
      <c r="G29" s="276">
        <v>82550</v>
      </c>
      <c r="H29" s="276"/>
      <c r="I29" s="276"/>
      <c r="J29" s="277">
        <f t="shared" si="2"/>
        <v>742054</v>
      </c>
      <c r="K29" s="278">
        <v>179959</v>
      </c>
      <c r="L29" s="278"/>
      <c r="M29" s="278"/>
      <c r="N29" s="279">
        <f t="shared" si="3"/>
        <v>179959</v>
      </c>
      <c r="O29" s="279"/>
      <c r="P29" s="280"/>
      <c r="Q29" s="281"/>
      <c r="R29" s="281"/>
      <c r="S29" s="320">
        <v>0.2</v>
      </c>
      <c r="T29" s="319">
        <v>0.2</v>
      </c>
    </row>
    <row r="30" spans="1:20" s="116" customFormat="1" ht="30">
      <c r="A30" s="311" t="s">
        <v>282</v>
      </c>
      <c r="B30" s="270" t="s">
        <v>451</v>
      </c>
      <c r="C30" s="118" t="s">
        <v>452</v>
      </c>
      <c r="D30" s="283">
        <f t="shared" si="1"/>
        <v>2937376</v>
      </c>
      <c r="E30" s="275">
        <f>1981200+4100+18725+4850+23600</f>
        <v>2032475</v>
      </c>
      <c r="F30" s="276">
        <f>449808+4119+902+5192</f>
        <v>460021</v>
      </c>
      <c r="G30" s="276">
        <v>444880</v>
      </c>
      <c r="H30" s="276"/>
      <c r="I30" s="276"/>
      <c r="J30" s="277">
        <f t="shared" si="2"/>
        <v>2937376</v>
      </c>
      <c r="K30" s="278"/>
      <c r="L30" s="278"/>
      <c r="M30" s="278"/>
      <c r="N30" s="279">
        <f t="shared" si="3"/>
        <v>0</v>
      </c>
      <c r="O30" s="279"/>
      <c r="P30" s="280"/>
      <c r="Q30" s="281"/>
      <c r="R30" s="281"/>
      <c r="S30" s="320">
        <f>0.75+0.3</f>
        <v>1.05</v>
      </c>
      <c r="T30" s="319">
        <v>1.05</v>
      </c>
    </row>
    <row r="31" spans="1:20" s="116" customFormat="1" ht="15">
      <c r="A31" s="311" t="s">
        <v>284</v>
      </c>
      <c r="B31" s="270" t="s">
        <v>453</v>
      </c>
      <c r="C31" s="118" t="s">
        <v>454</v>
      </c>
      <c r="D31" s="283">
        <f t="shared" si="1"/>
        <v>384710</v>
      </c>
      <c r="E31" s="275">
        <v>320000</v>
      </c>
      <c r="F31" s="276">
        <v>64710</v>
      </c>
      <c r="G31" s="276"/>
      <c r="H31" s="276"/>
      <c r="I31" s="276"/>
      <c r="J31" s="277">
        <f t="shared" si="2"/>
        <v>384710</v>
      </c>
      <c r="K31" s="278"/>
      <c r="L31" s="278"/>
      <c r="M31" s="278"/>
      <c r="N31" s="279">
        <f t="shared" si="3"/>
        <v>0</v>
      </c>
      <c r="O31" s="279"/>
      <c r="P31" s="280"/>
      <c r="Q31" s="281"/>
      <c r="R31" s="281"/>
      <c r="S31" s="320"/>
      <c r="T31" s="319"/>
    </row>
    <row r="32" spans="1:20" s="116" customFormat="1" ht="15">
      <c r="A32" s="311" t="s">
        <v>356</v>
      </c>
      <c r="B32" s="270" t="s">
        <v>222</v>
      </c>
      <c r="C32" s="118" t="s">
        <v>35</v>
      </c>
      <c r="D32" s="283">
        <f t="shared" si="1"/>
        <v>310000</v>
      </c>
      <c r="E32" s="275"/>
      <c r="F32" s="276"/>
      <c r="G32" s="276"/>
      <c r="H32" s="276"/>
      <c r="I32" s="276">
        <f>120000+190000</f>
        <v>310000</v>
      </c>
      <c r="J32" s="277">
        <f t="shared" si="2"/>
        <v>310000</v>
      </c>
      <c r="K32" s="278"/>
      <c r="L32" s="278"/>
      <c r="M32" s="278"/>
      <c r="N32" s="279">
        <f t="shared" si="3"/>
        <v>0</v>
      </c>
      <c r="O32" s="279"/>
      <c r="P32" s="280"/>
      <c r="Q32" s="281"/>
      <c r="R32" s="281"/>
      <c r="S32" s="320"/>
      <c r="T32" s="319"/>
    </row>
    <row r="33" spans="1:20" s="116" customFormat="1" ht="15">
      <c r="A33" s="311" t="s">
        <v>358</v>
      </c>
      <c r="B33" s="270" t="s">
        <v>223</v>
      </c>
      <c r="C33" s="118" t="s">
        <v>224</v>
      </c>
      <c r="D33" s="283">
        <f t="shared" si="1"/>
        <v>50000</v>
      </c>
      <c r="E33" s="275"/>
      <c r="F33" s="276"/>
      <c r="G33" s="276"/>
      <c r="H33" s="276">
        <v>50000</v>
      </c>
      <c r="I33" s="276"/>
      <c r="J33" s="277">
        <f t="shared" si="2"/>
        <v>50000</v>
      </c>
      <c r="K33" s="278"/>
      <c r="L33" s="278"/>
      <c r="M33" s="278"/>
      <c r="N33" s="279">
        <f t="shared" si="3"/>
        <v>0</v>
      </c>
      <c r="O33" s="279"/>
      <c r="P33" s="280"/>
      <c r="Q33" s="281"/>
      <c r="R33" s="281"/>
      <c r="S33" s="320"/>
      <c r="T33" s="319"/>
    </row>
    <row r="34" spans="1:20" s="116" customFormat="1" ht="15">
      <c r="A34" s="311" t="s">
        <v>495</v>
      </c>
      <c r="B34" s="270" t="s">
        <v>305</v>
      </c>
      <c r="C34" s="118" t="s">
        <v>306</v>
      </c>
      <c r="D34" s="283">
        <f t="shared" si="1"/>
        <v>1109250</v>
      </c>
      <c r="E34" s="275">
        <f>367080+5130+8208</f>
        <v>380418</v>
      </c>
      <c r="F34" s="276">
        <f>89023+1770</f>
        <v>90793</v>
      </c>
      <c r="G34" s="276">
        <f>575331+29236+33472</f>
        <v>638039</v>
      </c>
      <c r="H34" s="276"/>
      <c r="I34" s="276"/>
      <c r="J34" s="277">
        <f t="shared" si="2"/>
        <v>1109250</v>
      </c>
      <c r="K34" s="278"/>
      <c r="L34" s="278"/>
      <c r="M34" s="278"/>
      <c r="N34" s="279">
        <f t="shared" si="3"/>
        <v>0</v>
      </c>
      <c r="O34" s="279"/>
      <c r="P34" s="280"/>
      <c r="Q34" s="281"/>
      <c r="R34" s="281"/>
      <c r="S34" s="320"/>
      <c r="T34" s="319"/>
    </row>
    <row r="35" spans="1:20" s="116" customFormat="1" ht="15.75" customHeight="1">
      <c r="A35" s="311" t="s">
        <v>496</v>
      </c>
      <c r="B35" s="270" t="s">
        <v>307</v>
      </c>
      <c r="C35" s="118" t="s">
        <v>308</v>
      </c>
      <c r="D35" s="283">
        <f t="shared" si="1"/>
        <v>234767</v>
      </c>
      <c r="E35" s="275">
        <f>77280+1080+1728</f>
        <v>80088</v>
      </c>
      <c r="F35" s="276">
        <f>18742+267+106</f>
        <v>19115</v>
      </c>
      <c r="G35" s="276">
        <f>132853+2711</f>
        <v>135564</v>
      </c>
      <c r="H35" s="276"/>
      <c r="I35" s="276"/>
      <c r="J35" s="277">
        <f t="shared" si="2"/>
        <v>234767</v>
      </c>
      <c r="K35" s="278"/>
      <c r="L35" s="278"/>
      <c r="M35" s="278"/>
      <c r="N35" s="279">
        <f t="shared" si="3"/>
        <v>0</v>
      </c>
      <c r="O35" s="279"/>
      <c r="P35" s="280"/>
      <c r="Q35" s="281"/>
      <c r="R35" s="281"/>
      <c r="S35" s="320"/>
      <c r="T35" s="319"/>
    </row>
    <row r="36" spans="1:20" s="116" customFormat="1" ht="15">
      <c r="A36" s="311" t="s">
        <v>497</v>
      </c>
      <c r="B36" s="270" t="s">
        <v>307</v>
      </c>
      <c r="C36" s="120" t="s">
        <v>455</v>
      </c>
      <c r="D36" s="283">
        <f t="shared" si="1"/>
        <v>105544</v>
      </c>
      <c r="E36" s="275">
        <f>38640+540+864</f>
        <v>40044</v>
      </c>
      <c r="F36" s="276">
        <f>9371+185</f>
        <v>9556</v>
      </c>
      <c r="G36" s="276">
        <f>92579-36635</f>
        <v>55944</v>
      </c>
      <c r="H36" s="276"/>
      <c r="I36" s="276"/>
      <c r="J36" s="277">
        <f t="shared" si="2"/>
        <v>105544</v>
      </c>
      <c r="K36" s="278"/>
      <c r="L36" s="278"/>
      <c r="M36" s="278"/>
      <c r="N36" s="279">
        <f t="shared" si="3"/>
        <v>0</v>
      </c>
      <c r="O36" s="279"/>
      <c r="P36" s="280"/>
      <c r="Q36" s="281"/>
      <c r="R36" s="281"/>
      <c r="S36" s="320"/>
      <c r="T36" s="319"/>
    </row>
    <row r="37" spans="1:20" s="116" customFormat="1" ht="30">
      <c r="A37" s="311" t="s">
        <v>498</v>
      </c>
      <c r="B37" s="270">
        <v>104051</v>
      </c>
      <c r="C37" s="118" t="s">
        <v>364</v>
      </c>
      <c r="D37" s="283">
        <f t="shared" si="1"/>
        <v>46400</v>
      </c>
      <c r="E37" s="275"/>
      <c r="F37" s="276"/>
      <c r="G37" s="276"/>
      <c r="H37" s="276">
        <v>46400</v>
      </c>
      <c r="I37" s="276"/>
      <c r="J37" s="277">
        <f t="shared" si="2"/>
        <v>46400</v>
      </c>
      <c r="K37" s="278"/>
      <c r="L37" s="278"/>
      <c r="M37" s="278"/>
      <c r="N37" s="279">
        <f t="shared" si="3"/>
        <v>0</v>
      </c>
      <c r="O37" s="279"/>
      <c r="P37" s="280"/>
      <c r="Q37" s="281"/>
      <c r="R37" s="281"/>
      <c r="S37" s="320"/>
      <c r="T37" s="319"/>
    </row>
    <row r="38" spans="1:20" s="116" customFormat="1" ht="30">
      <c r="A38" s="311" t="s">
        <v>499</v>
      </c>
      <c r="B38" s="270">
        <v>106020</v>
      </c>
      <c r="C38" s="118" t="s">
        <v>225</v>
      </c>
      <c r="D38" s="283">
        <f t="shared" si="1"/>
        <v>0</v>
      </c>
      <c r="E38" s="275"/>
      <c r="F38" s="276"/>
      <c r="G38" s="276"/>
      <c r="H38" s="276">
        <f>300000-300000</f>
        <v>0</v>
      </c>
      <c r="I38" s="276"/>
      <c r="J38" s="277">
        <f t="shared" si="2"/>
        <v>0</v>
      </c>
      <c r="K38" s="278"/>
      <c r="L38" s="278"/>
      <c r="M38" s="278"/>
      <c r="N38" s="279">
        <f t="shared" si="3"/>
        <v>0</v>
      </c>
      <c r="O38" s="279"/>
      <c r="P38" s="280"/>
      <c r="Q38" s="281"/>
      <c r="R38" s="281"/>
      <c r="S38" s="320"/>
      <c r="T38" s="319"/>
    </row>
    <row r="39" spans="1:20" s="116" customFormat="1" ht="15">
      <c r="A39" s="311" t="s">
        <v>500</v>
      </c>
      <c r="B39" s="270" t="s">
        <v>226</v>
      </c>
      <c r="C39" s="120" t="s">
        <v>362</v>
      </c>
      <c r="D39" s="283">
        <f t="shared" si="1"/>
        <v>478705</v>
      </c>
      <c r="E39" s="275">
        <f>161000+2250+3600</f>
        <v>166850</v>
      </c>
      <c r="F39" s="276">
        <f>39045+777</f>
        <v>39822</v>
      </c>
      <c r="G39" s="276">
        <f>302046-30013</f>
        <v>272033</v>
      </c>
      <c r="H39" s="276"/>
      <c r="I39" s="276"/>
      <c r="J39" s="277">
        <f t="shared" si="2"/>
        <v>478705</v>
      </c>
      <c r="K39" s="278"/>
      <c r="L39" s="278"/>
      <c r="M39" s="278"/>
      <c r="N39" s="279">
        <f t="shared" si="3"/>
        <v>0</v>
      </c>
      <c r="O39" s="279"/>
      <c r="P39" s="280"/>
      <c r="Q39" s="281"/>
      <c r="R39" s="281"/>
      <c r="S39" s="320"/>
      <c r="T39" s="319"/>
    </row>
    <row r="40" spans="1:20" s="116" customFormat="1" ht="15">
      <c r="A40" s="311" t="s">
        <v>501</v>
      </c>
      <c r="B40" s="270">
        <v>107052</v>
      </c>
      <c r="C40" s="121" t="s">
        <v>227</v>
      </c>
      <c r="D40" s="283">
        <f t="shared" si="1"/>
        <v>662230</v>
      </c>
      <c r="E40" s="275"/>
      <c r="F40" s="276"/>
      <c r="G40" s="276">
        <f>662230-600000</f>
        <v>62230</v>
      </c>
      <c r="H40" s="276"/>
      <c r="I40" s="276">
        <v>600000</v>
      </c>
      <c r="J40" s="277">
        <f t="shared" si="2"/>
        <v>662230</v>
      </c>
      <c r="K40" s="278"/>
      <c r="L40" s="278"/>
      <c r="M40" s="278"/>
      <c r="N40" s="279">
        <f t="shared" si="3"/>
        <v>0</v>
      </c>
      <c r="O40" s="279"/>
      <c r="P40" s="280"/>
      <c r="Q40" s="281"/>
      <c r="R40" s="281"/>
      <c r="S40" s="320"/>
      <c r="T40" s="319"/>
    </row>
    <row r="41" spans="1:20" s="116" customFormat="1" ht="27.75" customHeight="1" thickBot="1">
      <c r="A41" s="311" t="s">
        <v>539</v>
      </c>
      <c r="B41" s="270">
        <v>107060</v>
      </c>
      <c r="C41" s="118" t="s">
        <v>228</v>
      </c>
      <c r="D41" s="283">
        <f t="shared" si="1"/>
        <v>2815000</v>
      </c>
      <c r="E41" s="275"/>
      <c r="F41" s="276"/>
      <c r="G41" s="276"/>
      <c r="H41" s="276">
        <f>2715000+300000-80000-120000</f>
        <v>2815000</v>
      </c>
      <c r="I41" s="276"/>
      <c r="J41" s="277">
        <f t="shared" si="2"/>
        <v>2815000</v>
      </c>
      <c r="K41" s="278"/>
      <c r="L41" s="278"/>
      <c r="M41" s="278"/>
      <c r="N41" s="279">
        <f t="shared" si="3"/>
        <v>0</v>
      </c>
      <c r="O41" s="279"/>
      <c r="P41" s="280"/>
      <c r="Q41" s="281"/>
      <c r="R41" s="281"/>
      <c r="S41" s="316"/>
      <c r="T41" s="319"/>
    </row>
    <row r="42" spans="1:20" ht="15" thickBot="1">
      <c r="A42" s="312" t="s">
        <v>575</v>
      </c>
      <c r="B42" s="310"/>
      <c r="C42" s="164" t="s">
        <v>565</v>
      </c>
      <c r="D42" s="282">
        <f aca="true" t="shared" si="4" ref="D42:O42">SUM(D14:D41)</f>
        <v>110849998</v>
      </c>
      <c r="E42" s="282">
        <f t="shared" si="4"/>
        <v>17322684</v>
      </c>
      <c r="F42" s="282">
        <f t="shared" si="4"/>
        <v>3932797</v>
      </c>
      <c r="G42" s="282">
        <f t="shared" si="4"/>
        <v>23306498</v>
      </c>
      <c r="H42" s="282">
        <f t="shared" si="4"/>
        <v>2911400</v>
      </c>
      <c r="I42" s="282">
        <f t="shared" si="4"/>
        <v>48472851</v>
      </c>
      <c r="J42" s="282">
        <f t="shared" si="4"/>
        <v>95946230</v>
      </c>
      <c r="K42" s="282">
        <f t="shared" si="4"/>
        <v>2462559</v>
      </c>
      <c r="L42" s="282">
        <f t="shared" si="4"/>
        <v>10120000</v>
      </c>
      <c r="M42" s="282">
        <f t="shared" si="4"/>
        <v>1200000</v>
      </c>
      <c r="N42" s="282">
        <f t="shared" si="4"/>
        <v>13782559</v>
      </c>
      <c r="O42" s="282">
        <f t="shared" si="4"/>
        <v>1121209</v>
      </c>
      <c r="P42" s="282"/>
      <c r="Q42" s="282"/>
      <c r="R42" s="282">
        <f>SUM(R14:R41)</f>
        <v>1121209</v>
      </c>
      <c r="S42" s="321">
        <f>SUM(S14:S41)</f>
        <v>1.75</v>
      </c>
      <c r="T42" s="321">
        <f>SUM(T14:T41)</f>
        <v>1.75</v>
      </c>
    </row>
    <row r="43" spans="1:20" ht="15">
      <c r="A43" s="312" t="s">
        <v>574</v>
      </c>
      <c r="B43" s="309" t="s">
        <v>305</v>
      </c>
      <c r="C43" s="118" t="s">
        <v>306</v>
      </c>
      <c r="D43" s="283">
        <f>J43+N43+P43+Q43</f>
        <v>5593484</v>
      </c>
      <c r="E43" s="275">
        <f>1918740+103455</f>
        <v>2022195</v>
      </c>
      <c r="F43" s="276">
        <v>427983</v>
      </c>
      <c r="G43" s="276">
        <v>3091490</v>
      </c>
      <c r="H43" s="276"/>
      <c r="I43" s="276"/>
      <c r="J43" s="277">
        <f>SUM(E43:I43)</f>
        <v>5541668</v>
      </c>
      <c r="K43" s="278">
        <v>51816</v>
      </c>
      <c r="L43" s="278"/>
      <c r="M43" s="278"/>
      <c r="N43" s="279">
        <f>SUM(K43:M43)</f>
        <v>51816</v>
      </c>
      <c r="O43" s="279"/>
      <c r="P43" s="280"/>
      <c r="Q43" s="281"/>
      <c r="R43" s="281"/>
      <c r="S43" s="320">
        <v>2</v>
      </c>
      <c r="T43" s="319">
        <v>2</v>
      </c>
    </row>
    <row r="44" spans="1:20" ht="30">
      <c r="A44" s="312" t="s">
        <v>573</v>
      </c>
      <c r="B44" s="270" t="s">
        <v>307</v>
      </c>
      <c r="C44" s="118" t="s">
        <v>308</v>
      </c>
      <c r="D44" s="283">
        <f>J44+N44+P44+Q44</f>
        <v>1111781</v>
      </c>
      <c r="E44" s="275">
        <f>370920+21780</f>
        <v>392700</v>
      </c>
      <c r="F44" s="276">
        <v>82632</v>
      </c>
      <c r="G44" s="276">
        <v>627305</v>
      </c>
      <c r="H44" s="276"/>
      <c r="I44" s="276"/>
      <c r="J44" s="277">
        <f>SUM(E44:I44)</f>
        <v>1102637</v>
      </c>
      <c r="K44" s="278">
        <v>9144</v>
      </c>
      <c r="L44" s="278"/>
      <c r="M44" s="278"/>
      <c r="N44" s="279">
        <f>SUM(K44:M44)</f>
        <v>9144</v>
      </c>
      <c r="O44" s="279"/>
      <c r="P44" s="280"/>
      <c r="Q44" s="281"/>
      <c r="R44" s="281"/>
      <c r="S44" s="320"/>
      <c r="T44" s="319"/>
    </row>
    <row r="45" spans="1:20" ht="15">
      <c r="A45" s="312" t="s">
        <v>572</v>
      </c>
      <c r="B45" s="270" t="s">
        <v>363</v>
      </c>
      <c r="C45" s="120" t="s">
        <v>455</v>
      </c>
      <c r="D45" s="283">
        <f>J45+N45+P45+Q45</f>
        <v>1570406</v>
      </c>
      <c r="E45" s="275">
        <f>499200+10890</f>
        <v>510090</v>
      </c>
      <c r="F45" s="276">
        <v>112278</v>
      </c>
      <c r="G45" s="276">
        <v>934830</v>
      </c>
      <c r="H45" s="276"/>
      <c r="I45" s="276"/>
      <c r="J45" s="277">
        <f>SUM(E45:I45)</f>
        <v>1557198</v>
      </c>
      <c r="K45" s="278">
        <v>13208</v>
      </c>
      <c r="L45" s="278"/>
      <c r="M45" s="278"/>
      <c r="N45" s="279">
        <f>SUM(K45:M45)</f>
        <v>13208</v>
      </c>
      <c r="O45" s="279"/>
      <c r="P45" s="280"/>
      <c r="Q45" s="281"/>
      <c r="R45" s="281"/>
      <c r="S45" s="320"/>
      <c r="T45" s="319"/>
    </row>
    <row r="46" spans="1:20" ht="15.75" thickBot="1">
      <c r="A46" s="312" t="s">
        <v>571</v>
      </c>
      <c r="B46" s="271" t="s">
        <v>226</v>
      </c>
      <c r="C46" s="357" t="s">
        <v>362</v>
      </c>
      <c r="D46" s="386">
        <f>J46+N46+P46+Q46</f>
        <v>3304237</v>
      </c>
      <c r="E46" s="385">
        <f>1049140+45375</f>
        <v>1094515</v>
      </c>
      <c r="F46" s="384">
        <v>234665</v>
      </c>
      <c r="G46" s="384">
        <v>1948387</v>
      </c>
      <c r="H46" s="384"/>
      <c r="I46" s="384"/>
      <c r="J46" s="383">
        <f>SUM(E46:I46)</f>
        <v>3277567</v>
      </c>
      <c r="K46" s="382">
        <v>26670</v>
      </c>
      <c r="L46" s="382"/>
      <c r="M46" s="382"/>
      <c r="N46" s="381">
        <f>SUM(K46:M46)</f>
        <v>26670</v>
      </c>
      <c r="O46" s="381"/>
      <c r="P46" s="380"/>
      <c r="Q46" s="379"/>
      <c r="R46" s="379"/>
      <c r="S46" s="318">
        <v>1</v>
      </c>
      <c r="T46" s="378">
        <v>1</v>
      </c>
    </row>
    <row r="47" spans="1:20" ht="16.5" customHeight="1" thickBot="1">
      <c r="A47" s="312" t="s">
        <v>570</v>
      </c>
      <c r="B47" s="377"/>
      <c r="C47" s="376" t="s">
        <v>564</v>
      </c>
      <c r="D47" s="375">
        <f>SUM(D43:D46)</f>
        <v>11579908</v>
      </c>
      <c r="E47" s="375">
        <f>SUM(E43:E46)</f>
        <v>4019500</v>
      </c>
      <c r="F47" s="375">
        <f>SUM(F43:F46)</f>
        <v>857558</v>
      </c>
      <c r="G47" s="375">
        <f>SUM(G43:G46)</f>
        <v>6602012</v>
      </c>
      <c r="H47" s="375"/>
      <c r="I47" s="375"/>
      <c r="J47" s="375">
        <f>SUM(J43:J46)</f>
        <v>11479070</v>
      </c>
      <c r="K47" s="375">
        <f>SUM(K43:K46)</f>
        <v>100838</v>
      </c>
      <c r="L47" s="375"/>
      <c r="M47" s="375"/>
      <c r="N47" s="375">
        <f>SUM(N43:N46)</f>
        <v>100838</v>
      </c>
      <c r="O47" s="375"/>
      <c r="P47" s="375"/>
      <c r="Q47" s="375"/>
      <c r="R47" s="375">
        <f>SUM(R43:R46)</f>
        <v>0</v>
      </c>
      <c r="S47" s="374">
        <f>SUM(S43:S46)</f>
        <v>3</v>
      </c>
      <c r="T47" s="374">
        <f>SUM(T43:T46)</f>
        <v>3</v>
      </c>
    </row>
    <row r="48" spans="1:20" ht="15" thickBot="1">
      <c r="A48" s="312" t="s">
        <v>569</v>
      </c>
      <c r="B48" s="377"/>
      <c r="C48" s="376" t="s">
        <v>563</v>
      </c>
      <c r="D48" s="375">
        <f aca="true" t="shared" si="5" ref="D48:O48">D42+D47</f>
        <v>122429906</v>
      </c>
      <c r="E48" s="375">
        <f t="shared" si="5"/>
        <v>21342184</v>
      </c>
      <c r="F48" s="375">
        <f t="shared" si="5"/>
        <v>4790355</v>
      </c>
      <c r="G48" s="375">
        <f t="shared" si="5"/>
        <v>29908510</v>
      </c>
      <c r="H48" s="375">
        <f t="shared" si="5"/>
        <v>2911400</v>
      </c>
      <c r="I48" s="375">
        <f t="shared" si="5"/>
        <v>48472851</v>
      </c>
      <c r="J48" s="375">
        <f t="shared" si="5"/>
        <v>107425300</v>
      </c>
      <c r="K48" s="375">
        <f t="shared" si="5"/>
        <v>2563397</v>
      </c>
      <c r="L48" s="375">
        <f t="shared" si="5"/>
        <v>10120000</v>
      </c>
      <c r="M48" s="375">
        <f t="shared" si="5"/>
        <v>1200000</v>
      </c>
      <c r="N48" s="375">
        <f t="shared" si="5"/>
        <v>13883397</v>
      </c>
      <c r="O48" s="375">
        <f t="shared" si="5"/>
        <v>1121209</v>
      </c>
      <c r="P48" s="375"/>
      <c r="Q48" s="375"/>
      <c r="R48" s="375">
        <f>R42+R47</f>
        <v>1121209</v>
      </c>
      <c r="S48" s="374">
        <f>S42+S47</f>
        <v>4.75</v>
      </c>
      <c r="T48" s="374">
        <f>T42+T47</f>
        <v>4.75</v>
      </c>
    </row>
    <row r="49" ht="12.75">
      <c r="J49" s="373"/>
    </row>
  </sheetData>
  <sheetProtection password="AF00" sheet="1" objects="1" scenarios="1" selectLockedCells="1" selectUnlockedCells="1"/>
  <mergeCells count="33"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O10:R10"/>
    <mergeCell ref="N11:N13"/>
    <mergeCell ref="O11:O13"/>
    <mergeCell ref="E10:J10"/>
    <mergeCell ref="S10:T10"/>
    <mergeCell ref="E11:E13"/>
    <mergeCell ref="H4:K4"/>
    <mergeCell ref="C9:C13"/>
    <mergeCell ref="F11:F13"/>
    <mergeCell ref="B9:B13"/>
    <mergeCell ref="A9:A13"/>
    <mergeCell ref="I11:I13"/>
    <mergeCell ref="D9:D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161" customWidth="1"/>
    <col min="2" max="2" width="9.125" style="161" customWidth="1"/>
    <col min="3" max="3" width="63.125" style="161" customWidth="1"/>
    <col min="4" max="4" width="24.00390625" style="161" customWidth="1"/>
    <col min="5" max="7" width="26.25390625" style="161" customWidth="1"/>
    <col min="8" max="16384" width="9.125" style="161" customWidth="1"/>
  </cols>
  <sheetData>
    <row r="1" spans="1:7" ht="15.75">
      <c r="A1" s="564" t="s">
        <v>578</v>
      </c>
      <c r="B1" s="515"/>
      <c r="C1" s="515"/>
      <c r="D1" s="515"/>
      <c r="E1" s="515"/>
      <c r="F1" s="515"/>
      <c r="G1" s="515"/>
    </row>
    <row r="2" spans="2:7" s="157" customFormat="1" ht="15.75">
      <c r="B2" s="564"/>
      <c r="C2" s="564"/>
      <c r="D2" s="564"/>
      <c r="E2" s="564"/>
      <c r="F2" s="564"/>
      <c r="G2" s="564"/>
    </row>
    <row r="3" spans="2:7" s="72" customFormat="1" ht="15" customHeight="1">
      <c r="B3" s="565"/>
      <c r="C3" s="565"/>
      <c r="D3" s="565"/>
      <c r="E3" s="565"/>
      <c r="F3" s="565"/>
      <c r="G3" s="565"/>
    </row>
    <row r="4" spans="4:7" s="159" customFormat="1" ht="15" customHeight="1">
      <c r="D4" s="542"/>
      <c r="E4" s="617"/>
      <c r="F4" s="412"/>
      <c r="G4" s="412"/>
    </row>
    <row r="5" spans="3:7" s="125" customFormat="1" ht="15" customHeight="1">
      <c r="C5" s="542" t="s">
        <v>41</v>
      </c>
      <c r="D5" s="542"/>
      <c r="E5" s="542"/>
      <c r="F5" s="542"/>
      <c r="G5" s="542"/>
    </row>
    <row r="6" spans="3:7" s="125" customFormat="1" ht="15.75">
      <c r="C6" s="563" t="s">
        <v>314</v>
      </c>
      <c r="D6" s="563"/>
      <c r="E6" s="563"/>
      <c r="F6" s="563"/>
      <c r="G6" s="563"/>
    </row>
    <row r="7" spans="3:7" s="125" customFormat="1" ht="15" customHeight="1">
      <c r="C7" s="542" t="s">
        <v>480</v>
      </c>
      <c r="D7" s="542"/>
      <c r="E7" s="542"/>
      <c r="F7" s="542"/>
      <c r="G7" s="542"/>
    </row>
    <row r="8" spans="3:7" s="157" customFormat="1" ht="12" customHeight="1" thickBot="1">
      <c r="C8" s="158"/>
      <c r="D8" s="160"/>
      <c r="E8" s="371"/>
      <c r="F8" s="371"/>
      <c r="G8" s="370"/>
    </row>
    <row r="9" spans="1:7" s="157" customFormat="1" ht="19.5" customHeight="1" thickBot="1">
      <c r="A9" s="610" t="s">
        <v>502</v>
      </c>
      <c r="B9" s="612" t="s">
        <v>184</v>
      </c>
      <c r="C9" s="549" t="s">
        <v>185</v>
      </c>
      <c r="D9" s="552" t="s">
        <v>315</v>
      </c>
      <c r="E9" s="555" t="s">
        <v>298</v>
      </c>
      <c r="F9" s="555"/>
      <c r="G9" s="556"/>
    </row>
    <row r="10" spans="1:7" s="157" customFormat="1" ht="33" customHeight="1" thickBot="1">
      <c r="A10" s="611"/>
      <c r="B10" s="613"/>
      <c r="C10" s="550"/>
      <c r="D10" s="553"/>
      <c r="E10" s="367" t="s">
        <v>299</v>
      </c>
      <c r="F10" s="369" t="s">
        <v>300</v>
      </c>
      <c r="G10" s="368" t="s">
        <v>301</v>
      </c>
    </row>
    <row r="11" spans="1:7" s="157" customFormat="1" ht="22.5" customHeight="1">
      <c r="A11" s="611"/>
      <c r="B11" s="613"/>
      <c r="C11" s="550"/>
      <c r="D11" s="553"/>
      <c r="E11" s="557" t="s">
        <v>302</v>
      </c>
      <c r="F11" s="558"/>
      <c r="G11" s="559"/>
    </row>
    <row r="12" spans="1:7" ht="13.5" thickBot="1">
      <c r="A12" s="611"/>
      <c r="B12" s="613"/>
      <c r="C12" s="550"/>
      <c r="D12" s="553"/>
      <c r="E12" s="614"/>
      <c r="F12" s="615"/>
      <c r="G12" s="616"/>
    </row>
    <row r="13" spans="1:7" ht="30">
      <c r="A13" s="362" t="s">
        <v>44</v>
      </c>
      <c r="B13" s="361" t="s">
        <v>201</v>
      </c>
      <c r="C13" s="411" t="s">
        <v>202</v>
      </c>
      <c r="D13" s="410">
        <f aca="true" t="shared" si="0" ref="D13:D40">SUM(E13:G13)</f>
        <v>62521510</v>
      </c>
      <c r="E13" s="409">
        <f>95000+1221000+9400+4687100+1640303+703065+246045+900000+294270+2234787+3583240+101600+444000+97680+143179+64122+89764+38415438+5185082+115989+806700+65080-1181000-606235-120000-499999+120000-190000-287259+66664+46922+64999+120000-7855</f>
        <v>58669081</v>
      </c>
      <c r="F13" s="408">
        <f>30000+1874800+450000+4956+182080+5310+101156+278800-1+2250+840000+80000+3078</f>
        <v>3852429</v>
      </c>
      <c r="G13" s="407"/>
    </row>
    <row r="14" spans="1:7" ht="15">
      <c r="A14" s="274" t="s">
        <v>27</v>
      </c>
      <c r="B14" s="294" t="s">
        <v>203</v>
      </c>
      <c r="C14" s="295" t="s">
        <v>36</v>
      </c>
      <c r="D14" s="406">
        <f t="shared" si="0"/>
        <v>64340</v>
      </c>
      <c r="E14" s="405">
        <v>64340</v>
      </c>
      <c r="F14" s="366"/>
      <c r="G14" s="365"/>
    </row>
    <row r="15" spans="1:7" ht="15">
      <c r="A15" s="273" t="s">
        <v>45</v>
      </c>
      <c r="B15" s="270" t="s">
        <v>204</v>
      </c>
      <c r="C15" s="118" t="s">
        <v>205</v>
      </c>
      <c r="D15" s="391">
        <f t="shared" si="0"/>
        <v>1545790</v>
      </c>
      <c r="E15" s="404">
        <f>244790+120000</f>
        <v>364790</v>
      </c>
      <c r="F15" s="360">
        <v>1181000</v>
      </c>
      <c r="G15" s="359"/>
    </row>
    <row r="16" spans="1:7" ht="15">
      <c r="A16" s="273" t="s">
        <v>105</v>
      </c>
      <c r="B16" s="270" t="s">
        <v>303</v>
      </c>
      <c r="C16" s="118" t="s">
        <v>304</v>
      </c>
      <c r="D16" s="391">
        <f t="shared" si="0"/>
        <v>1121209</v>
      </c>
      <c r="E16" s="404">
        <v>1121209</v>
      </c>
      <c r="F16" s="360"/>
      <c r="G16" s="359"/>
    </row>
    <row r="17" spans="1:7" ht="15">
      <c r="A17" s="273" t="s">
        <v>106</v>
      </c>
      <c r="B17" s="270" t="s">
        <v>567</v>
      </c>
      <c r="C17" s="118" t="s">
        <v>566</v>
      </c>
      <c r="D17" s="391">
        <f t="shared" si="0"/>
        <v>1517660</v>
      </c>
      <c r="E17" s="404">
        <f>722670+501752+287259+5979</f>
        <v>1517660</v>
      </c>
      <c r="F17" s="360"/>
      <c r="G17" s="359"/>
    </row>
    <row r="18" spans="1:7" ht="15">
      <c r="A18" s="273" t="s">
        <v>106</v>
      </c>
      <c r="B18" s="119" t="s">
        <v>491</v>
      </c>
      <c r="C18" s="118" t="s">
        <v>492</v>
      </c>
      <c r="D18" s="391">
        <f t="shared" si="0"/>
        <v>11106234</v>
      </c>
      <c r="E18" s="404">
        <f>10000000+499999+606235</f>
        <v>11106234</v>
      </c>
      <c r="F18" s="360"/>
      <c r="G18" s="359"/>
    </row>
    <row r="19" spans="1:7" ht="27" customHeight="1">
      <c r="A19" s="273" t="s">
        <v>112</v>
      </c>
      <c r="B19" s="270" t="s">
        <v>206</v>
      </c>
      <c r="C19" s="118" t="s">
        <v>207</v>
      </c>
      <c r="D19" s="391">
        <f t="shared" si="0"/>
        <v>26670</v>
      </c>
      <c r="E19" s="404">
        <v>26670</v>
      </c>
      <c r="F19" s="360"/>
      <c r="G19" s="359"/>
    </row>
    <row r="20" spans="1:7" ht="15">
      <c r="A20" s="273" t="s">
        <v>248</v>
      </c>
      <c r="B20" s="270" t="s">
        <v>456</v>
      </c>
      <c r="C20" s="118" t="s">
        <v>457</v>
      </c>
      <c r="D20" s="391">
        <f t="shared" si="0"/>
        <v>19050</v>
      </c>
      <c r="E20" s="300">
        <v>19050</v>
      </c>
      <c r="F20" s="124"/>
      <c r="G20" s="296"/>
    </row>
    <row r="21" spans="1:7" ht="15">
      <c r="A21" s="273" t="s">
        <v>250</v>
      </c>
      <c r="B21" s="270" t="s">
        <v>208</v>
      </c>
      <c r="C21" s="118" t="s">
        <v>209</v>
      </c>
      <c r="D21" s="391">
        <f t="shared" si="0"/>
        <v>6312694</v>
      </c>
      <c r="E21" s="404">
        <v>6312694</v>
      </c>
      <c r="F21" s="360"/>
      <c r="G21" s="359"/>
    </row>
    <row r="22" spans="1:7" ht="15">
      <c r="A22" s="273" t="s">
        <v>252</v>
      </c>
      <c r="B22" s="270" t="s">
        <v>210</v>
      </c>
      <c r="C22" s="118" t="s">
        <v>211</v>
      </c>
      <c r="D22" s="391">
        <f t="shared" si="0"/>
        <v>360000</v>
      </c>
      <c r="E22" s="404"/>
      <c r="F22" s="360">
        <f>1200000-840000</f>
        <v>360000</v>
      </c>
      <c r="G22" s="359"/>
    </row>
    <row r="23" spans="1:7" ht="15">
      <c r="A23" s="273" t="s">
        <v>259</v>
      </c>
      <c r="B23" s="270" t="s">
        <v>212</v>
      </c>
      <c r="C23" s="118" t="s">
        <v>213</v>
      </c>
      <c r="D23" s="391">
        <f t="shared" si="0"/>
        <v>1899920</v>
      </c>
      <c r="E23" s="404">
        <v>1899920</v>
      </c>
      <c r="F23" s="360"/>
      <c r="G23" s="359"/>
    </row>
    <row r="24" spans="1:7" ht="15">
      <c r="A24" s="273" t="s">
        <v>261</v>
      </c>
      <c r="B24" s="270" t="s">
        <v>214</v>
      </c>
      <c r="C24" s="118" t="s">
        <v>215</v>
      </c>
      <c r="D24" s="391">
        <f t="shared" si="0"/>
        <v>635000</v>
      </c>
      <c r="E24" s="404">
        <v>635000</v>
      </c>
      <c r="F24" s="360"/>
      <c r="G24" s="359"/>
    </row>
    <row r="25" spans="1:7" ht="15">
      <c r="A25" s="273" t="s">
        <v>263</v>
      </c>
      <c r="B25" s="270" t="s">
        <v>216</v>
      </c>
      <c r="C25" s="118" t="s">
        <v>217</v>
      </c>
      <c r="D25" s="391">
        <f t="shared" si="0"/>
        <v>3244436</v>
      </c>
      <c r="E25" s="404">
        <f>1953606+290830+1000000</f>
        <v>3244436</v>
      </c>
      <c r="F25" s="360"/>
      <c r="G25" s="359"/>
    </row>
    <row r="26" spans="1:7" ht="15">
      <c r="A26" s="273" t="s">
        <v>268</v>
      </c>
      <c r="B26" s="270" t="s">
        <v>218</v>
      </c>
      <c r="C26" s="118" t="s">
        <v>34</v>
      </c>
      <c r="D26" s="391">
        <f t="shared" si="0"/>
        <v>9744490</v>
      </c>
      <c r="E26" s="404">
        <v>9744490</v>
      </c>
      <c r="F26" s="360"/>
      <c r="G26" s="359"/>
    </row>
    <row r="27" spans="1:7" ht="15">
      <c r="A27" s="273" t="s">
        <v>270</v>
      </c>
      <c r="B27" s="270" t="s">
        <v>219</v>
      </c>
      <c r="C27" s="118" t="s">
        <v>220</v>
      </c>
      <c r="D27" s="391">
        <f t="shared" si="0"/>
        <v>675000</v>
      </c>
      <c r="E27" s="404">
        <v>675000</v>
      </c>
      <c r="F27" s="360"/>
      <c r="G27" s="359"/>
    </row>
    <row r="28" spans="1:7" ht="15">
      <c r="A28" s="273" t="s">
        <v>272</v>
      </c>
      <c r="B28" s="270" t="s">
        <v>221</v>
      </c>
      <c r="C28" s="118" t="s">
        <v>37</v>
      </c>
      <c r="D28" s="391">
        <f t="shared" si="0"/>
        <v>922013</v>
      </c>
      <c r="E28" s="404">
        <f>526400+117708+82550+179959</f>
        <v>906617</v>
      </c>
      <c r="F28" s="360">
        <f>10800+1784+1912+900</f>
        <v>15396</v>
      </c>
      <c r="G28" s="359"/>
    </row>
    <row r="29" spans="1:7" ht="15">
      <c r="A29" s="273" t="s">
        <v>279</v>
      </c>
      <c r="B29" s="270" t="s">
        <v>451</v>
      </c>
      <c r="C29" s="118" t="s">
        <v>458</v>
      </c>
      <c r="D29" s="391">
        <f t="shared" si="0"/>
        <v>2937376</v>
      </c>
      <c r="E29" s="404">
        <f>789600+1134900+430405+444880+27846+28792</f>
        <v>2856423</v>
      </c>
      <c r="F29" s="360">
        <f>16200+40500+9367+10036+4850</f>
        <v>80953</v>
      </c>
      <c r="G29" s="359"/>
    </row>
    <row r="30" spans="1:7" ht="15">
      <c r="A30" s="273" t="s">
        <v>282</v>
      </c>
      <c r="B30" s="270" t="s">
        <v>459</v>
      </c>
      <c r="C30" s="118" t="s">
        <v>460</v>
      </c>
      <c r="D30" s="391">
        <f t="shared" si="0"/>
        <v>384710</v>
      </c>
      <c r="E30" s="404">
        <v>384710</v>
      </c>
      <c r="F30" s="360"/>
      <c r="G30" s="359"/>
    </row>
    <row r="31" spans="1:7" ht="15">
      <c r="A31" s="273" t="s">
        <v>284</v>
      </c>
      <c r="B31" s="270" t="s">
        <v>222</v>
      </c>
      <c r="C31" s="118" t="s">
        <v>35</v>
      </c>
      <c r="D31" s="391">
        <f t="shared" si="0"/>
        <v>310000</v>
      </c>
      <c r="E31" s="404"/>
      <c r="F31" s="360">
        <f>120000+190000</f>
        <v>310000</v>
      </c>
      <c r="G31" s="359"/>
    </row>
    <row r="32" spans="1:7" ht="15">
      <c r="A32" s="273" t="s">
        <v>356</v>
      </c>
      <c r="B32" s="270" t="s">
        <v>223</v>
      </c>
      <c r="C32" s="118" t="s">
        <v>224</v>
      </c>
      <c r="D32" s="391">
        <f t="shared" si="0"/>
        <v>50000</v>
      </c>
      <c r="E32" s="404"/>
      <c r="F32" s="360">
        <v>50000</v>
      </c>
      <c r="G32" s="359"/>
    </row>
    <row r="33" spans="1:7" ht="15">
      <c r="A33" s="273" t="s">
        <v>358</v>
      </c>
      <c r="B33" s="270" t="s">
        <v>305</v>
      </c>
      <c r="C33" s="118" t="s">
        <v>306</v>
      </c>
      <c r="D33" s="391">
        <f t="shared" si="0"/>
        <v>1109250</v>
      </c>
      <c r="E33" s="404">
        <f>2230740+498158+3738298+51816-5561506+73928+8208+64478</f>
        <v>1104120</v>
      </c>
      <c r="F33" s="360">
        <f>55080+9099+9749-73928+5130</f>
        <v>5130</v>
      </c>
      <c r="G33" s="359"/>
    </row>
    <row r="34" spans="1:7" ht="15">
      <c r="A34" s="273" t="s">
        <v>495</v>
      </c>
      <c r="B34" s="270" t="s">
        <v>307</v>
      </c>
      <c r="C34" s="118" t="s">
        <v>308</v>
      </c>
      <c r="D34" s="391">
        <f t="shared" si="0"/>
        <v>234767</v>
      </c>
      <c r="E34" s="404"/>
      <c r="F34" s="360">
        <f>1332680-1103805+1080+1728+3084</f>
        <v>234767</v>
      </c>
      <c r="G34" s="359"/>
    </row>
    <row r="35" spans="1:7" ht="15">
      <c r="A35" s="273" t="s">
        <v>496</v>
      </c>
      <c r="B35" s="270" t="s">
        <v>307</v>
      </c>
      <c r="C35" s="118" t="s">
        <v>461</v>
      </c>
      <c r="D35" s="391">
        <f t="shared" si="0"/>
        <v>105544</v>
      </c>
      <c r="E35" s="404"/>
      <c r="F35" s="360">
        <f>1718831-1578241+540+864-36450</f>
        <v>105544</v>
      </c>
      <c r="G35" s="359"/>
    </row>
    <row r="36" spans="1:7" ht="15">
      <c r="A36" s="273" t="s">
        <v>497</v>
      </c>
      <c r="B36" s="270">
        <v>104051</v>
      </c>
      <c r="C36" s="121" t="s">
        <v>364</v>
      </c>
      <c r="D36" s="391">
        <f t="shared" si="0"/>
        <v>46400</v>
      </c>
      <c r="E36" s="404"/>
      <c r="F36" s="360"/>
      <c r="G36" s="359">
        <v>46400</v>
      </c>
    </row>
    <row r="37" spans="1:7" ht="15">
      <c r="A37" s="273" t="s">
        <v>498</v>
      </c>
      <c r="B37" s="270">
        <v>106020</v>
      </c>
      <c r="C37" s="118" t="s">
        <v>225</v>
      </c>
      <c r="D37" s="391">
        <f t="shared" si="0"/>
        <v>0</v>
      </c>
      <c r="E37" s="404">
        <f>300000-300000</f>
        <v>0</v>
      </c>
      <c r="F37" s="360"/>
      <c r="G37" s="359"/>
    </row>
    <row r="38" spans="1:14" ht="15">
      <c r="A38" s="273" t="s">
        <v>499</v>
      </c>
      <c r="B38" s="270" t="s">
        <v>226</v>
      </c>
      <c r="C38" s="298" t="s">
        <v>362</v>
      </c>
      <c r="D38" s="391">
        <f t="shared" si="0"/>
        <v>478705</v>
      </c>
      <c r="E38" s="404">
        <f>1180980+263731+2289606+26670-3258896+3600-29236</f>
        <v>476455</v>
      </c>
      <c r="F38" s="360">
        <v>2250</v>
      </c>
      <c r="G38" s="359"/>
      <c r="H38" s="256"/>
      <c r="I38" s="256"/>
      <c r="J38" s="256"/>
      <c r="K38" s="256"/>
      <c r="L38" s="256"/>
      <c r="M38" s="256"/>
      <c r="N38" s="256"/>
    </row>
    <row r="39" spans="1:14" ht="15">
      <c r="A39" s="273" t="s">
        <v>500</v>
      </c>
      <c r="B39" s="270">
        <v>107052</v>
      </c>
      <c r="C39" s="121" t="s">
        <v>227</v>
      </c>
      <c r="D39" s="391">
        <f t="shared" si="0"/>
        <v>662230</v>
      </c>
      <c r="E39" s="301">
        <v>662230</v>
      </c>
      <c r="F39" s="124"/>
      <c r="G39" s="296"/>
      <c r="H39" s="257"/>
      <c r="I39" s="257"/>
      <c r="J39" s="258"/>
      <c r="K39" s="259"/>
      <c r="L39" s="259"/>
      <c r="M39" s="259"/>
      <c r="N39" s="258"/>
    </row>
    <row r="40" spans="1:7" ht="15.75" thickBot="1">
      <c r="A40" s="273" t="s">
        <v>501</v>
      </c>
      <c r="B40" s="270">
        <v>107060</v>
      </c>
      <c r="C40" s="118" t="s">
        <v>228</v>
      </c>
      <c r="D40" s="391">
        <f t="shared" si="0"/>
        <v>2815000</v>
      </c>
      <c r="E40" s="404">
        <f>2715000+300000-80000-120000</f>
        <v>2815000</v>
      </c>
      <c r="F40" s="360"/>
      <c r="G40" s="359"/>
    </row>
    <row r="41" spans="1:7" ht="15" customHeight="1" thickBot="1">
      <c r="A41" s="297" t="s">
        <v>539</v>
      </c>
      <c r="B41" s="285"/>
      <c r="C41" s="164" t="s">
        <v>565</v>
      </c>
      <c r="D41" s="363">
        <f>SUM(D13:D40)</f>
        <v>110849998</v>
      </c>
      <c r="E41" s="403">
        <f>SUM(E13:E40)</f>
        <v>104606129</v>
      </c>
      <c r="F41" s="402">
        <f>SUM(F13:F40)</f>
        <v>6197469</v>
      </c>
      <c r="G41" s="402">
        <f>SUM(G13:G40)</f>
        <v>46400</v>
      </c>
    </row>
    <row r="42" spans="1:7" ht="15">
      <c r="A42" s="312" t="s">
        <v>575</v>
      </c>
      <c r="B42" s="309" t="s">
        <v>305</v>
      </c>
      <c r="C42" s="118" t="s">
        <v>306</v>
      </c>
      <c r="D42" s="391">
        <f>SUM(E42:G42)</f>
        <v>5593484</v>
      </c>
      <c r="E42" s="401">
        <f>5490029-73928+103455</f>
        <v>5519556</v>
      </c>
      <c r="F42" s="400">
        <v>73928</v>
      </c>
      <c r="G42" s="399"/>
    </row>
    <row r="43" spans="1:7" ht="15">
      <c r="A43" s="312" t="s">
        <v>574</v>
      </c>
      <c r="B43" s="270" t="s">
        <v>307</v>
      </c>
      <c r="C43" s="118" t="s">
        <v>308</v>
      </c>
      <c r="D43" s="391">
        <f>SUM(E43:G43)</f>
        <v>1111781</v>
      </c>
      <c r="E43" s="398"/>
      <c r="F43" s="397">
        <f>1090001+21780</f>
        <v>1111781</v>
      </c>
      <c r="G43" s="396"/>
    </row>
    <row r="44" spans="1:7" ht="15">
      <c r="A44" s="312" t="s">
        <v>573</v>
      </c>
      <c r="B44" s="270" t="s">
        <v>363</v>
      </c>
      <c r="C44" s="298" t="s">
        <v>455</v>
      </c>
      <c r="D44" s="391">
        <f>SUM(E44:G44)</f>
        <v>1570406</v>
      </c>
      <c r="E44" s="395"/>
      <c r="F44" s="394">
        <f>1559516+10890</f>
        <v>1570406</v>
      </c>
      <c r="G44" s="393"/>
    </row>
    <row r="45" spans="1:7" ht="15.75" thickBot="1">
      <c r="A45" s="312" t="s">
        <v>572</v>
      </c>
      <c r="B45" s="271" t="s">
        <v>226</v>
      </c>
      <c r="C45" s="392" t="s">
        <v>362</v>
      </c>
      <c r="D45" s="391">
        <f>SUM(E45:G45)</f>
        <v>3304237</v>
      </c>
      <c r="E45" s="390">
        <f>3219734+45375</f>
        <v>3265109</v>
      </c>
      <c r="F45" s="389">
        <v>39128</v>
      </c>
      <c r="G45" s="388"/>
    </row>
    <row r="46" spans="1:7" ht="15" thickBot="1">
      <c r="A46" s="312" t="s">
        <v>571</v>
      </c>
      <c r="B46" s="377"/>
      <c r="C46" s="299" t="s">
        <v>564</v>
      </c>
      <c r="D46" s="352">
        <f>SUM(D42:D45)</f>
        <v>11579908</v>
      </c>
      <c r="E46" s="352">
        <f>SUM(E42:E45)</f>
        <v>8784665</v>
      </c>
      <c r="F46" s="352">
        <f>SUM(F42:F45)</f>
        <v>2795243</v>
      </c>
      <c r="G46" s="352"/>
    </row>
    <row r="47" spans="1:7" ht="15" thickBot="1">
      <c r="A47" s="312" t="s">
        <v>570</v>
      </c>
      <c r="B47" s="377"/>
      <c r="C47" s="299" t="s">
        <v>563</v>
      </c>
      <c r="D47" s="352">
        <f>D41+D46</f>
        <v>122429906</v>
      </c>
      <c r="E47" s="352">
        <f>E41+E46</f>
        <v>113390794</v>
      </c>
      <c r="F47" s="352">
        <f>F41+F46</f>
        <v>8992712</v>
      </c>
      <c r="G47" s="352"/>
    </row>
    <row r="49" ht="12.75">
      <c r="D49" s="387"/>
    </row>
  </sheetData>
  <sheetProtection password="AF00" sheet="1" objects="1" scenarios="1" selectLockedCells="1" selectUnlockedCells="1"/>
  <mergeCells count="13">
    <mergeCell ref="B3:G3"/>
    <mergeCell ref="C5:G5"/>
    <mergeCell ref="A1:G1"/>
    <mergeCell ref="C6:G6"/>
    <mergeCell ref="C7:G7"/>
    <mergeCell ref="B2:G2"/>
    <mergeCell ref="D4:E4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IU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6" ht="15.75">
      <c r="A1" s="564" t="s">
        <v>580</v>
      </c>
      <c r="B1" s="564"/>
      <c r="C1" s="564"/>
      <c r="D1" s="564"/>
      <c r="E1" s="564"/>
      <c r="F1" s="564"/>
    </row>
    <row r="3" spans="1:10" ht="15.75">
      <c r="A3" s="565"/>
      <c r="B3" s="565"/>
      <c r="C3" s="565"/>
      <c r="D3" s="565"/>
      <c r="E3" s="565"/>
      <c r="F3" s="565"/>
      <c r="G3" s="95"/>
      <c r="H3" s="95"/>
      <c r="I3" s="95"/>
      <c r="J3" s="95"/>
    </row>
    <row r="4" spans="1:6" ht="15">
      <c r="A4" s="618"/>
      <c r="B4" s="618"/>
      <c r="C4" s="618"/>
      <c r="D4" s="618"/>
      <c r="E4" s="618"/>
      <c r="F4" s="618"/>
    </row>
    <row r="5" spans="1:6" ht="15">
      <c r="A5" s="618"/>
      <c r="B5" s="618"/>
      <c r="C5" s="618"/>
      <c r="D5" s="618"/>
      <c r="E5" s="618"/>
      <c r="F5" s="618"/>
    </row>
    <row r="6" spans="3:5" ht="12.75" customHeight="1">
      <c r="C6" s="633"/>
      <c r="D6" s="634"/>
      <c r="E6" s="634"/>
    </row>
    <row r="7" spans="1:6" s="21" customFormat="1" ht="15.75">
      <c r="A7" s="619" t="s">
        <v>4</v>
      </c>
      <c r="B7" s="619"/>
      <c r="C7" s="619"/>
      <c r="D7" s="619"/>
      <c r="E7" s="619"/>
      <c r="F7" s="619"/>
    </row>
    <row r="8" spans="1:6" s="21" customFormat="1" ht="15.75">
      <c r="A8" s="619" t="s">
        <v>462</v>
      </c>
      <c r="B8" s="619"/>
      <c r="C8" s="619"/>
      <c r="D8" s="619"/>
      <c r="E8" s="619"/>
      <c r="F8" s="619"/>
    </row>
    <row r="9" spans="1:6" ht="15">
      <c r="A9" s="618" t="s">
        <v>503</v>
      </c>
      <c r="B9" s="618"/>
      <c r="C9" s="618"/>
      <c r="D9" s="618"/>
      <c r="E9" s="618"/>
      <c r="F9" s="618"/>
    </row>
    <row r="10" ht="15">
      <c r="F10" s="122" t="s">
        <v>481</v>
      </c>
    </row>
    <row r="11" spans="1:6" ht="15">
      <c r="A11" s="620" t="s">
        <v>0</v>
      </c>
      <c r="B11" s="621"/>
      <c r="C11" s="621"/>
      <c r="D11" s="621"/>
      <c r="E11" s="622"/>
      <c r="F11" s="629" t="s">
        <v>11</v>
      </c>
    </row>
    <row r="12" spans="1:6" ht="15">
      <c r="A12" s="623"/>
      <c r="B12" s="624"/>
      <c r="C12" s="624"/>
      <c r="D12" s="624"/>
      <c r="E12" s="625"/>
      <c r="F12" s="630"/>
    </row>
    <row r="13" spans="1:6" ht="15">
      <c r="A13" s="626"/>
      <c r="B13" s="627"/>
      <c r="C13" s="627"/>
      <c r="D13" s="627"/>
      <c r="E13" s="628"/>
      <c r="F13" s="631"/>
    </row>
    <row r="14" spans="1:6" ht="15">
      <c r="A14" s="13" t="s">
        <v>229</v>
      </c>
      <c r="E14" s="22"/>
      <c r="F14" s="23"/>
    </row>
    <row r="15" spans="1:2" s="13" customFormat="1" ht="15">
      <c r="A15" s="122"/>
      <c r="B15" s="11"/>
    </row>
    <row r="16" spans="1:5" ht="29.25" customHeight="1">
      <c r="A16" s="122"/>
      <c r="B16" s="527" t="s">
        <v>230</v>
      </c>
      <c r="C16" s="527"/>
      <c r="D16" s="527"/>
      <c r="E16" s="527"/>
    </row>
    <row r="17" spans="1:6" ht="33.75" customHeight="1">
      <c r="A17" s="12" t="s">
        <v>45</v>
      </c>
      <c r="B17" s="632" t="s">
        <v>579</v>
      </c>
      <c r="C17" s="526"/>
      <c r="D17" s="526"/>
      <c r="E17" s="526"/>
      <c r="F17" s="413">
        <v>600000</v>
      </c>
    </row>
    <row r="18" spans="1:6" ht="33.75" customHeight="1">
      <c r="A18" s="13"/>
      <c r="B18" s="527" t="s">
        <v>231</v>
      </c>
      <c r="C18" s="527"/>
      <c r="D18" s="527"/>
      <c r="E18" s="527"/>
      <c r="F18" s="331">
        <f>SUM(F17:F17)</f>
        <v>600000</v>
      </c>
    </row>
    <row r="19" ht="13.5" customHeight="1">
      <c r="F19" s="413"/>
    </row>
    <row r="20" spans="1:6" ht="33" customHeight="1">
      <c r="A20" s="13"/>
      <c r="B20" s="527" t="s">
        <v>232</v>
      </c>
      <c r="C20" s="527"/>
      <c r="D20" s="527"/>
      <c r="E20" s="527"/>
      <c r="F20" s="413"/>
    </row>
    <row r="21" spans="1:6" ht="18.75" customHeight="1">
      <c r="A21" s="123" t="s">
        <v>44</v>
      </c>
      <c r="B21" s="15" t="s">
        <v>79</v>
      </c>
      <c r="F21" s="413">
        <v>69700</v>
      </c>
    </row>
    <row r="22" spans="1:6" ht="13.5" customHeight="1">
      <c r="A22" s="12" t="s">
        <v>27</v>
      </c>
      <c r="B22" s="11" t="s">
        <v>28</v>
      </c>
      <c r="F22" s="413">
        <v>209100</v>
      </c>
    </row>
    <row r="23" spans="1:255" ht="15.75">
      <c r="A23" s="12" t="s">
        <v>45</v>
      </c>
      <c r="B23" s="17" t="s">
        <v>25</v>
      </c>
      <c r="C23" s="17"/>
      <c r="D23" s="17"/>
      <c r="E23" s="17"/>
      <c r="F23" s="413">
        <f>40000+190000</f>
        <v>230000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ht="15.75">
      <c r="A24" s="12" t="s">
        <v>105</v>
      </c>
      <c r="B24" s="17" t="s">
        <v>26</v>
      </c>
      <c r="C24" s="17"/>
      <c r="D24" s="17"/>
      <c r="E24" s="17"/>
      <c r="F24" s="413">
        <v>40000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ht="15.75">
      <c r="A25" s="12" t="s">
        <v>106</v>
      </c>
      <c r="B25" s="17" t="s">
        <v>47</v>
      </c>
      <c r="C25" s="17"/>
      <c r="D25" s="17"/>
      <c r="E25" s="17"/>
      <c r="F25" s="413">
        <v>40000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5.75">
      <c r="A26" s="12" t="s">
        <v>112</v>
      </c>
      <c r="B26" s="17" t="s">
        <v>48</v>
      </c>
      <c r="C26" s="17"/>
      <c r="D26" s="17"/>
      <c r="E26" s="17"/>
      <c r="F26" s="413">
        <v>75000</v>
      </c>
      <c r="G26" s="5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6" ht="13.5" customHeight="1">
      <c r="A27" s="12" t="s">
        <v>248</v>
      </c>
      <c r="B27" s="17" t="s">
        <v>80</v>
      </c>
      <c r="F27" s="413">
        <v>600000</v>
      </c>
    </row>
    <row r="28" spans="1:6" ht="13.5" customHeight="1">
      <c r="A28" s="498" t="s">
        <v>250</v>
      </c>
      <c r="B28" s="11" t="s">
        <v>640</v>
      </c>
      <c r="F28" s="413">
        <v>80000</v>
      </c>
    </row>
    <row r="29" spans="1:8" ht="32.25" customHeight="1">
      <c r="A29" s="13"/>
      <c r="B29" s="527" t="s">
        <v>233</v>
      </c>
      <c r="C29" s="527"/>
      <c r="D29" s="527"/>
      <c r="E29" s="527"/>
      <c r="F29" s="331">
        <f>SUM(F21:F28)</f>
        <v>1343800</v>
      </c>
      <c r="G29" s="16"/>
      <c r="H29" s="16"/>
    </row>
    <row r="30" spans="1:8" ht="12.75" customHeight="1">
      <c r="A30" s="13"/>
      <c r="F30" s="413"/>
      <c r="G30" s="16"/>
      <c r="H30" s="16"/>
    </row>
    <row r="31" spans="1:7" s="18" customFormat="1" ht="15.75">
      <c r="A31" s="13" t="s">
        <v>234</v>
      </c>
      <c r="F31" s="331">
        <f>F29+F18</f>
        <v>1943800</v>
      </c>
      <c r="G31" s="19"/>
    </row>
    <row r="32" spans="1:7" s="18" customFormat="1" ht="15.75">
      <c r="A32" s="13"/>
      <c r="F32" s="331"/>
      <c r="G32" s="19"/>
    </row>
    <row r="33" spans="6:7" s="18" customFormat="1" ht="15.75">
      <c r="F33" s="413"/>
      <c r="G33" s="19"/>
    </row>
    <row r="34" spans="1:6" s="20" customFormat="1" ht="18.75">
      <c r="A34" s="20" t="s">
        <v>7</v>
      </c>
      <c r="F34" s="351">
        <f>F31</f>
        <v>1943800</v>
      </c>
    </row>
  </sheetData>
  <sheetProtection password="AF00" sheet="1" objects="1" scenarios="1" selectLockedCells="1" selectUnlockedCells="1"/>
  <mergeCells count="15">
    <mergeCell ref="A1:F1"/>
    <mergeCell ref="C6:E6"/>
    <mergeCell ref="A3:F3"/>
    <mergeCell ref="A4:F4"/>
    <mergeCell ref="A5:F5"/>
    <mergeCell ref="A7:F7"/>
    <mergeCell ref="A9:F9"/>
    <mergeCell ref="A8:F8"/>
    <mergeCell ref="B20:E20"/>
    <mergeCell ref="B29:E29"/>
    <mergeCell ref="A11:E13"/>
    <mergeCell ref="B16:E16"/>
    <mergeCell ref="B18:E18"/>
    <mergeCell ref="F11:F13"/>
    <mergeCell ref="B17:E1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F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37" customWidth="1"/>
    <col min="2" max="2" width="67.875" style="37" customWidth="1"/>
    <col min="3" max="3" width="18.00390625" style="37" customWidth="1"/>
    <col min="4" max="16384" width="9.125" style="37" customWidth="1"/>
  </cols>
  <sheetData>
    <row r="1" spans="2:4" ht="15.75">
      <c r="B1" s="564" t="s">
        <v>582</v>
      </c>
      <c r="C1" s="564"/>
      <c r="D1" s="95"/>
    </row>
    <row r="2" spans="2:4" ht="15.75">
      <c r="B2" s="325"/>
      <c r="C2" s="325"/>
      <c r="D2" s="95"/>
    </row>
    <row r="3" spans="1:4" ht="15.75">
      <c r="A3" s="565"/>
      <c r="B3" s="565"/>
      <c r="C3" s="96"/>
      <c r="D3" s="95"/>
    </row>
    <row r="4" spans="2:3" ht="15.75" customHeight="1">
      <c r="B4" s="635"/>
      <c r="C4" s="635"/>
    </row>
    <row r="5" spans="1:3" ht="15">
      <c r="A5" s="635"/>
      <c r="B5" s="640"/>
      <c r="C5" s="640"/>
    </row>
    <row r="6" spans="2:3" s="14" customFormat="1" ht="15.75" customHeight="1">
      <c r="B6" s="636" t="s">
        <v>39</v>
      </c>
      <c r="C6" s="636"/>
    </row>
    <row r="7" spans="2:6" s="21" customFormat="1" ht="15.75">
      <c r="B7" s="619" t="s">
        <v>40</v>
      </c>
      <c r="C7" s="619"/>
      <c r="D7" s="49"/>
      <c r="E7" s="49"/>
      <c r="F7" s="49"/>
    </row>
    <row r="8" spans="2:6" s="11" customFormat="1" ht="15">
      <c r="B8" s="618" t="s">
        <v>504</v>
      </c>
      <c r="C8" s="618"/>
      <c r="D8" s="48"/>
      <c r="E8" s="48"/>
      <c r="F8" s="48"/>
    </row>
    <row r="9" ht="15.75" customHeight="1" thickBot="1">
      <c r="C9" s="38"/>
    </row>
    <row r="10" spans="1:3" ht="15" customHeight="1">
      <c r="A10" s="637" t="s">
        <v>487</v>
      </c>
      <c r="B10" s="39"/>
      <c r="C10" s="40" t="s">
        <v>19</v>
      </c>
    </row>
    <row r="11" spans="1:3" ht="15.75" customHeight="1">
      <c r="A11" s="638"/>
      <c r="B11" s="41" t="s">
        <v>0</v>
      </c>
      <c r="C11" s="42"/>
    </row>
    <row r="12" spans="1:3" ht="15.75" thickBot="1">
      <c r="A12" s="639"/>
      <c r="B12" s="43"/>
      <c r="C12" s="44" t="s">
        <v>10</v>
      </c>
    </row>
    <row r="13" ht="11.25" customHeight="1"/>
    <row r="14" ht="11.25" customHeight="1">
      <c r="C14" s="413"/>
    </row>
    <row r="15" spans="1:3" ht="15">
      <c r="A15" s="37" t="s">
        <v>44</v>
      </c>
      <c r="B15" s="45" t="s">
        <v>29</v>
      </c>
      <c r="C15" s="413"/>
    </row>
    <row r="16" spans="2:3" ht="15">
      <c r="B16" s="45" t="s">
        <v>9</v>
      </c>
      <c r="C16" s="413"/>
    </row>
    <row r="17" ht="15" customHeight="1">
      <c r="C17" s="413"/>
    </row>
    <row r="18" spans="1:3" ht="15">
      <c r="A18" s="313" t="s">
        <v>27</v>
      </c>
      <c r="B18" s="37" t="s">
        <v>81</v>
      </c>
      <c r="C18" s="413">
        <v>350000</v>
      </c>
    </row>
    <row r="19" spans="1:3" ht="30">
      <c r="A19" s="313" t="s">
        <v>45</v>
      </c>
      <c r="B19" s="153" t="s">
        <v>365</v>
      </c>
      <c r="C19" s="413">
        <v>300000</v>
      </c>
    </row>
    <row r="20" spans="1:3" ht="15">
      <c r="A20" s="313" t="s">
        <v>105</v>
      </c>
      <c r="B20" s="153" t="s">
        <v>366</v>
      </c>
      <c r="C20" s="413">
        <v>715000</v>
      </c>
    </row>
    <row r="21" spans="1:3" ht="15">
      <c r="A21" s="313" t="s">
        <v>106</v>
      </c>
      <c r="B21" s="153" t="s">
        <v>367</v>
      </c>
      <c r="C21" s="413">
        <v>440000</v>
      </c>
    </row>
    <row r="22" spans="1:3" ht="30">
      <c r="A22" s="313" t="s">
        <v>112</v>
      </c>
      <c r="B22" s="153" t="s">
        <v>368</v>
      </c>
      <c r="C22" s="413">
        <v>46400</v>
      </c>
    </row>
    <row r="23" spans="1:3" ht="15">
      <c r="A23" s="313" t="s">
        <v>248</v>
      </c>
      <c r="B23" s="37" t="s">
        <v>85</v>
      </c>
      <c r="C23" s="413">
        <f>210000-80000-120000</f>
        <v>10000</v>
      </c>
    </row>
    <row r="24" spans="1:3" ht="14.25" customHeight="1">
      <c r="A24" s="313" t="s">
        <v>250</v>
      </c>
      <c r="B24" s="37" t="s">
        <v>464</v>
      </c>
      <c r="C24" s="413">
        <v>1000000</v>
      </c>
    </row>
    <row r="25" spans="1:3" ht="15">
      <c r="A25" s="313" t="s">
        <v>252</v>
      </c>
      <c r="B25" s="45" t="s">
        <v>29</v>
      </c>
      <c r="C25" s="413"/>
    </row>
    <row r="26" spans="1:3" ht="15">
      <c r="A26" s="313"/>
      <c r="B26" s="45" t="s">
        <v>30</v>
      </c>
      <c r="C26" s="331">
        <f>SUM(C18:C25)</f>
        <v>2861400</v>
      </c>
    </row>
    <row r="27" spans="1:3" ht="11.25" customHeight="1">
      <c r="A27" s="313"/>
      <c r="C27" s="413"/>
    </row>
    <row r="28" spans="1:3" ht="15">
      <c r="A28" s="313" t="s">
        <v>259</v>
      </c>
      <c r="B28" s="45" t="s">
        <v>31</v>
      </c>
      <c r="C28" s="331">
        <f>C26</f>
        <v>2861400</v>
      </c>
    </row>
    <row r="29" spans="1:3" ht="15">
      <c r="A29" s="313"/>
      <c r="B29" s="45"/>
      <c r="C29" s="331"/>
    </row>
    <row r="30" spans="1:5" ht="13.5" customHeight="1">
      <c r="A30" s="313" t="s">
        <v>261</v>
      </c>
      <c r="B30" s="14" t="s">
        <v>556</v>
      </c>
      <c r="C30" s="331">
        <v>50000</v>
      </c>
      <c r="D30" s="11"/>
      <c r="E30" s="413"/>
    </row>
    <row r="31" spans="1:5" ht="13.5" customHeight="1">
      <c r="A31" s="313"/>
      <c r="B31" s="14"/>
      <c r="C31" s="14"/>
      <c r="D31" s="11"/>
      <c r="E31" s="413"/>
    </row>
    <row r="32" spans="1:3" s="45" customFormat="1" ht="14.25">
      <c r="A32" s="314" t="s">
        <v>263</v>
      </c>
      <c r="B32" s="45" t="s">
        <v>289</v>
      </c>
      <c r="C32" s="331"/>
    </row>
    <row r="33" spans="1:3" ht="11.25" customHeight="1">
      <c r="A33" s="313"/>
      <c r="C33" s="413"/>
    </row>
    <row r="34" spans="1:3" ht="30" customHeight="1">
      <c r="A34" s="313" t="s">
        <v>268</v>
      </c>
      <c r="B34" s="153" t="s">
        <v>290</v>
      </c>
      <c r="C34" s="413">
        <f>1200000-840000</f>
        <v>360000</v>
      </c>
    </row>
    <row r="35" spans="1:3" ht="39" customHeight="1">
      <c r="A35" s="499" t="s">
        <v>581</v>
      </c>
      <c r="B35" s="153" t="s">
        <v>641</v>
      </c>
      <c r="C35" s="413">
        <v>840000</v>
      </c>
    </row>
    <row r="36" spans="1:3" ht="15">
      <c r="A36" s="313" t="s">
        <v>272</v>
      </c>
      <c r="B36" s="45" t="s">
        <v>291</v>
      </c>
      <c r="C36" s="331">
        <f>C34+C35</f>
        <v>1200000</v>
      </c>
    </row>
    <row r="37" spans="1:3" ht="11.25" customHeight="1">
      <c r="A37" s="313"/>
      <c r="C37" s="413"/>
    </row>
    <row r="38" spans="1:3" s="47" customFormat="1" ht="16.5">
      <c r="A38" s="313" t="s">
        <v>279</v>
      </c>
      <c r="B38" s="46" t="s">
        <v>32</v>
      </c>
      <c r="C38" s="415"/>
    </row>
    <row r="39" spans="1:3" s="47" customFormat="1" ht="16.5">
      <c r="A39" s="315"/>
      <c r="B39" s="46" t="s">
        <v>33</v>
      </c>
      <c r="C39" s="414">
        <f>C28+C36+C30</f>
        <v>4111400</v>
      </c>
    </row>
  </sheetData>
  <sheetProtection password="AF00" sheet="1" objects="1" scenarios="1" selectLockedCells="1" selectUnlockedCells="1"/>
  <mergeCells count="8">
    <mergeCell ref="B8:C8"/>
    <mergeCell ref="B7:C7"/>
    <mergeCell ref="B4:C4"/>
    <mergeCell ref="B6:C6"/>
    <mergeCell ref="B1:C1"/>
    <mergeCell ref="A10:A12"/>
    <mergeCell ref="A3:B3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C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78.00390625" style="0" customWidth="1"/>
    <col min="3" max="3" width="15.75390625" style="0" customWidth="1"/>
  </cols>
  <sheetData>
    <row r="2" spans="1:3" ht="12.75">
      <c r="A2" s="515" t="s">
        <v>653</v>
      </c>
      <c r="B2" s="515"/>
      <c r="C2" s="515"/>
    </row>
    <row r="3" spans="1:3" ht="12.75">
      <c r="A3" s="339"/>
      <c r="B3" s="339"/>
      <c r="C3" s="339"/>
    </row>
    <row r="4" spans="1:2" ht="15.75">
      <c r="A4" s="565"/>
      <c r="B4" s="565"/>
    </row>
    <row r="6" ht="12.75">
      <c r="B6" s="254"/>
    </row>
    <row r="7" ht="12.75">
      <c r="B7" s="490" t="s">
        <v>316</v>
      </c>
    </row>
    <row r="8" ht="12.75">
      <c r="B8" s="490" t="s">
        <v>317</v>
      </c>
    </row>
    <row r="9" spans="2:3" ht="12.75">
      <c r="B9" s="490" t="s">
        <v>480</v>
      </c>
      <c r="C9" s="339" t="s">
        <v>546</v>
      </c>
    </row>
    <row r="10" ht="13.5" thickBot="1">
      <c r="C10" s="511"/>
    </row>
    <row r="11" spans="1:3" ht="12.75">
      <c r="A11" s="641" t="s">
        <v>487</v>
      </c>
      <c r="B11" s="644" t="s">
        <v>652</v>
      </c>
      <c r="C11" s="641" t="s">
        <v>10</v>
      </c>
    </row>
    <row r="12" spans="1:3" ht="12.75">
      <c r="A12" s="642"/>
      <c r="B12" s="645"/>
      <c r="C12" s="647"/>
    </row>
    <row r="13" spans="1:3" ht="13.5" thickBot="1">
      <c r="A13" s="643"/>
      <c r="B13" s="646"/>
      <c r="C13" s="648"/>
    </row>
    <row r="15" spans="1:3" ht="25.5">
      <c r="A15" t="s">
        <v>44</v>
      </c>
      <c r="B15" s="510" t="s">
        <v>547</v>
      </c>
      <c r="C15" s="503">
        <v>80000</v>
      </c>
    </row>
    <row r="16" spans="1:3" ht="12.75">
      <c r="A16" s="505" t="s">
        <v>545</v>
      </c>
      <c r="B16" t="s">
        <v>465</v>
      </c>
      <c r="C16" s="501">
        <v>21600</v>
      </c>
    </row>
    <row r="17" spans="2:3" ht="12.75">
      <c r="B17" t="s">
        <v>319</v>
      </c>
      <c r="C17" s="500">
        <v>101600</v>
      </c>
    </row>
    <row r="18" ht="12.75">
      <c r="B18" s="255" t="s">
        <v>2</v>
      </c>
    </row>
    <row r="20" spans="1:3" ht="12.75">
      <c r="A20" t="s">
        <v>27</v>
      </c>
      <c r="B20" s="504" t="s">
        <v>651</v>
      </c>
      <c r="C20" s="503">
        <v>141700</v>
      </c>
    </row>
    <row r="21" spans="1:3" ht="12.75">
      <c r="A21" s="505" t="s">
        <v>650</v>
      </c>
      <c r="B21" t="s">
        <v>470</v>
      </c>
      <c r="C21" s="501">
        <v>38259</v>
      </c>
    </row>
    <row r="22" spans="2:3" ht="12.75">
      <c r="B22" t="s">
        <v>319</v>
      </c>
      <c r="C22" s="500">
        <v>179959</v>
      </c>
    </row>
    <row r="23" spans="2:3" ht="12.75">
      <c r="B23" s="255" t="s">
        <v>2</v>
      </c>
      <c r="C23" s="503"/>
    </row>
    <row r="24" ht="12.75">
      <c r="B24" s="255"/>
    </row>
    <row r="25" spans="1:3" ht="14.25">
      <c r="A25" t="s">
        <v>45</v>
      </c>
      <c r="B25" s="509" t="s">
        <v>649</v>
      </c>
      <c r="C25" s="503">
        <v>787402</v>
      </c>
    </row>
    <row r="26" spans="1:3" ht="12.75">
      <c r="A26" s="505" t="s">
        <v>648</v>
      </c>
      <c r="B26" s="479" t="s">
        <v>647</v>
      </c>
      <c r="C26" s="501">
        <v>212598</v>
      </c>
    </row>
    <row r="27" spans="2:3" ht="12.75">
      <c r="B27" t="s">
        <v>319</v>
      </c>
      <c r="C27" s="500">
        <f>C25+C26</f>
        <v>1000000</v>
      </c>
    </row>
    <row r="28" spans="2:3" ht="12.75">
      <c r="B28" s="255" t="s">
        <v>2</v>
      </c>
      <c r="C28" s="500"/>
    </row>
    <row r="29" ht="12.75">
      <c r="B29" s="255"/>
    </row>
    <row r="30" spans="1:3" ht="14.25">
      <c r="A30" t="s">
        <v>105</v>
      </c>
      <c r="B30" s="509" t="s">
        <v>646</v>
      </c>
      <c r="C30" s="508">
        <v>1181000</v>
      </c>
    </row>
    <row r="31" spans="1:3" ht="15">
      <c r="A31" s="505" t="s">
        <v>645</v>
      </c>
      <c r="B31" s="295" t="s">
        <v>644</v>
      </c>
      <c r="C31" s="507">
        <v>1181000</v>
      </c>
    </row>
    <row r="32" ht="12.75">
      <c r="B32" s="255" t="s">
        <v>2</v>
      </c>
    </row>
    <row r="33" ht="15">
      <c r="B33" s="295"/>
    </row>
    <row r="34" ht="15">
      <c r="B34" s="295"/>
    </row>
    <row r="35" spans="1:3" ht="12.75">
      <c r="A35" t="s">
        <v>106</v>
      </c>
      <c r="B35" s="506" t="s">
        <v>466</v>
      </c>
      <c r="C35" s="503">
        <v>40800</v>
      </c>
    </row>
    <row r="36" spans="1:3" ht="12.75">
      <c r="A36" s="505" t="s">
        <v>554</v>
      </c>
      <c r="B36" t="s">
        <v>548</v>
      </c>
      <c r="C36" s="501">
        <v>11016</v>
      </c>
    </row>
    <row r="37" spans="2:3" ht="12.75">
      <c r="B37" t="s">
        <v>319</v>
      </c>
      <c r="C37" s="500">
        <v>51816</v>
      </c>
    </row>
    <row r="38" ht="12.75">
      <c r="B38" s="255" t="s">
        <v>2</v>
      </c>
    </row>
    <row r="40" spans="1:3" ht="12.75">
      <c r="A40" t="s">
        <v>112</v>
      </c>
      <c r="B40" s="504" t="s">
        <v>467</v>
      </c>
      <c r="C40" s="503">
        <v>7200</v>
      </c>
    </row>
    <row r="41" spans="1:3" ht="12.75">
      <c r="A41" s="505" t="s">
        <v>555</v>
      </c>
      <c r="B41" t="s">
        <v>548</v>
      </c>
      <c r="C41" s="501">
        <v>1944</v>
      </c>
    </row>
    <row r="42" spans="2:3" ht="12.75">
      <c r="B42" t="s">
        <v>319</v>
      </c>
      <c r="C42" s="500">
        <v>9144</v>
      </c>
    </row>
    <row r="43" ht="12.75">
      <c r="B43" s="255" t="s">
        <v>2</v>
      </c>
    </row>
    <row r="45" spans="1:3" ht="12.75">
      <c r="A45" s="502" t="s">
        <v>248</v>
      </c>
      <c r="B45" s="504" t="s">
        <v>468</v>
      </c>
      <c r="C45" s="503">
        <v>10400</v>
      </c>
    </row>
    <row r="46" spans="1:3" ht="12.75">
      <c r="A46" s="502" t="s">
        <v>643</v>
      </c>
      <c r="B46" t="s">
        <v>548</v>
      </c>
      <c r="C46" s="501">
        <v>2808</v>
      </c>
    </row>
    <row r="47" spans="2:3" ht="12.75">
      <c r="B47" t="s">
        <v>319</v>
      </c>
      <c r="C47" s="500">
        <v>13208</v>
      </c>
    </row>
    <row r="48" ht="12.75">
      <c r="B48" s="255" t="s">
        <v>2</v>
      </c>
    </row>
    <row r="50" spans="1:3" ht="12.75">
      <c r="A50" s="502" t="s">
        <v>250</v>
      </c>
      <c r="B50" s="504" t="s">
        <v>469</v>
      </c>
      <c r="C50" s="503">
        <v>21000</v>
      </c>
    </row>
    <row r="51" spans="1:3" ht="12.75">
      <c r="A51" s="502" t="s">
        <v>642</v>
      </c>
      <c r="B51" t="s">
        <v>548</v>
      </c>
      <c r="C51" s="501">
        <v>5670</v>
      </c>
    </row>
    <row r="52" spans="2:3" ht="12.75">
      <c r="B52" t="s">
        <v>319</v>
      </c>
      <c r="C52" s="500">
        <v>26670</v>
      </c>
    </row>
    <row r="53" ht="12.75">
      <c r="B53" s="255" t="s">
        <v>2</v>
      </c>
    </row>
    <row r="54" ht="12.75">
      <c r="C54" s="500">
        <f>C17+C22+C27+C37+C42+C47+C52+C31</f>
        <v>2563397</v>
      </c>
    </row>
    <row r="55" spans="1:2" ht="12.75">
      <c r="A55" s="255" t="s">
        <v>252</v>
      </c>
      <c r="B55" s="255" t="s">
        <v>320</v>
      </c>
    </row>
  </sheetData>
  <sheetProtection password="AF00" sheet="1" objects="1" scenarios="1" selectLockedCells="1" selectUnlockedCells="1"/>
  <mergeCells count="5">
    <mergeCell ref="A11:A13"/>
    <mergeCell ref="B11:B13"/>
    <mergeCell ref="A2:C2"/>
    <mergeCell ref="A4:B4"/>
    <mergeCell ref="C11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2017-02-10T10:45:04Z</cp:lastPrinted>
  <dcterms:created xsi:type="dcterms:W3CDTF">2002-11-26T17:22:50Z</dcterms:created>
  <dcterms:modified xsi:type="dcterms:W3CDTF">2017-11-22T09:16:20Z</dcterms:modified>
  <cp:category/>
  <cp:version/>
  <cp:contentType/>
  <cp:contentStatus/>
</cp:coreProperties>
</file>