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20895" windowHeight="10170" activeTab="2"/>
  </bookViews>
  <sheets>
    <sheet name="Tartalomjegyzék" sheetId="16" r:id="rId1"/>
    <sheet name="1.sz.Mérleg" sheetId="1" r:id="rId2"/>
    <sheet name="2.sz.Összesítő" sheetId="4" r:id="rId3"/>
    <sheet name="3.sz.Önkormányzat" sheetId="2" r:id="rId4"/>
    <sheet name="4.sz.Cházi Közös Önk.Hiv." sheetId="3" r:id="rId5"/>
    <sheet name="5.sz.Óvoda" sheetId="5" r:id="rId6"/>
    <sheet name="6.sz.Könyvtár" sheetId="7" r:id="rId7"/>
    <sheet name="7.sz.Műv.Ház" sheetId="8" r:id="rId8"/>
    <sheet name="8.sz.CSSK" sheetId="9" r:id="rId9"/>
    <sheet name="9.sz.Bölcsőde" sheetId="10" r:id="rId10"/>
    <sheet name="10.sz.KSZKI" sheetId="11" r:id="rId11"/>
    <sheet name="11.sz.Vízmű" sheetId="12" r:id="rId12"/>
    <sheet name="12.sz.Pályázatok" sheetId="13" r:id="rId13"/>
    <sheet name="13.sz.Kedvezmény" sheetId="14" r:id="rId14"/>
    <sheet name="14.sz.Ei.felhasználás" sheetId="15" r:id="rId15"/>
  </sheets>
  <definedNames>
    <definedName name="_xlnm.Print_Area" localSheetId="2">'2.sz.Összesítő'!$C$1:$O$41</definedName>
  </definedNames>
  <calcPr calcId="124519"/>
</workbook>
</file>

<file path=xl/calcChain.xml><?xml version="1.0" encoding="utf-8"?>
<calcChain xmlns="http://schemas.openxmlformats.org/spreadsheetml/2006/main">
  <c r="E26" i="1"/>
  <c r="D26"/>
  <c r="C26"/>
  <c r="E25"/>
  <c r="D25"/>
  <c r="C25"/>
  <c r="E27" i="15"/>
  <c r="D19"/>
  <c r="E19"/>
  <c r="F19"/>
  <c r="G19"/>
  <c r="H19"/>
  <c r="I19"/>
  <c r="J19"/>
  <c r="K19"/>
  <c r="L19"/>
  <c r="M19"/>
  <c r="N19"/>
  <c r="C19"/>
  <c r="J11" i="1"/>
  <c r="F18"/>
  <c r="D14"/>
  <c r="D18"/>
  <c r="L16"/>
  <c r="J15"/>
  <c r="D19" i="13"/>
  <c r="D21"/>
  <c r="E9"/>
  <c r="E10"/>
  <c r="E11"/>
  <c r="E12"/>
  <c r="E13"/>
  <c r="E14"/>
  <c r="E16"/>
  <c r="E17"/>
  <c r="E19"/>
  <c r="E21" s="1"/>
  <c r="E8"/>
  <c r="M13" i="11"/>
  <c r="L13"/>
  <c r="M25" i="4"/>
  <c r="O36" l="1"/>
  <c r="N36"/>
  <c r="M36"/>
  <c r="D22" i="15"/>
  <c r="E22"/>
  <c r="F22"/>
  <c r="G22"/>
  <c r="H22"/>
  <c r="I22"/>
  <c r="J22"/>
  <c r="K22"/>
  <c r="L22"/>
  <c r="M22"/>
  <c r="N22"/>
  <c r="C22"/>
  <c r="D18"/>
  <c r="E18"/>
  <c r="F18"/>
  <c r="G18"/>
  <c r="H18"/>
  <c r="I18"/>
  <c r="J18"/>
  <c r="K18"/>
  <c r="L18"/>
  <c r="M18"/>
  <c r="N18"/>
  <c r="C18"/>
  <c r="D14"/>
  <c r="E14"/>
  <c r="F14"/>
  <c r="G14"/>
  <c r="H14"/>
  <c r="I14"/>
  <c r="J14"/>
  <c r="K14"/>
  <c r="L14"/>
  <c r="M14"/>
  <c r="N14"/>
  <c r="C14"/>
  <c r="I15"/>
  <c r="E10"/>
  <c r="D8"/>
  <c r="E8"/>
  <c r="F8"/>
  <c r="G8"/>
  <c r="H8"/>
  <c r="I8"/>
  <c r="J8"/>
  <c r="K8"/>
  <c r="L8"/>
  <c r="M8"/>
  <c r="N8"/>
  <c r="C8"/>
  <c r="D10" i="1"/>
  <c r="C10"/>
  <c r="F13" i="2"/>
  <c r="K33" i="4"/>
  <c r="I11" i="2"/>
  <c r="J11" i="4"/>
  <c r="K34"/>
  <c r="J34"/>
  <c r="I8" i="11"/>
  <c r="B13" i="13" l="1"/>
  <c r="B19" s="1"/>
  <c r="B21" s="1"/>
  <c r="C9"/>
  <c r="C8"/>
  <c r="N30" i="15"/>
  <c r="M30"/>
  <c r="L30"/>
  <c r="K30"/>
  <c r="J30"/>
  <c r="I30"/>
  <c r="H30"/>
  <c r="G30"/>
  <c r="F30"/>
  <c r="E30"/>
  <c r="D30"/>
  <c r="C30"/>
  <c r="O30" s="1"/>
  <c r="O28"/>
  <c r="O27"/>
  <c r="O26"/>
  <c r="O25"/>
  <c r="O24"/>
  <c r="O23"/>
  <c r="O22"/>
  <c r="O21"/>
  <c r="O20"/>
  <c r="O19"/>
  <c r="O18"/>
  <c r="N16"/>
  <c r="N31" s="1"/>
  <c r="M16"/>
  <c r="M31" s="1"/>
  <c r="L16"/>
  <c r="L31" s="1"/>
  <c r="K16"/>
  <c r="K31" s="1"/>
  <c r="J16"/>
  <c r="J31" s="1"/>
  <c r="I16"/>
  <c r="I31" s="1"/>
  <c r="H16"/>
  <c r="H31" s="1"/>
  <c r="G16"/>
  <c r="G31" s="1"/>
  <c r="F16"/>
  <c r="F31" s="1"/>
  <c r="E16"/>
  <c r="E31" s="1"/>
  <c r="D16"/>
  <c r="D31" s="1"/>
  <c r="C16"/>
  <c r="C31" s="1"/>
  <c r="O15"/>
  <c r="O14"/>
  <c r="O13"/>
  <c r="O12"/>
  <c r="O11"/>
  <c r="O10"/>
  <c r="O9"/>
  <c r="O8"/>
  <c r="O7"/>
  <c r="O6"/>
  <c r="C12" i="14"/>
  <c r="C25" s="1"/>
  <c r="B12"/>
  <c r="B25" s="1"/>
  <c r="C19" i="13"/>
  <c r="B20"/>
  <c r="C21"/>
  <c r="F43" i="4"/>
  <c r="C9" i="1"/>
  <c r="F13"/>
  <c r="L15"/>
  <c r="J14"/>
  <c r="K14"/>
  <c r="I14"/>
  <c r="L14" s="1"/>
  <c r="D11"/>
  <c r="F11"/>
  <c r="F12"/>
  <c r="F10"/>
  <c r="D9"/>
  <c r="E9"/>
  <c r="F9" s="1"/>
  <c r="L12"/>
  <c r="L13"/>
  <c r="L10"/>
  <c r="I11"/>
  <c r="L11" s="1"/>
  <c r="J9"/>
  <c r="J20" s="1"/>
  <c r="K9"/>
  <c r="K20" s="1"/>
  <c r="F16"/>
  <c r="F19"/>
  <c r="F15"/>
  <c r="D20"/>
  <c r="C20"/>
  <c r="J44" i="4"/>
  <c r="D6" i="12"/>
  <c r="E6"/>
  <c r="F6"/>
  <c r="G6"/>
  <c r="H6"/>
  <c r="I6"/>
  <c r="J6"/>
  <c r="K6"/>
  <c r="C6"/>
  <c r="G5"/>
  <c r="K6" i="11"/>
  <c r="K7"/>
  <c r="K8"/>
  <c r="K9"/>
  <c r="K10"/>
  <c r="K11"/>
  <c r="K12"/>
  <c r="J7"/>
  <c r="J9"/>
  <c r="J10"/>
  <c r="J11"/>
  <c r="J12"/>
  <c r="I13"/>
  <c r="H13"/>
  <c r="G6"/>
  <c r="G7"/>
  <c r="G8"/>
  <c r="G9"/>
  <c r="G10"/>
  <c r="G11"/>
  <c r="G12"/>
  <c r="G5"/>
  <c r="J5" s="1"/>
  <c r="E13"/>
  <c r="D13"/>
  <c r="C13"/>
  <c r="C9"/>
  <c r="C8"/>
  <c r="C6"/>
  <c r="C5"/>
  <c r="O16" i="15" l="1"/>
  <c r="O31" s="1"/>
  <c r="I9" i="1"/>
  <c r="L9" s="1"/>
  <c r="L20" s="1"/>
  <c r="E20"/>
  <c r="F14"/>
  <c r="F20" s="1"/>
  <c r="J13" i="11"/>
  <c r="G13"/>
  <c r="I20" i="1" l="1"/>
  <c r="D6" i="10"/>
  <c r="E6"/>
  <c r="I6"/>
  <c r="L6"/>
  <c r="M6"/>
  <c r="C6"/>
  <c r="D48" i="4" s="1"/>
  <c r="D10" i="5"/>
  <c r="E10"/>
  <c r="F10"/>
  <c r="G10"/>
  <c r="H10"/>
  <c r="I10"/>
  <c r="J10"/>
  <c r="K10"/>
  <c r="C10"/>
  <c r="D6" i="8"/>
  <c r="E6"/>
  <c r="F6"/>
  <c r="G6"/>
  <c r="H6"/>
  <c r="I6"/>
  <c r="J6"/>
  <c r="K6"/>
  <c r="L6"/>
  <c r="M6"/>
  <c r="N6"/>
  <c r="C6"/>
  <c r="D6" i="7"/>
  <c r="G6"/>
  <c r="H6"/>
  <c r="I6"/>
  <c r="J6"/>
  <c r="K6"/>
  <c r="L6"/>
  <c r="C6"/>
  <c r="D8" i="3"/>
  <c r="G8"/>
  <c r="I8"/>
  <c r="J8"/>
  <c r="K8"/>
  <c r="L8"/>
  <c r="M8"/>
  <c r="N8"/>
  <c r="C8"/>
  <c r="J7" i="9"/>
  <c r="K6"/>
  <c r="K7"/>
  <c r="K5"/>
  <c r="G6"/>
  <c r="G7"/>
  <c r="G5"/>
  <c r="C7"/>
  <c r="C6"/>
  <c r="C5"/>
  <c r="C8"/>
  <c r="L8"/>
  <c r="I8"/>
  <c r="J8"/>
  <c r="D8"/>
  <c r="E8"/>
  <c r="E43" i="4"/>
  <c r="G43"/>
  <c r="I43"/>
  <c r="J43"/>
  <c r="K43"/>
  <c r="E5"/>
  <c r="I22" i="2"/>
  <c r="J48" i="4" s="1"/>
  <c r="J22" i="2"/>
  <c r="H22"/>
  <c r="I48" i="4" s="1"/>
  <c r="D22" i="2"/>
  <c r="E48" i="4" s="1"/>
  <c r="E22" i="2"/>
  <c r="F48" i="4" s="1"/>
  <c r="F22" i="2"/>
  <c r="G48" i="4" s="1"/>
  <c r="C22" i="2"/>
  <c r="D5"/>
  <c r="C5"/>
  <c r="K5" i="12"/>
  <c r="K5" i="11"/>
  <c r="K13" s="1"/>
  <c r="G5" i="10"/>
  <c r="K8" i="9"/>
  <c r="G8"/>
  <c r="K5" i="8"/>
  <c r="G5"/>
  <c r="K5" i="7"/>
  <c r="G5"/>
  <c r="K9" i="5"/>
  <c r="C9"/>
  <c r="G9" s="1"/>
  <c r="G8"/>
  <c r="K7"/>
  <c r="C7"/>
  <c r="G7" s="1"/>
  <c r="K6"/>
  <c r="C6"/>
  <c r="G6" s="1"/>
  <c r="J5"/>
  <c r="I5"/>
  <c r="H5"/>
  <c r="K5" s="1"/>
  <c r="E5"/>
  <c r="D5"/>
  <c r="C5"/>
  <c r="G5" s="1"/>
  <c r="G7" i="3"/>
  <c r="J6"/>
  <c r="K6" s="1"/>
  <c r="G6"/>
  <c r="J5"/>
  <c r="I5"/>
  <c r="K5" s="1"/>
  <c r="D5"/>
  <c r="C5"/>
  <c r="G5" s="1"/>
  <c r="K21" i="2"/>
  <c r="G21"/>
  <c r="K20"/>
  <c r="G20"/>
  <c r="K19"/>
  <c r="G19"/>
  <c r="G18"/>
  <c r="K17"/>
  <c r="G17"/>
  <c r="K16"/>
  <c r="G16"/>
  <c r="K15"/>
  <c r="G15"/>
  <c r="K14"/>
  <c r="G14"/>
  <c r="K13"/>
  <c r="G13"/>
  <c r="K12"/>
  <c r="G12"/>
  <c r="K11"/>
  <c r="G11"/>
  <c r="K10"/>
  <c r="G10"/>
  <c r="K9"/>
  <c r="G9"/>
  <c r="K8"/>
  <c r="G8"/>
  <c r="K7"/>
  <c r="G7"/>
  <c r="K6"/>
  <c r="G6"/>
  <c r="J5"/>
  <c r="I5"/>
  <c r="H5"/>
  <c r="K5" s="1"/>
  <c r="F5"/>
  <c r="E5"/>
  <c r="G5"/>
  <c r="E45" i="4"/>
  <c r="F45"/>
  <c r="G45"/>
  <c r="I45"/>
  <c r="J45"/>
  <c r="J46" s="1"/>
  <c r="E44"/>
  <c r="F44"/>
  <c r="G44"/>
  <c r="I44"/>
  <c r="E46"/>
  <c r="F46"/>
  <c r="G46"/>
  <c r="I46"/>
  <c r="D45"/>
  <c r="I5"/>
  <c r="K25"/>
  <c r="J25"/>
  <c r="I25"/>
  <c r="L26"/>
  <c r="L27"/>
  <c r="L7"/>
  <c r="L8"/>
  <c r="L9"/>
  <c r="L10"/>
  <c r="L12"/>
  <c r="L13"/>
  <c r="L14"/>
  <c r="L15"/>
  <c r="L16"/>
  <c r="L17"/>
  <c r="L18"/>
  <c r="L19"/>
  <c r="L20"/>
  <c r="L21"/>
  <c r="L6"/>
  <c r="K23"/>
  <c r="K45" s="1"/>
  <c r="K22"/>
  <c r="L35"/>
  <c r="H35"/>
  <c r="L34"/>
  <c r="H34"/>
  <c r="H33"/>
  <c r="L32"/>
  <c r="H32"/>
  <c r="L31"/>
  <c r="H31"/>
  <c r="H30"/>
  <c r="L30"/>
  <c r="D29"/>
  <c r="D44" s="1"/>
  <c r="D26"/>
  <c r="D27"/>
  <c r="D25"/>
  <c r="L29"/>
  <c r="H26"/>
  <c r="H27"/>
  <c r="H28"/>
  <c r="H29"/>
  <c r="E25"/>
  <c r="F25"/>
  <c r="G25"/>
  <c r="H25"/>
  <c r="D22"/>
  <c r="H24"/>
  <c r="H23"/>
  <c r="H45" s="1"/>
  <c r="K5"/>
  <c r="H6"/>
  <c r="H21"/>
  <c r="G5"/>
  <c r="G36" s="1"/>
  <c r="H11"/>
  <c r="D5"/>
  <c r="D36" s="1"/>
  <c r="H7"/>
  <c r="H8"/>
  <c r="H9"/>
  <c r="H10"/>
  <c r="H12"/>
  <c r="H13"/>
  <c r="H14"/>
  <c r="H15"/>
  <c r="H16"/>
  <c r="H17"/>
  <c r="H18"/>
  <c r="H19"/>
  <c r="H20"/>
  <c r="D43" l="1"/>
  <c r="H43"/>
  <c r="K36"/>
  <c r="I36"/>
  <c r="G6" i="10"/>
  <c r="J5"/>
  <c r="L33" i="4"/>
  <c r="K44"/>
  <c r="K46" s="1"/>
  <c r="K22" i="2"/>
  <c r="G22"/>
  <c r="H48" i="4" s="1"/>
  <c r="H44"/>
  <c r="L44"/>
  <c r="D46"/>
  <c r="H46"/>
  <c r="L11"/>
  <c r="L43" s="1"/>
  <c r="L23"/>
  <c r="L45" s="1"/>
  <c r="J5"/>
  <c r="J6" i="10" l="1"/>
  <c r="K48" i="4" s="1"/>
  <c r="K5" i="10"/>
  <c r="K6" s="1"/>
  <c r="L48" i="4"/>
  <c r="L5"/>
  <c r="L46"/>
  <c r="L25" l="1"/>
  <c r="J22"/>
  <c r="J36" s="1"/>
  <c r="L36" s="1"/>
  <c r="E22"/>
  <c r="E36" s="1"/>
  <c r="F5"/>
  <c r="F36" s="1"/>
  <c r="L22" l="1"/>
  <c r="H36"/>
  <c r="H22"/>
  <c r="H5"/>
  <c r="L37" s="1"/>
  <c r="L39" l="1"/>
</calcChain>
</file>

<file path=xl/comments1.xml><?xml version="1.0" encoding="utf-8"?>
<comments xmlns="http://schemas.openxmlformats.org/spreadsheetml/2006/main">
  <authors>
    <author>Felhasználó</author>
  </authors>
  <commentList>
    <comment ref="J11" authorId="0">
      <text>
        <r>
          <rPr>
            <b/>
            <sz val="8"/>
            <color indexed="81"/>
            <rFont val="Tahoma"/>
            <family val="2"/>
            <charset val="238"/>
          </rPr>
          <t>Felhasználó:</t>
        </r>
        <r>
          <rPr>
            <sz val="8"/>
            <color indexed="81"/>
            <rFont val="Tahoma"/>
            <family val="2"/>
            <charset val="238"/>
          </rPr>
          <t xml:space="preserve">
Gkp. normatíva</t>
        </r>
      </text>
    </comment>
  </commentList>
</comments>
</file>

<file path=xl/comments2.xml><?xml version="1.0" encoding="utf-8"?>
<comments xmlns="http://schemas.openxmlformats.org/spreadsheetml/2006/main">
  <authors>
    <author>Felhasználó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38"/>
          </rPr>
          <t>Felhasználó:</t>
        </r>
        <r>
          <rPr>
            <sz val="8"/>
            <color indexed="81"/>
            <rFont val="Tahoma"/>
            <family val="2"/>
            <charset val="238"/>
          </rPr>
          <t xml:space="preserve">
Még nem teljes!!
</t>
        </r>
      </text>
    </comment>
  </commentList>
</comments>
</file>

<file path=xl/sharedStrings.xml><?xml version="1.0" encoding="utf-8"?>
<sst xmlns="http://schemas.openxmlformats.org/spreadsheetml/2006/main" count="608" uniqueCount="263">
  <si>
    <t>Költségvetési bevételek</t>
  </si>
  <si>
    <t>eredeti előirányzat</t>
  </si>
  <si>
    <t>államigazgatási
 feladat</t>
  </si>
  <si>
    <t>önként vállalt
 feladat</t>
  </si>
  <si>
    <t>kötelező feladat</t>
  </si>
  <si>
    <t>Mindösszesen</t>
  </si>
  <si>
    <t>Költségvetési kiadások</t>
  </si>
  <si>
    <t>Egyéb működési bevételek</t>
  </si>
  <si>
    <t>1.</t>
  </si>
  <si>
    <t>ezer forint</t>
  </si>
  <si>
    <t>Kiadás</t>
  </si>
  <si>
    <t>Bevétel</t>
  </si>
  <si>
    <t>Különbözet</t>
  </si>
  <si>
    <t>Létszám</t>
  </si>
  <si>
    <t>Személyi+járulék</t>
  </si>
  <si>
    <t>Dologi</t>
  </si>
  <si>
    <t>Felhalmozási</t>
  </si>
  <si>
    <t>Intézményi bevétel / Egyéb támogatás</t>
  </si>
  <si>
    <t>Normatíva
Bevétel</t>
  </si>
  <si>
    <t>teljes
munkaidős</t>
  </si>
  <si>
    <t>rész-
munkaidős</t>
  </si>
  <si>
    <t>közfoglalkoztatott</t>
  </si>
  <si>
    <t>Önkormányzat</t>
  </si>
  <si>
    <t>Segélyezés</t>
  </si>
  <si>
    <t>Közfoglalkoztatás</t>
  </si>
  <si>
    <t>Pályázatok</t>
  </si>
  <si>
    <t>Polgármester, Alpolgármester, Képviselők, Bizottsági tagok</t>
  </si>
  <si>
    <t>Könyvtár</t>
  </si>
  <si>
    <t>Művelődési Ház</t>
  </si>
  <si>
    <t>Családsegítő Központ és Gyermekjóléti Központ</t>
  </si>
  <si>
    <t>Bölcsőde</t>
  </si>
  <si>
    <t>Kommunális Szolgáltató és Közfogl. Intézmény</t>
  </si>
  <si>
    <t>Cibakházi Vízmű</t>
  </si>
  <si>
    <t>Összesen</t>
  </si>
  <si>
    <t>Önkormányzati főösszeg</t>
  </si>
  <si>
    <t>Összesen Kiadás</t>
  </si>
  <si>
    <t>Önk. Kiegészítés</t>
  </si>
  <si>
    <t>Összesen Bevétel</t>
  </si>
  <si>
    <t>Feladat</t>
  </si>
  <si>
    <t>045160-Közutak, hidak, alagutak üzemeltetése, fenntartása</t>
  </si>
  <si>
    <t>013350-Az önk. Vagyonnal való gazd.kapcs.feladatok-Lakások</t>
  </si>
  <si>
    <t>013350-Az önk. Vagyonnal való gazd.kapcs.feladatok-Nem lakó ing.</t>
  </si>
  <si>
    <t>013390-Egyéb kiegészítő szolgáltatások</t>
  </si>
  <si>
    <t>064010-Közvilágítás</t>
  </si>
  <si>
    <t>Intézmény megnevezése/Kormányzati funkció</t>
  </si>
  <si>
    <t>018020-Központi költségvetési befizetések</t>
  </si>
  <si>
    <t>018030-Támogatási célú finanszírozási műveletek (Int. Átadott összeg)</t>
  </si>
  <si>
    <t>018010-Önkormányzatok elszámolásai a központi költségvetéssel (Szoc. Társulásnak átadott összeg</t>
  </si>
  <si>
    <t>Intézménynek/Társulásnak átadott összeg</t>
  </si>
  <si>
    <t>072111-Házi orvosi alapellátás</t>
  </si>
  <si>
    <t>081045-Sport támogatás</t>
  </si>
  <si>
    <t>072311-Fogorvosi alapellátás</t>
  </si>
  <si>
    <t>074031-Védőnők</t>
  </si>
  <si>
    <t>Cibakházi Közös Önkormányzati Hivatal</t>
  </si>
  <si>
    <t>011130-Önkormányzatok és önkormányzati hivatalok jogalkotó és általános igazgatási tevékenysége</t>
  </si>
  <si>
    <t>Cibakházi Napsugár Óvoda</t>
  </si>
  <si>
    <t>091110-Óvodai nevelés, ellátás szakmai feladatai</t>
  </si>
  <si>
    <t>091140-Óvodai nevelés, ellátás működési feladatai</t>
  </si>
  <si>
    <t>091120-Sajátos nevelési igényű gyermekek szakmai feladatai</t>
  </si>
  <si>
    <t>091110-Óvodai pályázat</t>
  </si>
  <si>
    <t>K</t>
  </si>
  <si>
    <t>Ö</t>
  </si>
  <si>
    <t>013350-Az önk. Vagyonnal való gazd.kapcs.feladatok- Iskola üzem.</t>
  </si>
  <si>
    <t>Á</t>
  </si>
  <si>
    <t>személyi+jár</t>
  </si>
  <si>
    <t>dologi</t>
  </si>
  <si>
    <t>felhalm</t>
  </si>
  <si>
    <t>int.át</t>
  </si>
  <si>
    <t>össz</t>
  </si>
  <si>
    <t>műk.bev</t>
  </si>
  <si>
    <t>norm</t>
  </si>
  <si>
    <t>int.átvett</t>
  </si>
  <si>
    <t>Cibakházi Közös Önkormányzati Hivatal 2014. évi költségvetéshez szakfeladatok összesítése (2014. február 5.)</t>
  </si>
  <si>
    <t>Cibakháza Nagyközség Önkormányzata</t>
  </si>
  <si>
    <t>ÖSSZESEN</t>
  </si>
  <si>
    <t>Cibakházi Napsugár Óvoda 2014. évi költségvetéshez szakfeladatok összesítése (2014. február 5.)</t>
  </si>
  <si>
    <t>082044-Könyvtári szolgáltatások</t>
  </si>
  <si>
    <t>Személyi+
járulék</t>
  </si>
  <si>
    <t>082091-Közművelődés – közösségi és társadalmi részvétel fejlesztése</t>
  </si>
  <si>
    <t>107055-Falugondnoki,tanyagondnoki szolgáltatás</t>
  </si>
  <si>
    <t>104042-Gyermekjóléti szolgáltatások</t>
  </si>
  <si>
    <t>107054-Családsegítés</t>
  </si>
  <si>
    <t>Családsegítő Központ és Gyermekjóléti Szolgálat</t>
  </si>
  <si>
    <t>Családsegítő Központ és Gyermekjóléti szolgálat 2014. évi költségvetéshez szakfeladatok összesítése (2014. február 5.)</t>
  </si>
  <si>
    <t>Nagyközségi Művelődési Ház 2014. évi költségvetéshez szakfeladatok összesítése (2014. február 5.)</t>
  </si>
  <si>
    <t>Nagyközségi Könyvtár 2014. évi költségvetéshez szakfeladatok összesítése (2014. február 5.)</t>
  </si>
  <si>
    <t>Nagyközségi Könyvtár</t>
  </si>
  <si>
    <t>Nagyközségi Önkormányzati Bölcsőde</t>
  </si>
  <si>
    <t>Nagyközségi Önkormányzati Bölcsőde 2014. évi költségvetéshez szakfeladatok összesítése (2014. február 5.)</t>
  </si>
  <si>
    <t>104030- Gyermekek napközbeni ellátása</t>
  </si>
  <si>
    <t>Köztemető fenntartás-013320</t>
  </si>
  <si>
    <t>Gondozási Központ étkeztetés-096010/562920</t>
  </si>
  <si>
    <t>Vendég étkeztetés-096010/562920</t>
  </si>
  <si>
    <t>Óvodai intézményi étkeztetés-096010</t>
  </si>
  <si>
    <t>Iskolai intézményi étkeztetés-096020</t>
  </si>
  <si>
    <t>Állategészségügyi ellátás-042180</t>
  </si>
  <si>
    <t>Bölcsődei étkeztetés-104030</t>
  </si>
  <si>
    <t>Város-községgazdálkodás-066020</t>
  </si>
  <si>
    <t>052020-Szennyvíz gyűjtése, tisztítása, elhelyezése</t>
  </si>
  <si>
    <t>Cibakházi Vízmű 2014. évi költségvetéshez szakfeladatok összesítése (2014. február 5.)</t>
  </si>
  <si>
    <t>2014. évi költségvetés összesítése kormányzati funkció szerinti bontásban(2014. február 5.)</t>
  </si>
  <si>
    <t>Önkormányzatok sajátos működési bevételei</t>
  </si>
  <si>
    <t>Működési támogatások</t>
  </si>
  <si>
    <t>Működési költségvetés</t>
  </si>
  <si>
    <t>2.</t>
  </si>
  <si>
    <t>Felhalmozási költségvetés</t>
  </si>
  <si>
    <t>Felhalmozási támogatások</t>
  </si>
  <si>
    <t>Egyéb felhalmozási támogatások</t>
  </si>
  <si>
    <t>Finanszírozási bevételek</t>
  </si>
  <si>
    <t>Személyi juttatások+járulék</t>
  </si>
  <si>
    <t>Dologi kiadások</t>
  </si>
  <si>
    <t>Társadalom- és szociálpolitikai juttatások</t>
  </si>
  <si>
    <t>Egyéb működési célú kiadások</t>
  </si>
  <si>
    <t>EU-s forrásból finansz. támogatással
megv. progr., projektek kiadásai</t>
  </si>
  <si>
    <t>EU-s támogatásból származó forrás</t>
  </si>
  <si>
    <t>3.</t>
  </si>
  <si>
    <t>Helyi önkormányzatok kiegészítő támogatása</t>
  </si>
  <si>
    <t>Cibakháza Nagyközség Önkormányzata 2014. évi összevont költségvetési mérlege</t>
  </si>
  <si>
    <t>adatok eFt-ban</t>
  </si>
  <si>
    <t>Cibakháza, 2014. február 5.</t>
  </si>
  <si>
    <t>2.számú melléklet</t>
  </si>
  <si>
    <t>1. számú melléklet</t>
  </si>
  <si>
    <t>3. számú melléklet</t>
  </si>
  <si>
    <t>4. számú melléklet</t>
  </si>
  <si>
    <t>5. számú melléklet</t>
  </si>
  <si>
    <t>6. számú melléklet</t>
  </si>
  <si>
    <t>7. számú melléklet</t>
  </si>
  <si>
    <t>8. számú melléklet</t>
  </si>
  <si>
    <t>9. számú melléklet</t>
  </si>
  <si>
    <t>10. számú melléklet</t>
  </si>
  <si>
    <t>11. számú melléklet</t>
  </si>
  <si>
    <t>Mindösszesen pályázati soron</t>
  </si>
  <si>
    <t>ebből IKSZT a Művelődési Háznál jelenik meg kiadásként</t>
  </si>
  <si>
    <t>Játszótér+park</t>
  </si>
  <si>
    <t>Ikszt bérktg</t>
  </si>
  <si>
    <t>adatok Ft-ban</t>
  </si>
  <si>
    <t>Pályázati kiadások és bevételek</t>
  </si>
  <si>
    <t>Közvetett támogatások kimutatása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</si>
  <si>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</si>
  <si>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</si>
  <si>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</si>
  <si>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</si>
  <si>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-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</si>
  <si>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</si>
  <si>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</si>
  <si>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</si>
  <si>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</si>
  <si>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</si>
  <si>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</si>
  <si>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</si>
  <si>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</si>
  <si>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</si>
  <si>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</si>
  <si>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</si>
  <si>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</si>
  <si>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</si>
  <si>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</si>
  <si>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</si>
  <si>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</si>
  <si>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Összesen:</t>
  </si>
  <si>
    <t>Előirányzat-felhasználási terv
2012. évre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</si>
  <si>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</si>
  <si>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</si>
  <si>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</si>
  <si>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</si>
  <si>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</si>
  <si>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</si>
  <si>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</si>
  <si>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</si>
  <si>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</si>
  <si>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</si>
  <si>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</si>
  <si>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</si>
  <si>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</si>
  <si>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</si>
  <si>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Bevételek</t>
  </si>
  <si>
    <t>Önkormányzatok saj.műk.bev.</t>
  </si>
  <si>
    <t>Közhatalmi bevételek</t>
  </si>
  <si>
    <t>4.</t>
  </si>
  <si>
    <t>Támogatások, hozzájárulások bevételei</t>
  </si>
  <si>
    <t>5.</t>
  </si>
  <si>
    <t>Támogatásértékű bevételek</t>
  </si>
  <si>
    <t>6.</t>
  </si>
  <si>
    <t>Felhalmozási célú bevételek</t>
  </si>
  <si>
    <t>7.</t>
  </si>
  <si>
    <t>Átvett pénzeszközök</t>
  </si>
  <si>
    <t>8.</t>
  </si>
  <si>
    <t>Kölcsönök</t>
  </si>
  <si>
    <t>9.</t>
  </si>
  <si>
    <t>Előző évi pénzmaradvány, vállalkozási eredmény</t>
  </si>
  <si>
    <t>10.</t>
  </si>
  <si>
    <t>Finanszírozási célú bevételek</t>
  </si>
  <si>
    <t>11.</t>
  </si>
  <si>
    <t>12.</t>
  </si>
  <si>
    <t>Bevételek összesen:</t>
  </si>
  <si>
    <t>13.</t>
  </si>
  <si>
    <t>Kiadások</t>
  </si>
  <si>
    <t>14.</t>
  </si>
  <si>
    <t>Személyi juttatások + Járulékok</t>
  </si>
  <si>
    <t>15.</t>
  </si>
  <si>
    <t>16.</t>
  </si>
  <si>
    <t>Ellátottak pénzbeli juttatása</t>
  </si>
  <si>
    <t>17.</t>
  </si>
  <si>
    <t>Egyéb működési célú kiadás</t>
  </si>
  <si>
    <t>18.</t>
  </si>
  <si>
    <t>Támogatások, elvonások</t>
  </si>
  <si>
    <t>19.</t>
  </si>
  <si>
    <t>Támogatásértékű kiadások</t>
  </si>
  <si>
    <t>20.</t>
  </si>
  <si>
    <t>Lakosságnak juttatott tám., szociális, rászorultság jellegű tám.</t>
  </si>
  <si>
    <t>21.</t>
  </si>
  <si>
    <t>Tartalékok</t>
  </si>
  <si>
    <t>22.</t>
  </si>
  <si>
    <t>Hitelek kamatai</t>
  </si>
  <si>
    <t>23.</t>
  </si>
  <si>
    <t>Felhalmozási költségvetés kiadásai</t>
  </si>
  <si>
    <t>24.</t>
  </si>
  <si>
    <t>Finanszírozási célú kiadások</t>
  </si>
  <si>
    <t>25.</t>
  </si>
  <si>
    <t>2012. december 31-i szállítói állomány</t>
  </si>
  <si>
    <t>26.</t>
  </si>
  <si>
    <t>Kiadások összesen:</t>
  </si>
  <si>
    <t>27.</t>
  </si>
  <si>
    <t>Egyenleg</t>
  </si>
  <si>
    <t>2014. évi terv</t>
  </si>
  <si>
    <t xml:space="preserve">Tartalomjegyzék </t>
  </si>
  <si>
    <t>a . számú költségvetési rendelethez</t>
  </si>
  <si>
    <t>2. számú melléklet</t>
  </si>
  <si>
    <t>12. számú melléklet</t>
  </si>
  <si>
    <t>13. számú melléklet</t>
  </si>
  <si>
    <t>14. számú melléklet</t>
  </si>
  <si>
    <t>Előirányzat-felhasználási terv</t>
  </si>
  <si>
    <t>Parlagfű pályázat</t>
  </si>
  <si>
    <t>Tanyagondnoki gépkocsi besz.</t>
  </si>
  <si>
    <t>Piactér felújítás</t>
  </si>
  <si>
    <t>Gréder beszerzés</t>
  </si>
  <si>
    <t>Kerékpár pályázat</t>
  </si>
  <si>
    <t>Szennyvíz pályázat önerő visszafiz.</t>
  </si>
  <si>
    <t>Polgárőrség pályázat</t>
  </si>
  <si>
    <t>Polgárőrség Leader pályázat</t>
  </si>
  <si>
    <t>Tanyagondnokokkal a min.</t>
  </si>
  <si>
    <t>Cibakháza Nagyközség Önkormányzata kormányzati funkciókkéntszerinti összesításe</t>
  </si>
  <si>
    <t>Cibakháza Nagyközség Önkormányzata (intézmények nélkül) 2014. évi költségvetés összesítése (2014. február 5.)</t>
  </si>
  <si>
    <t>Cibakháza Nagyközség Önkormányzata (intézmények nélkül) összesítése</t>
  </si>
  <si>
    <t>Cibakházi Közös Önkormányzati Hivatal kormányzati funkciók szerinti összesítése</t>
  </si>
  <si>
    <t>Cibakházi Napsugár Óvoda kormányzati funkciók szerinti összesítése</t>
  </si>
  <si>
    <t>Nagyközségi Könyvtár kormányzati funkciók szerinti összesítése</t>
  </si>
  <si>
    <t>Cibakháza Nagyközségi Művelődési Ház kormányzati funkciók szerinti összesítése</t>
  </si>
  <si>
    <t>Családsegítő Központ és Gyermekjóléti Szolgálat Cibakháza kormányzati funkciók szerinti összesítése</t>
  </si>
  <si>
    <t>Nagyközségi Önkormányzati Bölcsőde Cibakháza kormányzati funkciók szerinti összesítése</t>
  </si>
  <si>
    <t>Kommunális Szolgáltató és Közfoglalkoztatási Intézmény kormányzati funkciók szerinti összesítése</t>
  </si>
  <si>
    <t>Cibakházi Vízmű kormányzati funkciók szerinti összesítése</t>
  </si>
  <si>
    <t>EU-s forrásból</t>
  </si>
  <si>
    <t xml:space="preserve"> Hazai forrásból</t>
  </si>
  <si>
    <t>Hazai forrásból finansz.támogatással megv.prog.,projektek kiadásai</t>
  </si>
  <si>
    <t>Vízmű feljesztés (Bácsvíz Zrt. bérleti díj)</t>
  </si>
  <si>
    <t>Felhalmozási és tőkejellegű bevételek
 (Bácsvíz Zrt. bérleti díj)</t>
  </si>
  <si>
    <t>egyeztető sor</t>
  </si>
  <si>
    <t>önként vállalt</t>
  </si>
  <si>
    <t>államigazgatás feladat</t>
  </si>
  <si>
    <t>2014. évi tervezett bevétel</t>
  </si>
  <si>
    <t>2014. évi tervezett kiadás</t>
  </si>
  <si>
    <t>főösszeg %-ban</t>
  </si>
</sst>
</file>

<file path=xl/styles.xml><?xml version="1.0" encoding="utf-8"?>
<styleSheet xmlns="http://schemas.openxmlformats.org/spreadsheetml/2006/main">
  <numFmts count="5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#,###"/>
    <numFmt numFmtId="166" formatCode="_-* #,##0\ &quot;Ft&quot;_-;\-* #,##0\ &quot;Ft&quot;_-;_-* &quot;-&quot;??\ &quot;Ft&quot;_-;_-@_-"/>
  </numFmts>
  <fonts count="2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b/>
      <sz val="11"/>
      <color rgb="FFFF0000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i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5" fillId="0" borderId="0"/>
    <xf numFmtId="9" fontId="1" fillId="0" borderId="0" applyFont="0" applyFill="0" applyBorder="0" applyAlignment="0" applyProtection="0"/>
  </cellStyleXfs>
  <cellXfs count="298">
    <xf numFmtId="0" fontId="0" fillId="0" borderId="0" xfId="0"/>
    <xf numFmtId="0" fontId="5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64" fontId="5" fillId="0" borderId="4" xfId="1" applyNumberFormat="1" applyFont="1" applyFill="1" applyBorder="1" applyAlignment="1">
      <alignment vertical="center"/>
    </xf>
    <xf numFmtId="164" fontId="4" fillId="2" borderId="4" xfId="1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164" fontId="5" fillId="2" borderId="4" xfId="1" applyNumberFormat="1" applyFont="1" applyFill="1" applyBorder="1" applyAlignment="1">
      <alignment vertical="center"/>
    </xf>
    <xf numFmtId="164" fontId="5" fillId="0" borderId="4" xfId="1" applyNumberFormat="1" applyFont="1" applyBorder="1" applyAlignment="1">
      <alignment horizontal="left" vertical="center"/>
    </xf>
    <xf numFmtId="164" fontId="5" fillId="2" borderId="4" xfId="1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vertical="center"/>
    </xf>
    <xf numFmtId="164" fontId="5" fillId="0" borderId="4" xfId="1" applyNumberFormat="1" applyFont="1" applyBorder="1" applyAlignment="1">
      <alignment vertical="center"/>
    </xf>
    <xf numFmtId="164" fontId="4" fillId="0" borderId="4" xfId="1" applyNumberFormat="1" applyFont="1" applyBorder="1" applyAlignment="1">
      <alignment vertical="center"/>
    </xf>
    <xf numFmtId="164" fontId="4" fillId="2" borderId="4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164" fontId="4" fillId="0" borderId="4" xfId="1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8" fillId="0" borderId="4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164" fontId="5" fillId="0" borderId="0" xfId="1" applyNumberFormat="1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4" fillId="0" borderId="6" xfId="1" applyNumberFormat="1" applyFont="1" applyBorder="1" applyAlignment="1">
      <alignment vertical="center" wrapText="1"/>
    </xf>
    <xf numFmtId="164" fontId="4" fillId="0" borderId="3" xfId="1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164" fontId="5" fillId="3" borderId="4" xfId="1" applyNumberFormat="1" applyFont="1" applyFill="1" applyBorder="1" applyAlignment="1">
      <alignment vertical="center"/>
    </xf>
    <xf numFmtId="164" fontId="5" fillId="4" borderId="4" xfId="1" applyNumberFormat="1" applyFont="1" applyFill="1" applyBorder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164" fontId="4" fillId="3" borderId="4" xfId="1" applyNumberFormat="1" applyFont="1" applyFill="1" applyBorder="1" applyAlignment="1">
      <alignment vertical="center"/>
    </xf>
    <xf numFmtId="0" fontId="8" fillId="0" borderId="4" xfId="0" applyFont="1" applyFill="1" applyBorder="1" applyAlignment="1">
      <alignment vertical="center" wrapText="1"/>
    </xf>
    <xf numFmtId="164" fontId="4" fillId="0" borderId="5" xfId="1" applyNumberFormat="1" applyFont="1" applyBorder="1" applyAlignment="1">
      <alignment vertical="center"/>
    </xf>
    <xf numFmtId="164" fontId="4" fillId="0" borderId="3" xfId="1" applyNumberFormat="1" applyFont="1" applyBorder="1" applyAlignment="1">
      <alignment vertical="center"/>
    </xf>
    <xf numFmtId="164" fontId="4" fillId="0" borderId="3" xfId="1" applyNumberFormat="1" applyFont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left" vertical="center"/>
    </xf>
    <xf numFmtId="164" fontId="5" fillId="0" borderId="3" xfId="1" applyNumberFormat="1" applyFont="1" applyFill="1" applyBorder="1" applyAlignment="1">
      <alignment vertical="center"/>
    </xf>
    <xf numFmtId="164" fontId="5" fillId="2" borderId="3" xfId="1" applyNumberFormat="1" applyFont="1" applyFill="1" applyBorder="1" applyAlignment="1">
      <alignment vertical="center"/>
    </xf>
    <xf numFmtId="164" fontId="5" fillId="0" borderId="3" xfId="1" applyNumberFormat="1" applyFont="1" applyBorder="1" applyAlignment="1">
      <alignment vertical="center"/>
    </xf>
    <xf numFmtId="164" fontId="4" fillId="2" borderId="3" xfId="1" applyNumberFormat="1" applyFont="1" applyFill="1" applyBorder="1" applyAlignment="1">
      <alignment vertical="center"/>
    </xf>
    <xf numFmtId="164" fontId="4" fillId="0" borderId="11" xfId="1" applyNumberFormat="1" applyFont="1" applyBorder="1" applyAlignment="1">
      <alignment horizontal="center" vertical="center" wrapText="1"/>
    </xf>
    <xf numFmtId="164" fontId="4" fillId="0" borderId="13" xfId="1" applyNumberFormat="1" applyFont="1" applyBorder="1" applyAlignment="1">
      <alignment vertical="center" wrapText="1"/>
    </xf>
    <xf numFmtId="164" fontId="5" fillId="3" borderId="11" xfId="1" applyNumberFormat="1" applyFont="1" applyFill="1" applyBorder="1" applyAlignment="1">
      <alignment vertical="center"/>
    </xf>
    <xf numFmtId="164" fontId="4" fillId="3" borderId="11" xfId="1" applyNumberFormat="1" applyFont="1" applyFill="1" applyBorder="1" applyAlignment="1">
      <alignment vertical="center"/>
    </xf>
    <xf numFmtId="164" fontId="4" fillId="2" borderId="11" xfId="1" applyNumberFormat="1" applyFont="1" applyFill="1" applyBorder="1" applyAlignment="1">
      <alignment vertical="center"/>
    </xf>
    <xf numFmtId="164" fontId="4" fillId="0" borderId="11" xfId="1" applyNumberFormat="1" applyFont="1" applyBorder="1" applyAlignment="1">
      <alignment vertical="center"/>
    </xf>
    <xf numFmtId="164" fontId="5" fillId="0" borderId="0" xfId="0" applyNumberFormat="1" applyFont="1" applyAlignment="1">
      <alignment horizontal="left" vertical="center"/>
    </xf>
    <xf numFmtId="164" fontId="5" fillId="4" borderId="3" xfId="1" applyNumberFormat="1" applyFont="1" applyFill="1" applyBorder="1" applyAlignment="1">
      <alignment vertical="center"/>
    </xf>
    <xf numFmtId="164" fontId="3" fillId="0" borderId="4" xfId="0" applyNumberFormat="1" applyFont="1" applyBorder="1"/>
    <xf numFmtId="0" fontId="3" fillId="2" borderId="4" xfId="0" applyFont="1" applyFill="1" applyBorder="1"/>
    <xf numFmtId="164" fontId="5" fillId="2" borderId="8" xfId="1" applyNumberFormat="1" applyFont="1" applyFill="1" applyBorder="1" applyAlignment="1">
      <alignment vertical="center"/>
    </xf>
    <xf numFmtId="164" fontId="4" fillId="0" borderId="0" xfId="1" applyNumberFormat="1" applyFont="1" applyAlignment="1">
      <alignment vertical="center"/>
    </xf>
    <xf numFmtId="0" fontId="3" fillId="0" borderId="0" xfId="0" applyFont="1"/>
    <xf numFmtId="0" fontId="4" fillId="0" borderId="3" xfId="0" applyFont="1" applyBorder="1" applyAlignment="1">
      <alignment horizontal="center" vertical="center" wrapText="1"/>
    </xf>
    <xf numFmtId="164" fontId="4" fillId="0" borderId="17" xfId="1" applyNumberFormat="1" applyFont="1" applyBorder="1" applyAlignment="1">
      <alignment horizontal="center" vertical="center" wrapText="1"/>
    </xf>
    <xf numFmtId="164" fontId="4" fillId="0" borderId="17" xfId="1" applyNumberFormat="1" applyFont="1" applyBorder="1" applyAlignment="1">
      <alignment vertical="center"/>
    </xf>
    <xf numFmtId="164" fontId="4" fillId="0" borderId="11" xfId="1" applyNumberFormat="1" applyFont="1" applyFill="1" applyBorder="1" applyAlignment="1">
      <alignment vertical="center"/>
    </xf>
    <xf numFmtId="164" fontId="5" fillId="2" borderId="17" xfId="1" applyNumberFormat="1" applyFont="1" applyFill="1" applyBorder="1" applyAlignment="1">
      <alignment vertical="center"/>
    </xf>
    <xf numFmtId="164" fontId="5" fillId="0" borderId="11" xfId="1" applyNumberFormat="1" applyFont="1" applyFill="1" applyBorder="1" applyAlignment="1">
      <alignment vertical="center"/>
    </xf>
    <xf numFmtId="0" fontId="0" fillId="0" borderId="4" xfId="0" applyBorder="1"/>
    <xf numFmtId="0" fontId="3" fillId="0" borderId="4" xfId="0" applyFont="1" applyBorder="1" applyAlignment="1">
      <alignment textRotation="90"/>
    </xf>
    <xf numFmtId="0" fontId="0" fillId="0" borderId="4" xfId="0" applyFont="1" applyBorder="1" applyAlignment="1"/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0" fillId="0" borderId="4" xfId="0" applyFont="1" applyBorder="1"/>
    <xf numFmtId="0" fontId="0" fillId="2" borderId="4" xfId="0" applyFont="1" applyFill="1" applyBorder="1"/>
    <xf numFmtId="0" fontId="0" fillId="0" borderId="0" xfId="0" applyFont="1"/>
    <xf numFmtId="164" fontId="0" fillId="0" borderId="4" xfId="1" applyNumberFormat="1" applyFont="1" applyBorder="1"/>
    <xf numFmtId="164" fontId="0" fillId="2" borderId="4" xfId="1" applyNumberFormat="1" applyFont="1" applyFill="1" applyBorder="1"/>
    <xf numFmtId="164" fontId="0" fillId="0" borderId="11" xfId="1" applyNumberFormat="1" applyFont="1" applyBorder="1"/>
    <xf numFmtId="0" fontId="0" fillId="0" borderId="5" xfId="0" applyFont="1" applyBorder="1"/>
    <xf numFmtId="164" fontId="0" fillId="0" borderId="5" xfId="1" applyNumberFormat="1" applyFont="1" applyBorder="1"/>
    <xf numFmtId="164" fontId="0" fillId="2" borderId="5" xfId="1" applyNumberFormat="1" applyFont="1" applyFill="1" applyBorder="1"/>
    <xf numFmtId="164" fontId="0" fillId="0" borderId="18" xfId="1" applyNumberFormat="1" applyFont="1" applyBorder="1"/>
    <xf numFmtId="0" fontId="0" fillId="2" borderId="5" xfId="0" applyFont="1" applyFill="1" applyBorder="1"/>
    <xf numFmtId="164" fontId="3" fillId="0" borderId="20" xfId="0" applyNumberFormat="1" applyFont="1" applyBorder="1"/>
    <xf numFmtId="164" fontId="3" fillId="2" borderId="20" xfId="0" applyNumberFormat="1" applyFont="1" applyFill="1" applyBorder="1"/>
    <xf numFmtId="164" fontId="3" fillId="0" borderId="21" xfId="0" applyNumberFormat="1" applyFont="1" applyBorder="1"/>
    <xf numFmtId="164" fontId="3" fillId="0" borderId="22" xfId="0" applyNumberFormat="1" applyFont="1" applyBorder="1"/>
    <xf numFmtId="0" fontId="3" fillId="2" borderId="20" xfId="0" applyFont="1" applyFill="1" applyBorder="1"/>
    <xf numFmtId="0" fontId="3" fillId="2" borderId="21" xfId="0" applyFont="1" applyFill="1" applyBorder="1"/>
    <xf numFmtId="164" fontId="3" fillId="2" borderId="22" xfId="0" applyNumberFormat="1" applyFont="1" applyFill="1" applyBorder="1"/>
    <xf numFmtId="0" fontId="5" fillId="0" borderId="3" xfId="0" applyFont="1" applyBorder="1" applyAlignment="1">
      <alignment vertical="center" wrapText="1"/>
    </xf>
    <xf numFmtId="0" fontId="0" fillId="0" borderId="8" xfId="0" applyFont="1" applyBorder="1" applyAlignment="1"/>
    <xf numFmtId="0" fontId="3" fillId="0" borderId="22" xfId="0" applyFont="1" applyBorder="1"/>
    <xf numFmtId="0" fontId="0" fillId="2" borderId="17" xfId="0" applyFont="1" applyFill="1" applyBorder="1"/>
    <xf numFmtId="0" fontId="0" fillId="2" borderId="23" xfId="0" applyFont="1" applyFill="1" applyBorder="1"/>
    <xf numFmtId="164" fontId="3" fillId="2" borderId="19" xfId="0" applyNumberFormat="1" applyFont="1" applyFill="1" applyBorder="1"/>
    <xf numFmtId="0" fontId="3" fillId="0" borderId="4" xfId="0" applyFont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164" fontId="5" fillId="0" borderId="5" xfId="1" applyNumberFormat="1" applyFont="1" applyFill="1" applyBorder="1" applyAlignment="1">
      <alignment vertical="center"/>
    </xf>
    <xf numFmtId="164" fontId="5" fillId="2" borderId="5" xfId="1" applyNumberFormat="1" applyFont="1" applyFill="1" applyBorder="1" applyAlignment="1">
      <alignment vertical="center"/>
    </xf>
    <xf numFmtId="164" fontId="5" fillId="3" borderId="18" xfId="1" applyNumberFormat="1" applyFont="1" applyFill="1" applyBorder="1" applyAlignment="1">
      <alignment vertical="center"/>
    </xf>
    <xf numFmtId="164" fontId="5" fillId="4" borderId="8" xfId="1" applyNumberFormat="1" applyFont="1" applyFill="1" applyBorder="1" applyAlignment="1">
      <alignment vertical="center"/>
    </xf>
    <xf numFmtId="164" fontId="5" fillId="4" borderId="5" xfId="1" applyNumberFormat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164" fontId="4" fillId="2" borderId="5" xfId="1" applyNumberFormat="1" applyFont="1" applyFill="1" applyBorder="1" applyAlignment="1">
      <alignment vertical="center"/>
    </xf>
    <xf numFmtId="164" fontId="4" fillId="3" borderId="18" xfId="1" applyNumberFormat="1" applyFont="1" applyFill="1" applyBorder="1" applyAlignment="1">
      <alignment vertical="center"/>
    </xf>
    <xf numFmtId="164" fontId="4" fillId="0" borderId="8" xfId="1" applyNumberFormat="1" applyFont="1" applyBorder="1" applyAlignment="1">
      <alignment vertical="center"/>
    </xf>
    <xf numFmtId="164" fontId="4" fillId="0" borderId="5" xfId="1" applyNumberFormat="1" applyFont="1" applyFill="1" applyBorder="1" applyAlignment="1">
      <alignment vertical="center"/>
    </xf>
    <xf numFmtId="164" fontId="3" fillId="2" borderId="21" xfId="0" applyNumberFormat="1" applyFont="1" applyFill="1" applyBorder="1"/>
    <xf numFmtId="0" fontId="8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164" fontId="5" fillId="0" borderId="5" xfId="1" applyNumberFormat="1" applyFont="1" applyBorder="1" applyAlignment="1">
      <alignment vertical="center"/>
    </xf>
    <xf numFmtId="164" fontId="5" fillId="0" borderId="18" xfId="1" applyNumberFormat="1" applyFont="1" applyBorder="1" applyAlignment="1">
      <alignment vertical="center"/>
    </xf>
    <xf numFmtId="164" fontId="5" fillId="0" borderId="8" xfId="1" applyNumberFormat="1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19" fillId="0" borderId="5" xfId="0" applyFont="1" applyBorder="1" applyAlignment="1">
      <alignment vertical="center"/>
    </xf>
    <xf numFmtId="164" fontId="5" fillId="0" borderId="23" xfId="1" applyNumberFormat="1" applyFont="1" applyBorder="1" applyAlignment="1">
      <alignment vertical="center"/>
    </xf>
    <xf numFmtId="164" fontId="4" fillId="0" borderId="18" xfId="1" applyNumberFormat="1" applyFont="1" applyFill="1" applyBorder="1" applyAlignment="1">
      <alignment vertical="center"/>
    </xf>
    <xf numFmtId="164" fontId="5" fillId="3" borderId="5" xfId="1" applyNumberFormat="1" applyFont="1" applyFill="1" applyBorder="1" applyAlignment="1">
      <alignment vertical="center"/>
    </xf>
    <xf numFmtId="164" fontId="5" fillId="0" borderId="18" xfId="1" applyNumberFormat="1" applyFont="1" applyFill="1" applyBorder="1" applyAlignment="1">
      <alignment vertical="center"/>
    </xf>
    <xf numFmtId="0" fontId="2" fillId="0" borderId="0" xfId="0" applyFont="1"/>
    <xf numFmtId="0" fontId="2" fillId="0" borderId="4" xfId="0" applyFont="1" applyBorder="1"/>
    <xf numFmtId="0" fontId="0" fillId="0" borderId="4" xfId="0" applyFill="1" applyBorder="1"/>
    <xf numFmtId="0" fontId="2" fillId="0" borderId="4" xfId="0" applyFont="1" applyFill="1" applyBorder="1"/>
    <xf numFmtId="164" fontId="2" fillId="0" borderId="4" xfId="1" applyNumberFormat="1" applyFont="1" applyBorder="1"/>
    <xf numFmtId="0" fontId="0" fillId="0" borderId="5" xfId="0" applyFill="1" applyBorder="1"/>
    <xf numFmtId="0" fontId="3" fillId="0" borderId="21" xfId="0" applyFont="1" applyBorder="1"/>
    <xf numFmtId="164" fontId="2" fillId="2" borderId="4" xfId="1" applyNumberFormat="1" applyFont="1" applyFill="1" applyBorder="1"/>
    <xf numFmtId="0" fontId="20" fillId="0" borderId="0" xfId="0" applyFont="1"/>
    <xf numFmtId="165" fontId="5" fillId="0" borderId="4" xfId="7" applyNumberFormat="1" applyFont="1" applyFill="1" applyBorder="1" applyAlignment="1" applyProtection="1">
      <alignment vertical="center" wrapText="1"/>
      <protection locked="0"/>
    </xf>
    <xf numFmtId="0" fontId="20" fillId="0" borderId="4" xfId="0" applyFont="1" applyBorder="1"/>
    <xf numFmtId="0" fontId="20" fillId="0" borderId="4" xfId="0" applyFont="1" applyBorder="1" applyAlignment="1"/>
    <xf numFmtId="164" fontId="20" fillId="0" borderId="4" xfId="1" applyNumberFormat="1" applyFont="1" applyBorder="1"/>
    <xf numFmtId="164" fontId="20" fillId="2" borderId="4" xfId="1" applyNumberFormat="1" applyFont="1" applyFill="1" applyBorder="1"/>
    <xf numFmtId="164" fontId="3" fillId="0" borderId="4" xfId="1" applyNumberFormat="1" applyFont="1" applyBorder="1"/>
    <xf numFmtId="164" fontId="1" fillId="0" borderId="4" xfId="1" applyNumberFormat="1" applyFont="1" applyBorder="1"/>
    <xf numFmtId="164" fontId="0" fillId="3" borderId="4" xfId="1" applyNumberFormat="1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66" fontId="3" fillId="0" borderId="4" xfId="0" applyNumberFormat="1" applyFont="1" applyBorder="1" applyAlignment="1">
      <alignment vertical="center"/>
    </xf>
    <xf numFmtId="166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 wrapText="1"/>
    </xf>
    <xf numFmtId="166" fontId="1" fillId="0" borderId="4" xfId="2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65" fontId="19" fillId="0" borderId="0" xfId="7" applyNumberFormat="1" applyFont="1" applyFill="1" applyAlignment="1">
      <alignment vertical="center" wrapText="1"/>
    </xf>
    <xf numFmtId="165" fontId="6" fillId="0" borderId="0" xfId="7" applyNumberFormat="1" applyFont="1" applyFill="1" applyAlignment="1">
      <alignment horizontal="right" vertical="center"/>
    </xf>
    <xf numFmtId="0" fontId="4" fillId="0" borderId="19" xfId="7" applyFont="1" applyFill="1" applyBorder="1" applyAlignment="1" applyProtection="1">
      <alignment horizontal="center" vertical="center" wrapText="1"/>
    </xf>
    <xf numFmtId="0" fontId="4" fillId="0" borderId="20" xfId="7" applyFont="1" applyFill="1" applyBorder="1" applyAlignment="1" applyProtection="1">
      <alignment horizontal="center" vertical="center" wrapText="1"/>
    </xf>
    <xf numFmtId="0" fontId="4" fillId="0" borderId="21" xfId="7" applyFont="1" applyFill="1" applyBorder="1" applyAlignment="1" applyProtection="1">
      <alignment horizontal="center" vertical="center" wrapText="1"/>
    </xf>
    <xf numFmtId="0" fontId="5" fillId="0" borderId="24" xfId="7" applyFont="1" applyFill="1" applyBorder="1" applyAlignment="1" applyProtection="1">
      <alignment horizontal="left" vertical="center" wrapText="1" indent="1"/>
    </xf>
    <xf numFmtId="165" fontId="5" fillId="0" borderId="16" xfId="7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13" xfId="7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7" xfId="7" applyFont="1" applyFill="1" applyBorder="1" applyAlignment="1" applyProtection="1">
      <alignment horizontal="left" vertical="center" wrapText="1" indent="1"/>
    </xf>
    <xf numFmtId="165" fontId="5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11" xfId="7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12" xfId="7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7" xfId="7" applyFont="1" applyFill="1" applyBorder="1" applyAlignment="1" applyProtection="1">
      <alignment horizontal="left" vertical="center" wrapText="1" indent="8"/>
    </xf>
    <xf numFmtId="0" fontId="4" fillId="0" borderId="25" xfId="7" applyFont="1" applyFill="1" applyBorder="1" applyAlignment="1" applyProtection="1">
      <alignment vertical="center" wrapText="1"/>
    </xf>
    <xf numFmtId="165" fontId="4" fillId="0" borderId="26" xfId="7" applyNumberFormat="1" applyFont="1" applyFill="1" applyBorder="1" applyAlignment="1" applyProtection="1">
      <alignment vertical="center" wrapText="1"/>
    </xf>
    <xf numFmtId="165" fontId="4" fillId="0" borderId="27" xfId="7" applyNumberFormat="1" applyFont="1" applyFill="1" applyBorder="1" applyAlignment="1" applyProtection="1">
      <alignment vertical="center" wrapText="1"/>
    </xf>
    <xf numFmtId="0" fontId="8" fillId="0" borderId="0" xfId="10" applyFont="1" applyFill="1" applyProtection="1">
      <protection locked="0"/>
    </xf>
    <xf numFmtId="0" fontId="8" fillId="0" borderId="0" xfId="10" applyFont="1" applyFill="1" applyProtection="1"/>
    <xf numFmtId="0" fontId="9" fillId="0" borderId="0" xfId="7" applyFont="1" applyFill="1" applyAlignment="1">
      <alignment horizontal="right"/>
    </xf>
    <xf numFmtId="0" fontId="7" fillId="0" borderId="28" xfId="10" applyFont="1" applyFill="1" applyBorder="1" applyAlignment="1" applyProtection="1">
      <alignment horizontal="center" vertical="center" wrapText="1"/>
    </xf>
    <xf numFmtId="0" fontId="7" fillId="0" borderId="29" xfId="10" applyFont="1" applyFill="1" applyBorder="1" applyAlignment="1" applyProtection="1">
      <alignment horizontal="center" vertical="center"/>
    </xf>
    <xf numFmtId="0" fontId="7" fillId="0" borderId="30" xfId="10" applyFont="1" applyFill="1" applyBorder="1" applyAlignment="1" applyProtection="1">
      <alignment horizontal="center" vertical="center"/>
    </xf>
    <xf numFmtId="0" fontId="8" fillId="0" borderId="19" xfId="10" applyFont="1" applyFill="1" applyBorder="1" applyAlignment="1" applyProtection="1">
      <alignment horizontal="left" vertical="center" indent="1"/>
    </xf>
    <xf numFmtId="0" fontId="8" fillId="0" borderId="0" xfId="10" applyFont="1" applyFill="1" applyAlignment="1" applyProtection="1">
      <alignment vertical="center"/>
    </xf>
    <xf numFmtId="0" fontId="8" fillId="0" borderId="34" xfId="10" applyFont="1" applyFill="1" applyBorder="1" applyAlignment="1" applyProtection="1">
      <alignment horizontal="left" vertical="center" indent="1"/>
    </xf>
    <xf numFmtId="0" fontId="8" fillId="0" borderId="35" xfId="10" applyFont="1" applyFill="1" applyBorder="1" applyAlignment="1" applyProtection="1">
      <alignment horizontal="left" vertical="center" indent="1"/>
    </xf>
    <xf numFmtId="165" fontId="8" fillId="0" borderId="35" xfId="10" applyNumberFormat="1" applyFont="1" applyFill="1" applyBorder="1" applyAlignment="1" applyProtection="1">
      <alignment vertical="center"/>
      <protection locked="0"/>
    </xf>
    <xf numFmtId="165" fontId="8" fillId="0" borderId="36" xfId="10" applyNumberFormat="1" applyFont="1" applyFill="1" applyBorder="1" applyAlignment="1" applyProtection="1">
      <alignment vertical="center"/>
    </xf>
    <xf numFmtId="0" fontId="8" fillId="0" borderId="17" xfId="10" applyFont="1" applyFill="1" applyBorder="1" applyAlignment="1" applyProtection="1">
      <alignment horizontal="left" vertical="center" indent="1"/>
    </xf>
    <xf numFmtId="0" fontId="8" fillId="0" borderId="4" xfId="10" applyFont="1" applyFill="1" applyBorder="1" applyAlignment="1" applyProtection="1">
      <alignment horizontal="left" vertical="center" indent="1"/>
    </xf>
    <xf numFmtId="165" fontId="8" fillId="0" borderId="4" xfId="10" applyNumberFormat="1" applyFont="1" applyFill="1" applyBorder="1" applyAlignment="1" applyProtection="1">
      <alignment vertical="center"/>
      <protection locked="0"/>
    </xf>
    <xf numFmtId="165" fontId="8" fillId="0" borderId="11" xfId="10" applyNumberFormat="1" applyFont="1" applyFill="1" applyBorder="1" applyAlignment="1" applyProtection="1">
      <alignment vertical="center"/>
    </xf>
    <xf numFmtId="0" fontId="8" fillId="0" borderId="6" xfId="10" applyFont="1" applyFill="1" applyBorder="1" applyAlignment="1" applyProtection="1">
      <alignment horizontal="left" vertical="center" wrapText="1" indent="1"/>
    </xf>
    <xf numFmtId="165" fontId="8" fillId="0" borderId="6" xfId="10" applyNumberFormat="1" applyFont="1" applyFill="1" applyBorder="1" applyAlignment="1" applyProtection="1">
      <alignment vertical="center"/>
      <protection locked="0"/>
    </xf>
    <xf numFmtId="165" fontId="8" fillId="0" borderId="13" xfId="10" applyNumberFormat="1" applyFont="1" applyFill="1" applyBorder="1" applyAlignment="1" applyProtection="1">
      <alignment vertical="center"/>
    </xf>
    <xf numFmtId="0" fontId="8" fillId="0" borderId="0" xfId="10" applyFont="1" applyFill="1" applyAlignment="1" applyProtection="1">
      <alignment vertical="center"/>
      <protection locked="0"/>
    </xf>
    <xf numFmtId="0" fontId="8" fillId="0" borderId="4" xfId="10" applyFont="1" applyFill="1" applyBorder="1" applyAlignment="1" applyProtection="1">
      <alignment horizontal="left" vertical="center" wrapText="1" indent="1"/>
    </xf>
    <xf numFmtId="0" fontId="8" fillId="0" borderId="5" xfId="10" applyFont="1" applyFill="1" applyBorder="1" applyAlignment="1" applyProtection="1">
      <alignment horizontal="left" vertical="center" indent="1"/>
    </xf>
    <xf numFmtId="165" fontId="8" fillId="0" borderId="7" xfId="10" applyNumberFormat="1" applyFont="1" applyFill="1" applyBorder="1" applyAlignment="1" applyProtection="1">
      <alignment vertical="center"/>
      <protection locked="0"/>
    </xf>
    <xf numFmtId="0" fontId="7" fillId="0" borderId="20" xfId="10" applyFont="1" applyFill="1" applyBorder="1" applyAlignment="1" applyProtection="1">
      <alignment horizontal="left" vertical="center" indent="1"/>
    </xf>
    <xf numFmtId="165" fontId="7" fillId="0" borderId="20" xfId="10" applyNumberFormat="1" applyFont="1" applyFill="1" applyBorder="1" applyAlignment="1" applyProtection="1">
      <alignment vertical="center"/>
    </xf>
    <xf numFmtId="165" fontId="7" fillId="0" borderId="21" xfId="10" applyNumberFormat="1" applyFont="1" applyFill="1" applyBorder="1" applyAlignment="1" applyProtection="1">
      <alignment vertical="center"/>
    </xf>
    <xf numFmtId="0" fontId="8" fillId="0" borderId="24" xfId="10" applyFont="1" applyFill="1" applyBorder="1" applyAlignment="1" applyProtection="1">
      <alignment horizontal="left" vertical="center" indent="1"/>
    </xf>
    <xf numFmtId="0" fontId="8" fillId="0" borderId="6" xfId="10" applyFont="1" applyFill="1" applyBorder="1" applyAlignment="1" applyProtection="1">
      <alignment horizontal="left" vertical="center" indent="1"/>
    </xf>
    <xf numFmtId="0" fontId="8" fillId="0" borderId="37" xfId="10" applyFont="1" applyFill="1" applyBorder="1" applyAlignment="1" applyProtection="1">
      <alignment horizontal="left" vertical="center" indent="1"/>
    </xf>
    <xf numFmtId="0" fontId="8" fillId="0" borderId="7" xfId="10" applyFont="1" applyFill="1" applyBorder="1" applyAlignment="1" applyProtection="1">
      <alignment horizontal="left" vertical="center" indent="1"/>
    </xf>
    <xf numFmtId="165" fontId="8" fillId="0" borderId="38" xfId="10" applyNumberFormat="1" applyFont="1" applyFill="1" applyBorder="1" applyAlignment="1" applyProtection="1">
      <alignment vertical="center"/>
    </xf>
    <xf numFmtId="0" fontId="7" fillId="0" borderId="19" xfId="10" applyFont="1" applyFill="1" applyBorder="1" applyAlignment="1" applyProtection="1">
      <alignment horizontal="left" vertical="center" indent="1"/>
    </xf>
    <xf numFmtId="0" fontId="7" fillId="0" borderId="20" xfId="10" applyFont="1" applyFill="1" applyBorder="1" applyAlignment="1" applyProtection="1">
      <alignment horizontal="left" indent="1"/>
    </xf>
    <xf numFmtId="165" fontId="7" fillId="0" borderId="20" xfId="10" applyNumberFormat="1" applyFont="1" applyFill="1" applyBorder="1" applyProtection="1"/>
    <xf numFmtId="165" fontId="7" fillId="0" borderId="21" xfId="10" applyNumberFormat="1" applyFont="1" applyFill="1" applyBorder="1" applyProtection="1"/>
    <xf numFmtId="0" fontId="8" fillId="0" borderId="0" xfId="7" applyFont="1"/>
    <xf numFmtId="0" fontId="8" fillId="0" borderId="4" xfId="10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3" fillId="0" borderId="4" xfId="0" applyFont="1" applyBorder="1" applyAlignment="1">
      <alignment horizontal="center" wrapText="1"/>
    </xf>
    <xf numFmtId="164" fontId="4" fillId="0" borderId="1" xfId="1" applyNumberFormat="1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/>
    </xf>
    <xf numFmtId="164" fontId="4" fillId="0" borderId="3" xfId="1" applyNumberFormat="1" applyFont="1" applyBorder="1" applyAlignment="1">
      <alignment horizontal="center" vertical="center"/>
    </xf>
    <xf numFmtId="164" fontId="4" fillId="2" borderId="9" xfId="1" applyNumberFormat="1" applyFont="1" applyFill="1" applyBorder="1" applyAlignment="1">
      <alignment horizontal="center" vertical="center"/>
    </xf>
    <xf numFmtId="164" fontId="4" fillId="2" borderId="8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/>
    </xf>
    <xf numFmtId="164" fontId="4" fillId="2" borderId="10" xfId="1" applyNumberFormat="1" applyFont="1" applyFill="1" applyBorder="1" applyAlignment="1">
      <alignment horizontal="center" vertical="center"/>
    </xf>
    <xf numFmtId="164" fontId="4" fillId="2" borderId="15" xfId="1" applyNumberFormat="1" applyFont="1" applyFill="1" applyBorder="1" applyAlignment="1">
      <alignment horizontal="center" vertical="center"/>
    </xf>
    <xf numFmtId="164" fontId="4" fillId="2" borderId="16" xfId="1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right"/>
    </xf>
    <xf numFmtId="164" fontId="6" fillId="0" borderId="2" xfId="1" applyNumberFormat="1" applyFont="1" applyBorder="1" applyAlignment="1">
      <alignment horizontal="right"/>
    </xf>
    <xf numFmtId="164" fontId="6" fillId="0" borderId="3" xfId="1" applyNumberFormat="1" applyFont="1" applyBorder="1" applyAlignment="1">
      <alignment horizontal="right"/>
    </xf>
    <xf numFmtId="0" fontId="7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textRotation="90" wrapText="1"/>
    </xf>
    <xf numFmtId="0" fontId="4" fillId="0" borderId="6" xfId="0" applyFont="1" applyBorder="1" applyAlignment="1">
      <alignment horizontal="center" textRotation="90" wrapText="1"/>
    </xf>
    <xf numFmtId="164" fontId="4" fillId="0" borderId="12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textRotation="90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textRotation="90"/>
    </xf>
    <xf numFmtId="0" fontId="3" fillId="0" borderId="16" xfId="0" applyFont="1" applyBorder="1" applyAlignment="1">
      <alignment horizontal="center" textRotation="9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10" applyFont="1" applyFill="1" applyAlignment="1" applyProtection="1">
      <alignment horizontal="center" wrapText="1"/>
    </xf>
    <xf numFmtId="0" fontId="7" fillId="0" borderId="0" xfId="10" applyFont="1" applyFill="1" applyAlignment="1" applyProtection="1">
      <alignment horizontal="center"/>
    </xf>
    <xf numFmtId="0" fontId="9" fillId="0" borderId="31" xfId="10" applyFont="1" applyFill="1" applyBorder="1" applyAlignment="1" applyProtection="1">
      <alignment horizontal="left" vertical="center" indent="1"/>
    </xf>
    <xf numFmtId="0" fontId="9" fillId="0" borderId="32" xfId="10" applyFont="1" applyFill="1" applyBorder="1" applyAlignment="1" applyProtection="1">
      <alignment horizontal="left" vertical="center" indent="1"/>
    </xf>
    <xf numFmtId="0" fontId="9" fillId="0" borderId="33" xfId="10" applyFont="1" applyFill="1" applyBorder="1" applyAlignment="1" applyProtection="1">
      <alignment horizontal="left" vertical="center" indent="1"/>
    </xf>
    <xf numFmtId="0" fontId="7" fillId="0" borderId="0" xfId="7" applyFont="1" applyAlignment="1">
      <alignment horizontal="left"/>
    </xf>
    <xf numFmtId="0" fontId="16" fillId="0" borderId="0" xfId="0" applyFont="1" applyAlignment="1">
      <alignment horizontal="center"/>
    </xf>
    <xf numFmtId="0" fontId="20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16" fontId="0" fillId="0" borderId="4" xfId="0" applyNumberFormat="1" applyFont="1" applyBorder="1" applyAlignment="1">
      <alignment horizontal="center"/>
    </xf>
    <xf numFmtId="0" fontId="21" fillId="0" borderId="1" xfId="0" applyFont="1" applyBorder="1" applyAlignment="1">
      <alignment horizontal="right"/>
    </xf>
    <xf numFmtId="0" fontId="21" fillId="0" borderId="2" xfId="0" applyFont="1" applyBorder="1" applyAlignment="1">
      <alignment horizontal="right"/>
    </xf>
    <xf numFmtId="0" fontId="21" fillId="0" borderId="3" xfId="0" applyFont="1" applyBorder="1" applyAlignment="1">
      <alignment horizontal="right"/>
    </xf>
    <xf numFmtId="0" fontId="7" fillId="0" borderId="0" xfId="7" applyFont="1" applyAlignment="1">
      <alignment horizontal="center"/>
    </xf>
    <xf numFmtId="164" fontId="5" fillId="0" borderId="5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/>
    <xf numFmtId="0" fontId="0" fillId="2" borderId="5" xfId="0" applyFill="1" applyBorder="1" applyAlignment="1">
      <alignment horizontal="center"/>
    </xf>
    <xf numFmtId="0" fontId="0" fillId="2" borderId="5" xfId="0" applyFill="1" applyBorder="1"/>
    <xf numFmtId="0" fontId="20" fillId="0" borderId="15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3" borderId="4" xfId="0" applyFill="1" applyBorder="1" applyAlignment="1">
      <alignment wrapText="1"/>
    </xf>
    <xf numFmtId="166" fontId="0" fillId="0" borderId="4" xfId="2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166" fontId="1" fillId="2" borderId="4" xfId="2" applyNumberFormat="1" applyFont="1" applyFill="1" applyBorder="1" applyAlignment="1">
      <alignment vertical="center"/>
    </xf>
    <xf numFmtId="166" fontId="0" fillId="2" borderId="4" xfId="2" applyNumberFormat="1" applyFont="1" applyFill="1" applyBorder="1" applyAlignment="1">
      <alignment vertical="center"/>
    </xf>
    <xf numFmtId="166" fontId="0" fillId="2" borderId="4" xfId="0" applyNumberFormat="1" applyFill="1" applyBorder="1" applyAlignment="1">
      <alignment vertical="center"/>
    </xf>
    <xf numFmtId="0" fontId="0" fillId="3" borderId="4" xfId="0" applyFill="1" applyBorder="1"/>
    <xf numFmtId="0" fontId="0" fillId="0" borderId="4" xfId="0" applyBorder="1" applyAlignment="1">
      <alignment wrapText="1"/>
    </xf>
    <xf numFmtId="0" fontId="2" fillId="4" borderId="4" xfId="0" applyFont="1" applyFill="1" applyBorder="1" applyAlignment="1">
      <alignment horizontal="center"/>
    </xf>
    <xf numFmtId="165" fontId="2" fillId="0" borderId="11" xfId="7" applyNumberFormat="1" applyFont="1" applyFill="1" applyBorder="1" applyAlignment="1" applyProtection="1">
      <alignment horizontal="right" vertical="center" wrapText="1" indent="1"/>
      <protection locked="0"/>
    </xf>
    <xf numFmtId="9" fontId="0" fillId="0" borderId="0" xfId="0" applyNumberFormat="1" applyFont="1"/>
    <xf numFmtId="0" fontId="0" fillId="0" borderId="0" xfId="0" applyFont="1" applyAlignment="1"/>
    <xf numFmtId="9" fontId="0" fillId="0" borderId="4" xfId="11" applyFont="1" applyBorder="1"/>
    <xf numFmtId="0" fontId="3" fillId="0" borderId="4" xfId="0" applyFont="1" applyBorder="1" applyAlignment="1">
      <alignment wrapText="1"/>
    </xf>
    <xf numFmtId="164" fontId="0" fillId="0" borderId="0" xfId="0" applyNumberFormat="1"/>
  </cellXfs>
  <cellStyles count="12">
    <cellStyle name="Ezres" xfId="1" builtinId="3"/>
    <cellStyle name="Ezres 2" xfId="3"/>
    <cellStyle name="Ezres 3" xfId="4"/>
    <cellStyle name="Hiperhivatkozás" xfId="5"/>
    <cellStyle name="Már látott hiperhivatkozás" xfId="6"/>
    <cellStyle name="Normál" xfId="0" builtinId="0"/>
    <cellStyle name="Normál 2" xfId="7"/>
    <cellStyle name="Normál 3" xfId="8"/>
    <cellStyle name="Normál 4" xfId="9"/>
    <cellStyle name="Normál_SEGEDLETEK" xfId="10"/>
    <cellStyle name="Pénznem" xfId="2" builtinId="4"/>
    <cellStyle name="Százalék" xfId="1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B27" sqref="B27"/>
    </sheetView>
  </sheetViews>
  <sheetFormatPr defaultRowHeight="15"/>
  <cols>
    <col min="1" max="1" width="18.85546875" style="82" bestFit="1" customWidth="1"/>
    <col min="2" max="2" width="99" style="82" bestFit="1" customWidth="1"/>
    <col min="3" max="256" width="9.140625" style="82"/>
    <col min="257" max="257" width="18.85546875" style="82" bestFit="1" customWidth="1"/>
    <col min="258" max="258" width="99" style="82" bestFit="1" customWidth="1"/>
    <col min="259" max="512" width="9.140625" style="82"/>
    <col min="513" max="513" width="18.85546875" style="82" bestFit="1" customWidth="1"/>
    <col min="514" max="514" width="99" style="82" bestFit="1" customWidth="1"/>
    <col min="515" max="768" width="9.140625" style="82"/>
    <col min="769" max="769" width="18.85546875" style="82" bestFit="1" customWidth="1"/>
    <col min="770" max="770" width="99" style="82" bestFit="1" customWidth="1"/>
    <col min="771" max="1024" width="9.140625" style="82"/>
    <col min="1025" max="1025" width="18.85546875" style="82" bestFit="1" customWidth="1"/>
    <col min="1026" max="1026" width="99" style="82" bestFit="1" customWidth="1"/>
    <col min="1027" max="1280" width="9.140625" style="82"/>
    <col min="1281" max="1281" width="18.85546875" style="82" bestFit="1" customWidth="1"/>
    <col min="1282" max="1282" width="99" style="82" bestFit="1" customWidth="1"/>
    <col min="1283" max="1536" width="9.140625" style="82"/>
    <col min="1537" max="1537" width="18.85546875" style="82" bestFit="1" customWidth="1"/>
    <col min="1538" max="1538" width="99" style="82" bestFit="1" customWidth="1"/>
    <col min="1539" max="1792" width="9.140625" style="82"/>
    <col min="1793" max="1793" width="18.85546875" style="82" bestFit="1" customWidth="1"/>
    <col min="1794" max="1794" width="99" style="82" bestFit="1" customWidth="1"/>
    <col min="1795" max="2048" width="9.140625" style="82"/>
    <col min="2049" max="2049" width="18.85546875" style="82" bestFit="1" customWidth="1"/>
    <col min="2050" max="2050" width="99" style="82" bestFit="1" customWidth="1"/>
    <col min="2051" max="2304" width="9.140625" style="82"/>
    <col min="2305" max="2305" width="18.85546875" style="82" bestFit="1" customWidth="1"/>
    <col min="2306" max="2306" width="99" style="82" bestFit="1" customWidth="1"/>
    <col min="2307" max="2560" width="9.140625" style="82"/>
    <col min="2561" max="2561" width="18.85546875" style="82" bestFit="1" customWidth="1"/>
    <col min="2562" max="2562" width="99" style="82" bestFit="1" customWidth="1"/>
    <col min="2563" max="2816" width="9.140625" style="82"/>
    <col min="2817" max="2817" width="18.85546875" style="82" bestFit="1" customWidth="1"/>
    <col min="2818" max="2818" width="99" style="82" bestFit="1" customWidth="1"/>
    <col min="2819" max="3072" width="9.140625" style="82"/>
    <col min="3073" max="3073" width="18.85546875" style="82" bestFit="1" customWidth="1"/>
    <col min="3074" max="3074" width="99" style="82" bestFit="1" customWidth="1"/>
    <col min="3075" max="3328" width="9.140625" style="82"/>
    <col min="3329" max="3329" width="18.85546875" style="82" bestFit="1" customWidth="1"/>
    <col min="3330" max="3330" width="99" style="82" bestFit="1" customWidth="1"/>
    <col min="3331" max="3584" width="9.140625" style="82"/>
    <col min="3585" max="3585" width="18.85546875" style="82" bestFit="1" customWidth="1"/>
    <col min="3586" max="3586" width="99" style="82" bestFit="1" customWidth="1"/>
    <col min="3587" max="3840" width="9.140625" style="82"/>
    <col min="3841" max="3841" width="18.85546875" style="82" bestFit="1" customWidth="1"/>
    <col min="3842" max="3842" width="99" style="82" bestFit="1" customWidth="1"/>
    <col min="3843" max="4096" width="9.140625" style="82"/>
    <col min="4097" max="4097" width="18.85546875" style="82" bestFit="1" customWidth="1"/>
    <col min="4098" max="4098" width="99" style="82" bestFit="1" customWidth="1"/>
    <col min="4099" max="4352" width="9.140625" style="82"/>
    <col min="4353" max="4353" width="18.85546875" style="82" bestFit="1" customWidth="1"/>
    <col min="4354" max="4354" width="99" style="82" bestFit="1" customWidth="1"/>
    <col min="4355" max="4608" width="9.140625" style="82"/>
    <col min="4609" max="4609" width="18.85546875" style="82" bestFit="1" customWidth="1"/>
    <col min="4610" max="4610" width="99" style="82" bestFit="1" customWidth="1"/>
    <col min="4611" max="4864" width="9.140625" style="82"/>
    <col min="4865" max="4865" width="18.85546875" style="82" bestFit="1" customWidth="1"/>
    <col min="4866" max="4866" width="99" style="82" bestFit="1" customWidth="1"/>
    <col min="4867" max="5120" width="9.140625" style="82"/>
    <col min="5121" max="5121" width="18.85546875" style="82" bestFit="1" customWidth="1"/>
    <col min="5122" max="5122" width="99" style="82" bestFit="1" customWidth="1"/>
    <col min="5123" max="5376" width="9.140625" style="82"/>
    <col min="5377" max="5377" width="18.85546875" style="82" bestFit="1" customWidth="1"/>
    <col min="5378" max="5378" width="99" style="82" bestFit="1" customWidth="1"/>
    <col min="5379" max="5632" width="9.140625" style="82"/>
    <col min="5633" max="5633" width="18.85546875" style="82" bestFit="1" customWidth="1"/>
    <col min="5634" max="5634" width="99" style="82" bestFit="1" customWidth="1"/>
    <col min="5635" max="5888" width="9.140625" style="82"/>
    <col min="5889" max="5889" width="18.85546875" style="82" bestFit="1" customWidth="1"/>
    <col min="5890" max="5890" width="99" style="82" bestFit="1" customWidth="1"/>
    <col min="5891" max="6144" width="9.140625" style="82"/>
    <col min="6145" max="6145" width="18.85546875" style="82" bestFit="1" customWidth="1"/>
    <col min="6146" max="6146" width="99" style="82" bestFit="1" customWidth="1"/>
    <col min="6147" max="6400" width="9.140625" style="82"/>
    <col min="6401" max="6401" width="18.85546875" style="82" bestFit="1" customWidth="1"/>
    <col min="6402" max="6402" width="99" style="82" bestFit="1" customWidth="1"/>
    <col min="6403" max="6656" width="9.140625" style="82"/>
    <col min="6657" max="6657" width="18.85546875" style="82" bestFit="1" customWidth="1"/>
    <col min="6658" max="6658" width="99" style="82" bestFit="1" customWidth="1"/>
    <col min="6659" max="6912" width="9.140625" style="82"/>
    <col min="6913" max="6913" width="18.85546875" style="82" bestFit="1" customWidth="1"/>
    <col min="6914" max="6914" width="99" style="82" bestFit="1" customWidth="1"/>
    <col min="6915" max="7168" width="9.140625" style="82"/>
    <col min="7169" max="7169" width="18.85546875" style="82" bestFit="1" customWidth="1"/>
    <col min="7170" max="7170" width="99" style="82" bestFit="1" customWidth="1"/>
    <col min="7171" max="7424" width="9.140625" style="82"/>
    <col min="7425" max="7425" width="18.85546875" style="82" bestFit="1" customWidth="1"/>
    <col min="7426" max="7426" width="99" style="82" bestFit="1" customWidth="1"/>
    <col min="7427" max="7680" width="9.140625" style="82"/>
    <col min="7681" max="7681" width="18.85546875" style="82" bestFit="1" customWidth="1"/>
    <col min="7682" max="7682" width="99" style="82" bestFit="1" customWidth="1"/>
    <col min="7683" max="7936" width="9.140625" style="82"/>
    <col min="7937" max="7937" width="18.85546875" style="82" bestFit="1" customWidth="1"/>
    <col min="7938" max="7938" width="99" style="82" bestFit="1" customWidth="1"/>
    <col min="7939" max="8192" width="9.140625" style="82"/>
    <col min="8193" max="8193" width="18.85546875" style="82" bestFit="1" customWidth="1"/>
    <col min="8194" max="8194" width="99" style="82" bestFit="1" customWidth="1"/>
    <col min="8195" max="8448" width="9.140625" style="82"/>
    <col min="8449" max="8449" width="18.85546875" style="82" bestFit="1" customWidth="1"/>
    <col min="8450" max="8450" width="99" style="82" bestFit="1" customWidth="1"/>
    <col min="8451" max="8704" width="9.140625" style="82"/>
    <col min="8705" max="8705" width="18.85546875" style="82" bestFit="1" customWidth="1"/>
    <col min="8706" max="8706" width="99" style="82" bestFit="1" customWidth="1"/>
    <col min="8707" max="8960" width="9.140625" style="82"/>
    <col min="8961" max="8961" width="18.85546875" style="82" bestFit="1" customWidth="1"/>
    <col min="8962" max="8962" width="99" style="82" bestFit="1" customWidth="1"/>
    <col min="8963" max="9216" width="9.140625" style="82"/>
    <col min="9217" max="9217" width="18.85546875" style="82" bestFit="1" customWidth="1"/>
    <col min="9218" max="9218" width="99" style="82" bestFit="1" customWidth="1"/>
    <col min="9219" max="9472" width="9.140625" style="82"/>
    <col min="9473" max="9473" width="18.85546875" style="82" bestFit="1" customWidth="1"/>
    <col min="9474" max="9474" width="99" style="82" bestFit="1" customWidth="1"/>
    <col min="9475" max="9728" width="9.140625" style="82"/>
    <col min="9729" max="9729" width="18.85546875" style="82" bestFit="1" customWidth="1"/>
    <col min="9730" max="9730" width="99" style="82" bestFit="1" customWidth="1"/>
    <col min="9731" max="9984" width="9.140625" style="82"/>
    <col min="9985" max="9985" width="18.85546875" style="82" bestFit="1" customWidth="1"/>
    <col min="9986" max="9986" width="99" style="82" bestFit="1" customWidth="1"/>
    <col min="9987" max="10240" width="9.140625" style="82"/>
    <col min="10241" max="10241" width="18.85546875" style="82" bestFit="1" customWidth="1"/>
    <col min="10242" max="10242" width="99" style="82" bestFit="1" customWidth="1"/>
    <col min="10243" max="10496" width="9.140625" style="82"/>
    <col min="10497" max="10497" width="18.85546875" style="82" bestFit="1" customWidth="1"/>
    <col min="10498" max="10498" width="99" style="82" bestFit="1" customWidth="1"/>
    <col min="10499" max="10752" width="9.140625" style="82"/>
    <col min="10753" max="10753" width="18.85546875" style="82" bestFit="1" customWidth="1"/>
    <col min="10754" max="10754" width="99" style="82" bestFit="1" customWidth="1"/>
    <col min="10755" max="11008" width="9.140625" style="82"/>
    <col min="11009" max="11009" width="18.85546875" style="82" bestFit="1" customWidth="1"/>
    <col min="11010" max="11010" width="99" style="82" bestFit="1" customWidth="1"/>
    <col min="11011" max="11264" width="9.140625" style="82"/>
    <col min="11265" max="11265" width="18.85546875" style="82" bestFit="1" customWidth="1"/>
    <col min="11266" max="11266" width="99" style="82" bestFit="1" customWidth="1"/>
    <col min="11267" max="11520" width="9.140625" style="82"/>
    <col min="11521" max="11521" width="18.85546875" style="82" bestFit="1" customWidth="1"/>
    <col min="11522" max="11522" width="99" style="82" bestFit="1" customWidth="1"/>
    <col min="11523" max="11776" width="9.140625" style="82"/>
    <col min="11777" max="11777" width="18.85546875" style="82" bestFit="1" customWidth="1"/>
    <col min="11778" max="11778" width="99" style="82" bestFit="1" customWidth="1"/>
    <col min="11779" max="12032" width="9.140625" style="82"/>
    <col min="12033" max="12033" width="18.85546875" style="82" bestFit="1" customWidth="1"/>
    <col min="12034" max="12034" width="99" style="82" bestFit="1" customWidth="1"/>
    <col min="12035" max="12288" width="9.140625" style="82"/>
    <col min="12289" max="12289" width="18.85546875" style="82" bestFit="1" customWidth="1"/>
    <col min="12290" max="12290" width="99" style="82" bestFit="1" customWidth="1"/>
    <col min="12291" max="12544" width="9.140625" style="82"/>
    <col min="12545" max="12545" width="18.85546875" style="82" bestFit="1" customWidth="1"/>
    <col min="12546" max="12546" width="99" style="82" bestFit="1" customWidth="1"/>
    <col min="12547" max="12800" width="9.140625" style="82"/>
    <col min="12801" max="12801" width="18.85546875" style="82" bestFit="1" customWidth="1"/>
    <col min="12802" max="12802" width="99" style="82" bestFit="1" customWidth="1"/>
    <col min="12803" max="13056" width="9.140625" style="82"/>
    <col min="13057" max="13057" width="18.85546875" style="82" bestFit="1" customWidth="1"/>
    <col min="13058" max="13058" width="99" style="82" bestFit="1" customWidth="1"/>
    <col min="13059" max="13312" width="9.140625" style="82"/>
    <col min="13313" max="13313" width="18.85546875" style="82" bestFit="1" customWidth="1"/>
    <col min="13314" max="13314" width="99" style="82" bestFit="1" customWidth="1"/>
    <col min="13315" max="13568" width="9.140625" style="82"/>
    <col min="13569" max="13569" width="18.85546875" style="82" bestFit="1" customWidth="1"/>
    <col min="13570" max="13570" width="99" style="82" bestFit="1" customWidth="1"/>
    <col min="13571" max="13824" width="9.140625" style="82"/>
    <col min="13825" max="13825" width="18.85546875" style="82" bestFit="1" customWidth="1"/>
    <col min="13826" max="13826" width="99" style="82" bestFit="1" customWidth="1"/>
    <col min="13827" max="14080" width="9.140625" style="82"/>
    <col min="14081" max="14081" width="18.85546875" style="82" bestFit="1" customWidth="1"/>
    <col min="14082" max="14082" width="99" style="82" bestFit="1" customWidth="1"/>
    <col min="14083" max="14336" width="9.140625" style="82"/>
    <col min="14337" max="14337" width="18.85546875" style="82" bestFit="1" customWidth="1"/>
    <col min="14338" max="14338" width="99" style="82" bestFit="1" customWidth="1"/>
    <col min="14339" max="14592" width="9.140625" style="82"/>
    <col min="14593" max="14593" width="18.85546875" style="82" bestFit="1" customWidth="1"/>
    <col min="14594" max="14594" width="99" style="82" bestFit="1" customWidth="1"/>
    <col min="14595" max="14848" width="9.140625" style="82"/>
    <col min="14849" max="14849" width="18.85546875" style="82" bestFit="1" customWidth="1"/>
    <col min="14850" max="14850" width="99" style="82" bestFit="1" customWidth="1"/>
    <col min="14851" max="15104" width="9.140625" style="82"/>
    <col min="15105" max="15105" width="18.85546875" style="82" bestFit="1" customWidth="1"/>
    <col min="15106" max="15106" width="99" style="82" bestFit="1" customWidth="1"/>
    <col min="15107" max="15360" width="9.140625" style="82"/>
    <col min="15361" max="15361" width="18.85546875" style="82" bestFit="1" customWidth="1"/>
    <col min="15362" max="15362" width="99" style="82" bestFit="1" customWidth="1"/>
    <col min="15363" max="15616" width="9.140625" style="82"/>
    <col min="15617" max="15617" width="18.85546875" style="82" bestFit="1" customWidth="1"/>
    <col min="15618" max="15618" width="99" style="82" bestFit="1" customWidth="1"/>
    <col min="15619" max="15872" width="9.140625" style="82"/>
    <col min="15873" max="15873" width="18.85546875" style="82" bestFit="1" customWidth="1"/>
    <col min="15874" max="15874" width="99" style="82" bestFit="1" customWidth="1"/>
    <col min="15875" max="16128" width="9.140625" style="82"/>
    <col min="16129" max="16129" width="18.85546875" style="82" bestFit="1" customWidth="1"/>
    <col min="16130" max="16130" width="99" style="82" bestFit="1" customWidth="1"/>
    <col min="16131" max="16384" width="9.140625" style="82"/>
  </cols>
  <sheetData>
    <row r="1" spans="1:2">
      <c r="A1" s="210" t="s">
        <v>225</v>
      </c>
      <c r="B1" s="210"/>
    </row>
    <row r="2" spans="1:2">
      <c r="A2" s="210" t="s">
        <v>226</v>
      </c>
      <c r="B2" s="210"/>
    </row>
    <row r="4" spans="1:2">
      <c r="A4" s="80" t="s">
        <v>121</v>
      </c>
      <c r="B4" s="75" t="s">
        <v>117</v>
      </c>
    </row>
    <row r="5" spans="1:2">
      <c r="A5" s="80" t="s">
        <v>227</v>
      </c>
      <c r="B5" s="75" t="s">
        <v>241</v>
      </c>
    </row>
    <row r="6" spans="1:2">
      <c r="A6" s="80" t="s">
        <v>122</v>
      </c>
      <c r="B6" s="75" t="s">
        <v>243</v>
      </c>
    </row>
    <row r="7" spans="1:2">
      <c r="A7" s="80" t="s">
        <v>123</v>
      </c>
      <c r="B7" s="75" t="s">
        <v>244</v>
      </c>
    </row>
    <row r="8" spans="1:2">
      <c r="A8" s="80" t="s">
        <v>124</v>
      </c>
      <c r="B8" s="75" t="s">
        <v>245</v>
      </c>
    </row>
    <row r="9" spans="1:2">
      <c r="A9" s="80" t="s">
        <v>125</v>
      </c>
      <c r="B9" s="75" t="s">
        <v>246</v>
      </c>
    </row>
    <row r="10" spans="1:2">
      <c r="A10" s="80" t="s">
        <v>126</v>
      </c>
      <c r="B10" s="75" t="s">
        <v>247</v>
      </c>
    </row>
    <row r="11" spans="1:2">
      <c r="A11" s="80" t="s">
        <v>127</v>
      </c>
      <c r="B11" s="75" t="s">
        <v>248</v>
      </c>
    </row>
    <row r="12" spans="1:2">
      <c r="A12" s="80" t="s">
        <v>128</v>
      </c>
      <c r="B12" s="75" t="s">
        <v>249</v>
      </c>
    </row>
    <row r="13" spans="1:2">
      <c r="A13" s="80" t="s">
        <v>129</v>
      </c>
      <c r="B13" s="75" t="s">
        <v>250</v>
      </c>
    </row>
    <row r="14" spans="1:2">
      <c r="A14" s="80" t="s">
        <v>130</v>
      </c>
      <c r="B14" s="75" t="s">
        <v>251</v>
      </c>
    </row>
    <row r="15" spans="1:2">
      <c r="A15" s="75" t="s">
        <v>228</v>
      </c>
      <c r="B15" s="80" t="s">
        <v>136</v>
      </c>
    </row>
    <row r="16" spans="1:2">
      <c r="A16" s="75" t="s">
        <v>229</v>
      </c>
      <c r="B16" s="80" t="s">
        <v>137</v>
      </c>
    </row>
    <row r="17" spans="1:2">
      <c r="A17" s="75" t="s">
        <v>230</v>
      </c>
      <c r="B17" s="80" t="s">
        <v>231</v>
      </c>
    </row>
    <row r="19" spans="1:2">
      <c r="A19" s="22" t="s">
        <v>119</v>
      </c>
    </row>
  </sheetData>
  <mergeCells count="2">
    <mergeCell ref="A1:B1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9"/>
  <sheetViews>
    <sheetView workbookViewId="0">
      <selection activeCell="I27" sqref="I27"/>
    </sheetView>
  </sheetViews>
  <sheetFormatPr defaultRowHeight="15"/>
  <cols>
    <col min="1" max="1" width="3.7109375" customWidth="1"/>
    <col min="2" max="2" width="45" bestFit="1" customWidth="1"/>
    <col min="3" max="3" width="11.42578125" customWidth="1"/>
    <col min="4" max="4" width="12" customWidth="1"/>
    <col min="5" max="5" width="14.140625" bestFit="1" customWidth="1"/>
    <col min="6" max="6" width="13.85546875" bestFit="1" customWidth="1"/>
    <col min="7" max="7" width="10" bestFit="1" customWidth="1"/>
    <col min="8" max="8" width="11.42578125" bestFit="1" customWidth="1"/>
    <col min="9" max="9" width="10" bestFit="1" customWidth="1"/>
    <col min="10" max="10" width="10.7109375" customWidth="1"/>
    <col min="11" max="11" width="12.140625" customWidth="1"/>
    <col min="12" max="12" width="12" customWidth="1"/>
    <col min="13" max="13" width="11.140625" customWidth="1"/>
    <col min="14" max="14" width="17.28515625" bestFit="1" customWidth="1"/>
  </cols>
  <sheetData>
    <row r="1" spans="1:14" s="1" customFormat="1">
      <c r="A1" s="224" t="s">
        <v>88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</row>
    <row r="2" spans="1:14" s="1" customFormat="1">
      <c r="A2" s="225" t="s">
        <v>9</v>
      </c>
      <c r="B2" s="226"/>
      <c r="C2" s="226"/>
      <c r="D2" s="226"/>
      <c r="E2" s="226"/>
      <c r="F2" s="226"/>
      <c r="G2" s="226"/>
      <c r="H2" s="226"/>
      <c r="I2" s="226"/>
      <c r="J2" s="226"/>
      <c r="K2" s="227"/>
      <c r="L2" s="224" t="s">
        <v>128</v>
      </c>
      <c r="M2" s="224"/>
      <c r="N2" s="224"/>
    </row>
    <row r="3" spans="1:14" s="3" customFormat="1" ht="15" customHeight="1">
      <c r="A3" s="224" t="s">
        <v>44</v>
      </c>
      <c r="B3" s="224"/>
      <c r="C3" s="215" t="s">
        <v>10</v>
      </c>
      <c r="D3" s="216"/>
      <c r="E3" s="216"/>
      <c r="F3" s="216"/>
      <c r="G3" s="231"/>
      <c r="H3" s="233" t="s">
        <v>11</v>
      </c>
      <c r="I3" s="233"/>
      <c r="J3" s="233"/>
      <c r="K3" s="251"/>
      <c r="L3" s="234" t="s">
        <v>13</v>
      </c>
      <c r="M3" s="224"/>
      <c r="N3" s="224"/>
    </row>
    <row r="4" spans="1:14" s="3" customFormat="1" ht="66.75" customHeight="1">
      <c r="A4" s="76" t="s">
        <v>38</v>
      </c>
      <c r="B4" s="104" t="s">
        <v>87</v>
      </c>
      <c r="C4" s="5" t="s">
        <v>77</v>
      </c>
      <c r="D4" s="4" t="s">
        <v>15</v>
      </c>
      <c r="E4" s="4" t="s">
        <v>16</v>
      </c>
      <c r="F4" s="5" t="s">
        <v>48</v>
      </c>
      <c r="G4" s="56" t="s">
        <v>35</v>
      </c>
      <c r="H4" s="50" t="s">
        <v>17</v>
      </c>
      <c r="I4" s="5" t="s">
        <v>18</v>
      </c>
      <c r="J4" s="5" t="s">
        <v>36</v>
      </c>
      <c r="K4" s="56" t="s">
        <v>37</v>
      </c>
      <c r="L4" s="69" t="s">
        <v>19</v>
      </c>
      <c r="M4" s="6" t="s">
        <v>20</v>
      </c>
      <c r="N4" s="7" t="s">
        <v>21</v>
      </c>
    </row>
    <row r="5" spans="1:14" s="1" customFormat="1" ht="15.75" thickBot="1">
      <c r="A5" s="119" t="s">
        <v>61</v>
      </c>
      <c r="B5" s="118" t="s">
        <v>89</v>
      </c>
      <c r="C5" s="121">
        <v>18454</v>
      </c>
      <c r="D5" s="121">
        <v>2806</v>
      </c>
      <c r="E5" s="128">
        <v>250</v>
      </c>
      <c r="F5" s="108"/>
      <c r="G5" s="122">
        <f>SUM(C5:F5)</f>
        <v>21510</v>
      </c>
      <c r="H5" s="66"/>
      <c r="I5" s="121">
        <v>11364</v>
      </c>
      <c r="J5" s="121">
        <f>G5-I5</f>
        <v>10146</v>
      </c>
      <c r="K5" s="129">
        <f>SUM(H5:J5)</f>
        <v>21510</v>
      </c>
      <c r="L5" s="123">
        <v>8</v>
      </c>
      <c r="M5" s="121">
        <v>1</v>
      </c>
      <c r="N5" s="108"/>
    </row>
    <row r="6" spans="1:14" s="68" customFormat="1" ht="15.75" thickBot="1">
      <c r="A6" s="243" t="s">
        <v>33</v>
      </c>
      <c r="B6" s="244"/>
      <c r="C6" s="91">
        <f>SUM(C5)</f>
        <v>18454</v>
      </c>
      <c r="D6" s="91">
        <f t="shared" ref="D6:M6" si="0">SUM(D5)</f>
        <v>2806</v>
      </c>
      <c r="E6" s="91">
        <f t="shared" si="0"/>
        <v>250</v>
      </c>
      <c r="F6" s="92"/>
      <c r="G6" s="93">
        <f t="shared" si="0"/>
        <v>21510</v>
      </c>
      <c r="H6" s="97"/>
      <c r="I6" s="91">
        <f t="shared" si="0"/>
        <v>11364</v>
      </c>
      <c r="J6" s="91">
        <f t="shared" si="0"/>
        <v>10146</v>
      </c>
      <c r="K6" s="93">
        <f t="shared" si="0"/>
        <v>21510</v>
      </c>
      <c r="L6" s="94">
        <f t="shared" si="0"/>
        <v>8</v>
      </c>
      <c r="M6" s="91">
        <f t="shared" si="0"/>
        <v>1</v>
      </c>
      <c r="N6" s="117"/>
    </row>
    <row r="9" spans="1:14">
      <c r="B9" s="32" t="s">
        <v>119</v>
      </c>
    </row>
  </sheetData>
  <mergeCells count="8">
    <mergeCell ref="A6:B6"/>
    <mergeCell ref="A1:N1"/>
    <mergeCell ref="A2:K2"/>
    <mergeCell ref="L2:N2"/>
    <mergeCell ref="A3:B3"/>
    <mergeCell ref="C3:G3"/>
    <mergeCell ref="H3:K3"/>
    <mergeCell ref="L3:N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15"/>
  <sheetViews>
    <sheetView workbookViewId="0">
      <selection activeCell="M5" sqref="M5"/>
    </sheetView>
  </sheetViews>
  <sheetFormatPr defaultRowHeight="15"/>
  <cols>
    <col min="1" max="1" width="3.85546875" customWidth="1"/>
    <col min="2" max="2" width="42.42578125" bestFit="1" customWidth="1"/>
    <col min="3" max="4" width="12.5703125" bestFit="1" customWidth="1"/>
    <col min="5" max="5" width="14.28515625" bestFit="1" customWidth="1"/>
    <col min="6" max="6" width="14.28515625" customWidth="1"/>
    <col min="7" max="7" width="12.7109375" customWidth="1"/>
    <col min="8" max="8" width="11.5703125" bestFit="1" customWidth="1"/>
    <col min="9" max="11" width="12.5703125" bestFit="1" customWidth="1"/>
    <col min="14" max="14" width="17.28515625" bestFit="1" customWidth="1"/>
  </cols>
  <sheetData>
    <row r="1" spans="1:14" s="1" customFormat="1">
      <c r="A1" s="224" t="s">
        <v>88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</row>
    <row r="2" spans="1:14" s="1" customFormat="1">
      <c r="A2" s="225" t="s">
        <v>9</v>
      </c>
      <c r="B2" s="226"/>
      <c r="C2" s="226"/>
      <c r="D2" s="226"/>
      <c r="E2" s="226"/>
      <c r="F2" s="226"/>
      <c r="G2" s="226"/>
      <c r="H2" s="226"/>
      <c r="I2" s="226"/>
      <c r="J2" s="226"/>
      <c r="K2" s="227"/>
      <c r="L2" s="224" t="s">
        <v>129</v>
      </c>
      <c r="M2" s="224"/>
      <c r="N2" s="224"/>
    </row>
    <row r="3" spans="1:14" s="3" customFormat="1" ht="15" customHeight="1">
      <c r="A3" s="224" t="s">
        <v>44</v>
      </c>
      <c r="B3" s="224"/>
      <c r="C3" s="215" t="s">
        <v>10</v>
      </c>
      <c r="D3" s="216"/>
      <c r="E3" s="216"/>
      <c r="F3" s="216"/>
      <c r="G3" s="231"/>
      <c r="H3" s="233" t="s">
        <v>11</v>
      </c>
      <c r="I3" s="233"/>
      <c r="J3" s="233"/>
      <c r="K3" s="251"/>
      <c r="L3" s="234" t="s">
        <v>13</v>
      </c>
      <c r="M3" s="224"/>
      <c r="N3" s="224"/>
    </row>
    <row r="4" spans="1:14" s="3" customFormat="1" ht="66.75" customHeight="1">
      <c r="A4" s="76" t="s">
        <v>38</v>
      </c>
      <c r="B4" s="104" t="s">
        <v>87</v>
      </c>
      <c r="C4" s="5" t="s">
        <v>77</v>
      </c>
      <c r="D4" s="4" t="s">
        <v>15</v>
      </c>
      <c r="E4" s="4" t="s">
        <v>16</v>
      </c>
      <c r="F4" s="5" t="s">
        <v>48</v>
      </c>
      <c r="G4" s="56" t="s">
        <v>35</v>
      </c>
      <c r="H4" s="50" t="s">
        <v>17</v>
      </c>
      <c r="I4" s="5" t="s">
        <v>18</v>
      </c>
      <c r="J4" s="5" t="s">
        <v>36</v>
      </c>
      <c r="K4" s="56" t="s">
        <v>37</v>
      </c>
      <c r="L4" s="69" t="s">
        <v>19</v>
      </c>
      <c r="M4" s="6" t="s">
        <v>20</v>
      </c>
      <c r="N4" s="7" t="s">
        <v>21</v>
      </c>
    </row>
    <row r="5" spans="1:14" s="1" customFormat="1">
      <c r="A5" s="119" t="s">
        <v>60</v>
      </c>
      <c r="B5" s="80" t="s">
        <v>97</v>
      </c>
      <c r="C5" s="121">
        <f>18281+4906</f>
        <v>23187</v>
      </c>
      <c r="D5" s="121">
        <v>6155</v>
      </c>
      <c r="E5" s="108"/>
      <c r="F5" s="108"/>
      <c r="G5" s="122">
        <f>SUM(C5:F5)</f>
        <v>29342</v>
      </c>
      <c r="H5" s="123">
        <v>1935</v>
      </c>
      <c r="I5" s="121">
        <v>6645</v>
      </c>
      <c r="J5" s="121">
        <f>G5-H5-I5</f>
        <v>20762</v>
      </c>
      <c r="K5" s="107">
        <f>SUM(H5:J5)</f>
        <v>29342</v>
      </c>
      <c r="L5" s="268">
        <v>11</v>
      </c>
      <c r="M5" s="268">
        <v>1</v>
      </c>
      <c r="N5" s="108"/>
    </row>
    <row r="6" spans="1:14">
      <c r="A6" s="75" t="s">
        <v>60</v>
      </c>
      <c r="B6" s="75" t="s">
        <v>90</v>
      </c>
      <c r="C6" s="83">
        <f>1507+407</f>
        <v>1914</v>
      </c>
      <c r="D6" s="83">
        <v>1727</v>
      </c>
      <c r="E6" s="83">
        <v>1039</v>
      </c>
      <c r="F6" s="84"/>
      <c r="G6" s="122">
        <f t="shared" ref="G6:G12" si="0">SUM(C6:F6)</f>
        <v>4680</v>
      </c>
      <c r="H6" s="83">
        <v>1905</v>
      </c>
      <c r="I6" s="83">
        <v>2775</v>
      </c>
      <c r="J6" s="108"/>
      <c r="K6" s="107">
        <f t="shared" ref="K6:K12" si="1">SUM(H6:J6)</f>
        <v>4680</v>
      </c>
      <c r="L6" s="269">
        <v>1</v>
      </c>
      <c r="M6" s="270"/>
      <c r="N6" s="271"/>
    </row>
    <row r="7" spans="1:14" s="130" customFormat="1">
      <c r="A7" s="131" t="s">
        <v>61</v>
      </c>
      <c r="B7" s="131" t="s">
        <v>91</v>
      </c>
      <c r="C7" s="137"/>
      <c r="D7" s="134">
        <v>8647</v>
      </c>
      <c r="E7" s="137"/>
      <c r="F7" s="137"/>
      <c r="G7" s="122">
        <f t="shared" si="0"/>
        <v>8647</v>
      </c>
      <c r="H7" s="134">
        <v>7303</v>
      </c>
      <c r="I7" s="137"/>
      <c r="J7" s="121">
        <f t="shared" ref="J7:J12" si="2">G7-H7-I7</f>
        <v>1344</v>
      </c>
      <c r="K7" s="107">
        <f t="shared" si="1"/>
        <v>8647</v>
      </c>
      <c r="L7" s="291"/>
      <c r="M7" s="272"/>
      <c r="N7" s="273"/>
    </row>
    <row r="8" spans="1:14">
      <c r="A8" s="75" t="s">
        <v>60</v>
      </c>
      <c r="B8" s="75" t="s">
        <v>93</v>
      </c>
      <c r="C8" s="83">
        <f>10319+2752</f>
        <v>13071</v>
      </c>
      <c r="D8" s="83">
        <v>14506</v>
      </c>
      <c r="E8" s="84"/>
      <c r="F8" s="84"/>
      <c r="G8" s="122">
        <f t="shared" si="0"/>
        <v>27577</v>
      </c>
      <c r="H8" s="83">
        <v>3954</v>
      </c>
      <c r="I8" s="83">
        <f>29248-5625-29</f>
        <v>23594</v>
      </c>
      <c r="J8" s="128">
        <v>29</v>
      </c>
      <c r="K8" s="107">
        <f t="shared" si="1"/>
        <v>27577</v>
      </c>
      <c r="L8" s="269">
        <v>7</v>
      </c>
      <c r="M8" s="270"/>
      <c r="N8" s="271"/>
    </row>
    <row r="9" spans="1:14">
      <c r="A9" s="75" t="s">
        <v>60</v>
      </c>
      <c r="B9" s="132" t="s">
        <v>96</v>
      </c>
      <c r="C9" s="83">
        <f>2592+690</f>
        <v>3282</v>
      </c>
      <c r="D9" s="83">
        <v>3670</v>
      </c>
      <c r="E9" s="84"/>
      <c r="F9" s="84"/>
      <c r="G9" s="122">
        <f t="shared" si="0"/>
        <v>6952</v>
      </c>
      <c r="H9" s="83">
        <v>572</v>
      </c>
      <c r="I9" s="83">
        <v>5625</v>
      </c>
      <c r="J9" s="121">
        <f t="shared" si="2"/>
        <v>755</v>
      </c>
      <c r="K9" s="107">
        <f t="shared" si="1"/>
        <v>6952</v>
      </c>
      <c r="L9" s="269">
        <v>2</v>
      </c>
      <c r="M9" s="270"/>
      <c r="N9" s="271"/>
    </row>
    <row r="10" spans="1:14">
      <c r="A10" s="132" t="s">
        <v>60</v>
      </c>
      <c r="B10" s="132" t="s">
        <v>95</v>
      </c>
      <c r="C10" s="84"/>
      <c r="D10" s="83">
        <v>41</v>
      </c>
      <c r="E10" s="84"/>
      <c r="F10" s="84"/>
      <c r="G10" s="122">
        <f t="shared" si="0"/>
        <v>41</v>
      </c>
      <c r="H10" s="84"/>
      <c r="I10" s="84"/>
      <c r="J10" s="121">
        <f t="shared" si="2"/>
        <v>41</v>
      </c>
      <c r="K10" s="107">
        <f t="shared" si="1"/>
        <v>41</v>
      </c>
      <c r="L10" s="270"/>
      <c r="M10" s="270"/>
      <c r="N10" s="271"/>
    </row>
    <row r="11" spans="1:14" s="130" customFormat="1">
      <c r="A11" s="131" t="s">
        <v>61</v>
      </c>
      <c r="B11" s="133" t="s">
        <v>92</v>
      </c>
      <c r="C11" s="137"/>
      <c r="D11" s="134">
        <v>1778</v>
      </c>
      <c r="E11" s="137"/>
      <c r="F11" s="137"/>
      <c r="G11" s="122">
        <f t="shared" si="0"/>
        <v>1778</v>
      </c>
      <c r="H11" s="134">
        <v>3556</v>
      </c>
      <c r="I11" s="137"/>
      <c r="J11" s="121">
        <f t="shared" si="2"/>
        <v>-1778</v>
      </c>
      <c r="K11" s="107">
        <f t="shared" si="1"/>
        <v>1778</v>
      </c>
      <c r="L11" s="272"/>
      <c r="M11" s="272"/>
      <c r="N11" s="273"/>
    </row>
    <row r="12" spans="1:14" ht="15.75" thickBot="1">
      <c r="A12" s="135" t="s">
        <v>60</v>
      </c>
      <c r="B12" s="135" t="s">
        <v>94</v>
      </c>
      <c r="C12" s="88"/>
      <c r="D12" s="87">
        <v>11430</v>
      </c>
      <c r="E12" s="88"/>
      <c r="F12" s="88"/>
      <c r="G12" s="122">
        <f t="shared" si="0"/>
        <v>11430</v>
      </c>
      <c r="H12" s="87">
        <v>933</v>
      </c>
      <c r="I12" s="88"/>
      <c r="J12" s="121">
        <f t="shared" si="2"/>
        <v>10497</v>
      </c>
      <c r="K12" s="107">
        <f t="shared" si="1"/>
        <v>11430</v>
      </c>
      <c r="L12" s="274"/>
      <c r="M12" s="274"/>
      <c r="N12" s="275"/>
    </row>
    <row r="13" spans="1:14" s="68" customFormat="1" ht="15.75" thickBot="1">
      <c r="A13" s="243" t="s">
        <v>33</v>
      </c>
      <c r="B13" s="244"/>
      <c r="C13" s="91">
        <f>SUM(C5:C12)</f>
        <v>41454</v>
      </c>
      <c r="D13" s="91">
        <f>SUM(D5:D12)</f>
        <v>47954</v>
      </c>
      <c r="E13" s="91">
        <f>SUM(E5:E12)</f>
        <v>1039</v>
      </c>
      <c r="F13" s="95"/>
      <c r="G13" s="91">
        <f>SUM(G5:G12)</f>
        <v>90447</v>
      </c>
      <c r="H13" s="91">
        <f>SUM(H5:H12)</f>
        <v>20158</v>
      </c>
      <c r="I13" s="91">
        <f t="shared" ref="I13:K13" si="3">SUM(I5:I12)</f>
        <v>38639</v>
      </c>
      <c r="J13" s="91">
        <f t="shared" si="3"/>
        <v>31650</v>
      </c>
      <c r="K13" s="91">
        <f t="shared" si="3"/>
        <v>90447</v>
      </c>
      <c r="L13" s="91">
        <f>SUM(L5:L12)</f>
        <v>21</v>
      </c>
      <c r="M13" s="91">
        <f>SUM(M5:M12)</f>
        <v>1</v>
      </c>
      <c r="N13" s="136"/>
    </row>
    <row r="15" spans="1:14">
      <c r="B15" s="32" t="s">
        <v>119</v>
      </c>
    </row>
  </sheetData>
  <mergeCells count="8">
    <mergeCell ref="A13:B13"/>
    <mergeCell ref="A1:N1"/>
    <mergeCell ref="A2:K2"/>
    <mergeCell ref="L2:N2"/>
    <mergeCell ref="A3:B3"/>
    <mergeCell ref="C3:G3"/>
    <mergeCell ref="H3:K3"/>
    <mergeCell ref="L3:N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9"/>
  <sheetViews>
    <sheetView workbookViewId="0">
      <selection activeCell="H21" sqref="H21"/>
    </sheetView>
  </sheetViews>
  <sheetFormatPr defaultRowHeight="15"/>
  <cols>
    <col min="1" max="1" width="5.85546875" customWidth="1"/>
    <col min="2" max="2" width="40.7109375" bestFit="1" customWidth="1"/>
    <col min="3" max="3" width="14.28515625" customWidth="1"/>
    <col min="5" max="5" width="12.42578125" customWidth="1"/>
    <col min="6" max="6" width="13.85546875" bestFit="1" customWidth="1"/>
    <col min="7" max="7" width="11.7109375" customWidth="1"/>
    <col min="8" max="8" width="11.42578125" bestFit="1" customWidth="1"/>
    <col min="9" max="9" width="11.85546875" customWidth="1"/>
    <col min="10" max="10" width="11.7109375" customWidth="1"/>
    <col min="12" max="12" width="15.5703125" customWidth="1"/>
    <col min="13" max="13" width="10.5703125" customWidth="1"/>
    <col min="14" max="14" width="17.28515625" bestFit="1" customWidth="1"/>
  </cols>
  <sheetData>
    <row r="1" spans="1:14" s="1" customFormat="1">
      <c r="A1" s="224" t="s">
        <v>99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</row>
    <row r="2" spans="1:14" s="1" customFormat="1">
      <c r="A2" s="225" t="s">
        <v>9</v>
      </c>
      <c r="B2" s="226"/>
      <c r="C2" s="226"/>
      <c r="D2" s="226"/>
      <c r="E2" s="226"/>
      <c r="F2" s="226"/>
      <c r="G2" s="226"/>
      <c r="H2" s="226"/>
      <c r="I2" s="226"/>
      <c r="J2" s="226"/>
      <c r="K2" s="227"/>
      <c r="L2" s="224" t="s">
        <v>130</v>
      </c>
      <c r="M2" s="224"/>
      <c r="N2" s="224"/>
    </row>
    <row r="3" spans="1:14" s="3" customFormat="1" ht="15" customHeight="1">
      <c r="A3" s="224" t="s">
        <v>44</v>
      </c>
      <c r="B3" s="224"/>
      <c r="C3" s="215" t="s">
        <v>10</v>
      </c>
      <c r="D3" s="216"/>
      <c r="E3" s="216"/>
      <c r="F3" s="216"/>
      <c r="G3" s="231"/>
      <c r="H3" s="233" t="s">
        <v>11</v>
      </c>
      <c r="I3" s="233"/>
      <c r="J3" s="233"/>
      <c r="K3" s="251"/>
      <c r="L3" s="234" t="s">
        <v>13</v>
      </c>
      <c r="M3" s="224"/>
      <c r="N3" s="224"/>
    </row>
    <row r="4" spans="1:14" s="3" customFormat="1" ht="66.75" customHeight="1">
      <c r="A4" s="76" t="s">
        <v>38</v>
      </c>
      <c r="B4" s="104" t="s">
        <v>32</v>
      </c>
      <c r="C4" s="5" t="s">
        <v>77</v>
      </c>
      <c r="D4" s="4" t="s">
        <v>15</v>
      </c>
      <c r="E4" s="4" t="s">
        <v>16</v>
      </c>
      <c r="F4" s="5" t="s">
        <v>48</v>
      </c>
      <c r="G4" s="56" t="s">
        <v>35</v>
      </c>
      <c r="H4" s="50" t="s">
        <v>17</v>
      </c>
      <c r="I4" s="5" t="s">
        <v>18</v>
      </c>
      <c r="J4" s="5" t="s">
        <v>36</v>
      </c>
      <c r="K4" s="56" t="s">
        <v>37</v>
      </c>
      <c r="L4" s="69" t="s">
        <v>19</v>
      </c>
      <c r="M4" s="6" t="s">
        <v>20</v>
      </c>
      <c r="N4" s="7" t="s">
        <v>21</v>
      </c>
    </row>
    <row r="5" spans="1:14" s="1" customFormat="1" ht="15.75" thickBot="1">
      <c r="A5" s="119" t="s">
        <v>60</v>
      </c>
      <c r="B5" s="118" t="s">
        <v>98</v>
      </c>
      <c r="C5" s="121">
        <v>6051</v>
      </c>
      <c r="D5" s="121">
        <v>1837</v>
      </c>
      <c r="E5" s="108"/>
      <c r="F5" s="108"/>
      <c r="G5" s="122">
        <f>SUM(C5:F5)</f>
        <v>7888</v>
      </c>
      <c r="H5" s="123">
        <v>4540</v>
      </c>
      <c r="I5" s="108"/>
      <c r="J5" s="128">
        <v>3348</v>
      </c>
      <c r="K5" s="107">
        <f>SUM(H5:J5)</f>
        <v>7888</v>
      </c>
      <c r="L5" s="121">
        <v>2</v>
      </c>
      <c r="M5" s="108">
        <v>0</v>
      </c>
      <c r="N5" s="108">
        <v>0</v>
      </c>
    </row>
    <row r="6" spans="1:14" s="68" customFormat="1" ht="15.75" thickBot="1">
      <c r="A6" s="243" t="s">
        <v>33</v>
      </c>
      <c r="B6" s="244"/>
      <c r="C6" s="91">
        <f>SUM(C5)</f>
        <v>6051</v>
      </c>
      <c r="D6" s="91">
        <f t="shared" ref="D6:K6" si="0">SUM(D5)</f>
        <v>1837</v>
      </c>
      <c r="E6" s="91">
        <f t="shared" si="0"/>
        <v>0</v>
      </c>
      <c r="F6" s="91">
        <f t="shared" si="0"/>
        <v>0</v>
      </c>
      <c r="G6" s="91">
        <f t="shared" si="0"/>
        <v>7888</v>
      </c>
      <c r="H6" s="91">
        <f t="shared" si="0"/>
        <v>4540</v>
      </c>
      <c r="I6" s="91">
        <f t="shared" si="0"/>
        <v>0</v>
      </c>
      <c r="J6" s="91">
        <f t="shared" si="0"/>
        <v>3348</v>
      </c>
      <c r="K6" s="91">
        <f t="shared" si="0"/>
        <v>7888</v>
      </c>
      <c r="L6" s="92"/>
      <c r="M6" s="92"/>
      <c r="N6" s="117"/>
    </row>
    <row r="9" spans="1:14">
      <c r="B9" s="32" t="s">
        <v>119</v>
      </c>
    </row>
  </sheetData>
  <mergeCells count="8">
    <mergeCell ref="A6:B6"/>
    <mergeCell ref="A1:N1"/>
    <mergeCell ref="A2:K2"/>
    <mergeCell ref="L2:N2"/>
    <mergeCell ref="A3:B3"/>
    <mergeCell ref="C3:G3"/>
    <mergeCell ref="H3:K3"/>
    <mergeCell ref="L3:N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H27" sqref="H27"/>
    </sheetView>
  </sheetViews>
  <sheetFormatPr defaultRowHeight="15"/>
  <cols>
    <col min="1" max="1" width="30.5703125" style="147" bestFit="1" customWidth="1"/>
    <col min="2" max="2" width="17" style="147" bestFit="1" customWidth="1"/>
    <col min="3" max="3" width="20.7109375" style="147" customWidth="1"/>
    <col min="4" max="4" width="16.28515625" style="147" customWidth="1"/>
    <col min="5" max="5" width="15.7109375" style="147" customWidth="1"/>
    <col min="6" max="16384" width="9.140625" style="147"/>
  </cols>
  <sheetData>
    <row r="1" spans="1:5">
      <c r="C1" s="277" t="s">
        <v>228</v>
      </c>
      <c r="D1" s="277"/>
      <c r="E1" s="277"/>
    </row>
    <row r="2" spans="1:5">
      <c r="A2" s="252" t="s">
        <v>136</v>
      </c>
      <c r="B2" s="252"/>
      <c r="C2" s="252"/>
      <c r="D2" s="252"/>
      <c r="E2" s="252"/>
    </row>
    <row r="3" spans="1:5">
      <c r="A3" s="252" t="s">
        <v>224</v>
      </c>
      <c r="B3" s="252"/>
      <c r="C3" s="252"/>
      <c r="D3" s="252"/>
      <c r="E3" s="252"/>
    </row>
    <row r="4" spans="1:5">
      <c r="A4" s="156"/>
      <c r="B4" s="156"/>
      <c r="C4" s="156"/>
    </row>
    <row r="5" spans="1:5" s="155" customFormat="1">
      <c r="A5" s="276" t="s">
        <v>135</v>
      </c>
      <c r="B5" s="276"/>
      <c r="C5" s="276"/>
      <c r="D5" s="276"/>
      <c r="E5" s="276"/>
    </row>
    <row r="6" spans="1:5" s="154" customFormat="1">
      <c r="A6" s="283" t="s">
        <v>162</v>
      </c>
      <c r="B6" s="283" t="s">
        <v>10</v>
      </c>
      <c r="C6" s="278" t="s">
        <v>11</v>
      </c>
      <c r="D6" s="280"/>
      <c r="E6" s="279"/>
    </row>
    <row r="7" spans="1:5" s="154" customFormat="1">
      <c r="A7" s="284"/>
      <c r="B7" s="284"/>
      <c r="C7" s="104" t="s">
        <v>252</v>
      </c>
      <c r="D7" s="104" t="s">
        <v>253</v>
      </c>
      <c r="E7" s="104" t="s">
        <v>74</v>
      </c>
    </row>
    <row r="8" spans="1:5">
      <c r="A8" s="153" t="s">
        <v>134</v>
      </c>
      <c r="B8" s="152">
        <v>2200000</v>
      </c>
      <c r="C8" s="152">
        <f>2200000+1100000</f>
        <v>3300000</v>
      </c>
      <c r="D8" s="285"/>
      <c r="E8" s="150">
        <f>SUM(C8:D8)</f>
        <v>3300000</v>
      </c>
    </row>
    <row r="9" spans="1:5">
      <c r="A9" s="153" t="s">
        <v>133</v>
      </c>
      <c r="B9" s="152">
        <v>4699000</v>
      </c>
      <c r="C9" s="152">
        <f>5000000+3000000</f>
        <v>8000000</v>
      </c>
      <c r="D9" s="285"/>
      <c r="E9" s="150">
        <f t="shared" ref="E9:E20" si="0">SUM(C9:D9)</f>
        <v>8000000</v>
      </c>
    </row>
    <row r="10" spans="1:5">
      <c r="A10" s="153" t="s">
        <v>233</v>
      </c>
      <c r="B10" s="152">
        <v>13462000</v>
      </c>
      <c r="C10" s="152">
        <v>10000000</v>
      </c>
      <c r="D10" s="285"/>
      <c r="E10" s="150">
        <f t="shared" si="0"/>
        <v>10000000</v>
      </c>
    </row>
    <row r="11" spans="1:5">
      <c r="A11" s="153" t="s">
        <v>232</v>
      </c>
      <c r="B11" s="152">
        <v>342000</v>
      </c>
      <c r="C11" s="286"/>
      <c r="D11" s="282">
        <v>300000</v>
      </c>
      <c r="E11" s="150">
        <f t="shared" si="0"/>
        <v>300000</v>
      </c>
    </row>
    <row r="12" spans="1:5">
      <c r="A12" s="153" t="s">
        <v>234</v>
      </c>
      <c r="B12" s="152">
        <v>10000000</v>
      </c>
      <c r="C12" s="152">
        <v>7776000</v>
      </c>
      <c r="D12" s="287"/>
      <c r="E12" s="150">
        <f t="shared" si="0"/>
        <v>7776000</v>
      </c>
    </row>
    <row r="13" spans="1:5">
      <c r="A13" s="151" t="s">
        <v>235</v>
      </c>
      <c r="B13" s="152">
        <f>7500000</f>
        <v>7500000</v>
      </c>
      <c r="C13" s="286"/>
      <c r="D13" s="282">
        <v>6750000</v>
      </c>
      <c r="E13" s="150">
        <f t="shared" si="0"/>
        <v>6750000</v>
      </c>
    </row>
    <row r="14" spans="1:5">
      <c r="A14" s="151" t="s">
        <v>236</v>
      </c>
      <c r="B14" s="152">
        <v>10093000</v>
      </c>
      <c r="C14" s="152">
        <v>9588000</v>
      </c>
      <c r="D14" s="287"/>
      <c r="E14" s="150">
        <f t="shared" si="0"/>
        <v>9588000</v>
      </c>
    </row>
    <row r="15" spans="1:5">
      <c r="A15" s="153" t="s">
        <v>237</v>
      </c>
      <c r="B15" s="152">
        <v>991000</v>
      </c>
      <c r="C15" s="286"/>
      <c r="D15" s="285"/>
      <c r="E15" s="288"/>
    </row>
    <row r="16" spans="1:5">
      <c r="A16" s="153" t="s">
        <v>238</v>
      </c>
      <c r="B16" s="152">
        <v>5000000</v>
      </c>
      <c r="C16" s="152">
        <v>5000000</v>
      </c>
      <c r="D16" s="285"/>
      <c r="E16" s="150">
        <f t="shared" si="0"/>
        <v>5000000</v>
      </c>
    </row>
    <row r="17" spans="1:5">
      <c r="A17" s="153" t="s">
        <v>239</v>
      </c>
      <c r="B17" s="152">
        <v>418000</v>
      </c>
      <c r="C17" s="152">
        <v>418000</v>
      </c>
      <c r="D17" s="285"/>
      <c r="E17" s="150">
        <f t="shared" si="0"/>
        <v>418000</v>
      </c>
    </row>
    <row r="18" spans="1:5">
      <c r="A18" s="153" t="s">
        <v>240</v>
      </c>
      <c r="B18" s="152">
        <v>912000</v>
      </c>
      <c r="C18" s="286"/>
      <c r="D18" s="285"/>
      <c r="E18" s="288"/>
    </row>
    <row r="19" spans="1:5">
      <c r="A19" s="104" t="s">
        <v>33</v>
      </c>
      <c r="B19" s="150">
        <f>SUM(B8:B18)</f>
        <v>55617000</v>
      </c>
      <c r="C19" s="150">
        <f>SUM(C8:C17)</f>
        <v>44082000</v>
      </c>
      <c r="D19" s="150">
        <f>SUM(D8:D17)</f>
        <v>7050000</v>
      </c>
      <c r="E19" s="150">
        <f t="shared" si="0"/>
        <v>51132000</v>
      </c>
    </row>
    <row r="20" spans="1:5" ht="30">
      <c r="A20" s="151" t="s">
        <v>132</v>
      </c>
      <c r="B20" s="150">
        <f>-B8</f>
        <v>-2200000</v>
      </c>
      <c r="C20" s="288"/>
      <c r="D20" s="285"/>
      <c r="E20" s="288"/>
    </row>
    <row r="21" spans="1:5">
      <c r="A21" s="104" t="s">
        <v>131</v>
      </c>
      <c r="B21" s="149">
        <f>SUM(B19:B20)</f>
        <v>53417000</v>
      </c>
      <c r="C21" s="149">
        <f>SUM(C19:C20)</f>
        <v>44082000</v>
      </c>
      <c r="D21" s="149">
        <f>SUM(D8:D20)</f>
        <v>14100000</v>
      </c>
      <c r="E21" s="150">
        <f>E19</f>
        <v>51132000</v>
      </c>
    </row>
    <row r="23" spans="1:5">
      <c r="A23" s="148" t="s">
        <v>119</v>
      </c>
    </row>
  </sheetData>
  <mergeCells count="7">
    <mergeCell ref="C6:E6"/>
    <mergeCell ref="A6:A7"/>
    <mergeCell ref="B6:B7"/>
    <mergeCell ref="A5:E5"/>
    <mergeCell ref="C1:E1"/>
    <mergeCell ref="A2:E2"/>
    <mergeCell ref="A3:E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1" orientation="landscape" verticalDpi="0" r:id="rId1"/>
  <headerFooter>
    <oddHeader>&amp;R&amp;"-,Félkövér"13. számú melléklet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C27"/>
  <sheetViews>
    <sheetView topLeftCell="A10" workbookViewId="0">
      <selection activeCell="E18" sqref="E18"/>
    </sheetView>
  </sheetViews>
  <sheetFormatPr defaultColWidth="29.85546875" defaultRowHeight="15"/>
  <cols>
    <col min="1" max="1" width="29.140625" style="82" bestFit="1" customWidth="1"/>
    <col min="2" max="2" width="18.7109375" style="82" bestFit="1" customWidth="1"/>
    <col min="3" max="3" width="18.85546875" style="82" bestFit="1" customWidth="1"/>
    <col min="4" max="256" width="29.85546875" style="82"/>
    <col min="257" max="257" width="29.140625" style="82" bestFit="1" customWidth="1"/>
    <col min="258" max="258" width="18.7109375" style="82" bestFit="1" customWidth="1"/>
    <col min="259" max="259" width="12.42578125" style="82" bestFit="1" customWidth="1"/>
    <col min="260" max="512" width="29.85546875" style="82"/>
    <col min="513" max="513" width="29.140625" style="82" bestFit="1" customWidth="1"/>
    <col min="514" max="514" width="18.7109375" style="82" bestFit="1" customWidth="1"/>
    <col min="515" max="515" width="12.42578125" style="82" bestFit="1" customWidth="1"/>
    <col min="516" max="768" width="29.85546875" style="82"/>
    <col min="769" max="769" width="29.140625" style="82" bestFit="1" customWidth="1"/>
    <col min="770" max="770" width="18.7109375" style="82" bestFit="1" customWidth="1"/>
    <col min="771" max="771" width="12.42578125" style="82" bestFit="1" customWidth="1"/>
    <col min="772" max="1024" width="29.85546875" style="82"/>
    <col min="1025" max="1025" width="29.140625" style="82" bestFit="1" customWidth="1"/>
    <col min="1026" max="1026" width="18.7109375" style="82" bestFit="1" customWidth="1"/>
    <col min="1027" max="1027" width="12.42578125" style="82" bestFit="1" customWidth="1"/>
    <col min="1028" max="1280" width="29.85546875" style="82"/>
    <col min="1281" max="1281" width="29.140625" style="82" bestFit="1" customWidth="1"/>
    <col min="1282" max="1282" width="18.7109375" style="82" bestFit="1" customWidth="1"/>
    <col min="1283" max="1283" width="12.42578125" style="82" bestFit="1" customWidth="1"/>
    <col min="1284" max="1536" width="29.85546875" style="82"/>
    <col min="1537" max="1537" width="29.140625" style="82" bestFit="1" customWidth="1"/>
    <col min="1538" max="1538" width="18.7109375" style="82" bestFit="1" customWidth="1"/>
    <col min="1539" max="1539" width="12.42578125" style="82" bestFit="1" customWidth="1"/>
    <col min="1540" max="1792" width="29.85546875" style="82"/>
    <col min="1793" max="1793" width="29.140625" style="82" bestFit="1" customWidth="1"/>
    <col min="1794" max="1794" width="18.7109375" style="82" bestFit="1" customWidth="1"/>
    <col min="1795" max="1795" width="12.42578125" style="82" bestFit="1" customWidth="1"/>
    <col min="1796" max="2048" width="29.85546875" style="82"/>
    <col min="2049" max="2049" width="29.140625" style="82" bestFit="1" customWidth="1"/>
    <col min="2050" max="2050" width="18.7109375" style="82" bestFit="1" customWidth="1"/>
    <col min="2051" max="2051" width="12.42578125" style="82" bestFit="1" customWidth="1"/>
    <col min="2052" max="2304" width="29.85546875" style="82"/>
    <col min="2305" max="2305" width="29.140625" style="82" bestFit="1" customWidth="1"/>
    <col min="2306" max="2306" width="18.7109375" style="82" bestFit="1" customWidth="1"/>
    <col min="2307" max="2307" width="12.42578125" style="82" bestFit="1" customWidth="1"/>
    <col min="2308" max="2560" width="29.85546875" style="82"/>
    <col min="2561" max="2561" width="29.140625" style="82" bestFit="1" customWidth="1"/>
    <col min="2562" max="2562" width="18.7109375" style="82" bestFit="1" customWidth="1"/>
    <col min="2563" max="2563" width="12.42578125" style="82" bestFit="1" customWidth="1"/>
    <col min="2564" max="2816" width="29.85546875" style="82"/>
    <col min="2817" max="2817" width="29.140625" style="82" bestFit="1" customWidth="1"/>
    <col min="2818" max="2818" width="18.7109375" style="82" bestFit="1" customWidth="1"/>
    <col min="2819" max="2819" width="12.42578125" style="82" bestFit="1" customWidth="1"/>
    <col min="2820" max="3072" width="29.85546875" style="82"/>
    <col min="3073" max="3073" width="29.140625" style="82" bestFit="1" customWidth="1"/>
    <col min="3074" max="3074" width="18.7109375" style="82" bestFit="1" customWidth="1"/>
    <col min="3075" max="3075" width="12.42578125" style="82" bestFit="1" customWidth="1"/>
    <col min="3076" max="3328" width="29.85546875" style="82"/>
    <col min="3329" max="3329" width="29.140625" style="82" bestFit="1" customWidth="1"/>
    <col min="3330" max="3330" width="18.7109375" style="82" bestFit="1" customWidth="1"/>
    <col min="3331" max="3331" width="12.42578125" style="82" bestFit="1" customWidth="1"/>
    <col min="3332" max="3584" width="29.85546875" style="82"/>
    <col min="3585" max="3585" width="29.140625" style="82" bestFit="1" customWidth="1"/>
    <col min="3586" max="3586" width="18.7109375" style="82" bestFit="1" customWidth="1"/>
    <col min="3587" max="3587" width="12.42578125" style="82" bestFit="1" customWidth="1"/>
    <col min="3588" max="3840" width="29.85546875" style="82"/>
    <col min="3841" max="3841" width="29.140625" style="82" bestFit="1" customWidth="1"/>
    <col min="3842" max="3842" width="18.7109375" style="82" bestFit="1" customWidth="1"/>
    <col min="3843" max="3843" width="12.42578125" style="82" bestFit="1" customWidth="1"/>
    <col min="3844" max="4096" width="29.85546875" style="82"/>
    <col min="4097" max="4097" width="29.140625" style="82" bestFit="1" customWidth="1"/>
    <col min="4098" max="4098" width="18.7109375" style="82" bestFit="1" customWidth="1"/>
    <col min="4099" max="4099" width="12.42578125" style="82" bestFit="1" customWidth="1"/>
    <col min="4100" max="4352" width="29.85546875" style="82"/>
    <col min="4353" max="4353" width="29.140625" style="82" bestFit="1" customWidth="1"/>
    <col min="4354" max="4354" width="18.7109375" style="82" bestFit="1" customWidth="1"/>
    <col min="4355" max="4355" width="12.42578125" style="82" bestFit="1" customWidth="1"/>
    <col min="4356" max="4608" width="29.85546875" style="82"/>
    <col min="4609" max="4609" width="29.140625" style="82" bestFit="1" customWidth="1"/>
    <col min="4610" max="4610" width="18.7109375" style="82" bestFit="1" customWidth="1"/>
    <col min="4611" max="4611" width="12.42578125" style="82" bestFit="1" customWidth="1"/>
    <col min="4612" max="4864" width="29.85546875" style="82"/>
    <col min="4865" max="4865" width="29.140625" style="82" bestFit="1" customWidth="1"/>
    <col min="4866" max="4866" width="18.7109375" style="82" bestFit="1" customWidth="1"/>
    <col min="4867" max="4867" width="12.42578125" style="82" bestFit="1" customWidth="1"/>
    <col min="4868" max="5120" width="29.85546875" style="82"/>
    <col min="5121" max="5121" width="29.140625" style="82" bestFit="1" customWidth="1"/>
    <col min="5122" max="5122" width="18.7109375" style="82" bestFit="1" customWidth="1"/>
    <col min="5123" max="5123" width="12.42578125" style="82" bestFit="1" customWidth="1"/>
    <col min="5124" max="5376" width="29.85546875" style="82"/>
    <col min="5377" max="5377" width="29.140625" style="82" bestFit="1" customWidth="1"/>
    <col min="5378" max="5378" width="18.7109375" style="82" bestFit="1" customWidth="1"/>
    <col min="5379" max="5379" width="12.42578125" style="82" bestFit="1" customWidth="1"/>
    <col min="5380" max="5632" width="29.85546875" style="82"/>
    <col min="5633" max="5633" width="29.140625" style="82" bestFit="1" customWidth="1"/>
    <col min="5634" max="5634" width="18.7109375" style="82" bestFit="1" customWidth="1"/>
    <col min="5635" max="5635" width="12.42578125" style="82" bestFit="1" customWidth="1"/>
    <col min="5636" max="5888" width="29.85546875" style="82"/>
    <col min="5889" max="5889" width="29.140625" style="82" bestFit="1" customWidth="1"/>
    <col min="5890" max="5890" width="18.7109375" style="82" bestFit="1" customWidth="1"/>
    <col min="5891" max="5891" width="12.42578125" style="82" bestFit="1" customWidth="1"/>
    <col min="5892" max="6144" width="29.85546875" style="82"/>
    <col min="6145" max="6145" width="29.140625" style="82" bestFit="1" customWidth="1"/>
    <col min="6146" max="6146" width="18.7109375" style="82" bestFit="1" customWidth="1"/>
    <col min="6147" max="6147" width="12.42578125" style="82" bestFit="1" customWidth="1"/>
    <col min="6148" max="6400" width="29.85546875" style="82"/>
    <col min="6401" max="6401" width="29.140625" style="82" bestFit="1" customWidth="1"/>
    <col min="6402" max="6402" width="18.7109375" style="82" bestFit="1" customWidth="1"/>
    <col min="6403" max="6403" width="12.42578125" style="82" bestFit="1" customWidth="1"/>
    <col min="6404" max="6656" width="29.85546875" style="82"/>
    <col min="6657" max="6657" width="29.140625" style="82" bestFit="1" customWidth="1"/>
    <col min="6658" max="6658" width="18.7109375" style="82" bestFit="1" customWidth="1"/>
    <col min="6659" max="6659" width="12.42578125" style="82" bestFit="1" customWidth="1"/>
    <col min="6660" max="6912" width="29.85546875" style="82"/>
    <col min="6913" max="6913" width="29.140625" style="82" bestFit="1" customWidth="1"/>
    <col min="6914" max="6914" width="18.7109375" style="82" bestFit="1" customWidth="1"/>
    <col min="6915" max="6915" width="12.42578125" style="82" bestFit="1" customWidth="1"/>
    <col min="6916" max="7168" width="29.85546875" style="82"/>
    <col min="7169" max="7169" width="29.140625" style="82" bestFit="1" customWidth="1"/>
    <col min="7170" max="7170" width="18.7109375" style="82" bestFit="1" customWidth="1"/>
    <col min="7171" max="7171" width="12.42578125" style="82" bestFit="1" customWidth="1"/>
    <col min="7172" max="7424" width="29.85546875" style="82"/>
    <col min="7425" max="7425" width="29.140625" style="82" bestFit="1" customWidth="1"/>
    <col min="7426" max="7426" width="18.7109375" style="82" bestFit="1" customWidth="1"/>
    <col min="7427" max="7427" width="12.42578125" style="82" bestFit="1" customWidth="1"/>
    <col min="7428" max="7680" width="29.85546875" style="82"/>
    <col min="7681" max="7681" width="29.140625" style="82" bestFit="1" customWidth="1"/>
    <col min="7682" max="7682" width="18.7109375" style="82" bestFit="1" customWidth="1"/>
    <col min="7683" max="7683" width="12.42578125" style="82" bestFit="1" customWidth="1"/>
    <col min="7684" max="7936" width="29.85546875" style="82"/>
    <col min="7937" max="7937" width="29.140625" style="82" bestFit="1" customWidth="1"/>
    <col min="7938" max="7938" width="18.7109375" style="82" bestFit="1" customWidth="1"/>
    <col min="7939" max="7939" width="12.42578125" style="82" bestFit="1" customWidth="1"/>
    <col min="7940" max="8192" width="29.85546875" style="82"/>
    <col min="8193" max="8193" width="29.140625" style="82" bestFit="1" customWidth="1"/>
    <col min="8194" max="8194" width="18.7109375" style="82" bestFit="1" customWidth="1"/>
    <col min="8195" max="8195" width="12.42578125" style="82" bestFit="1" customWidth="1"/>
    <col min="8196" max="8448" width="29.85546875" style="82"/>
    <col min="8449" max="8449" width="29.140625" style="82" bestFit="1" customWidth="1"/>
    <col min="8450" max="8450" width="18.7109375" style="82" bestFit="1" customWidth="1"/>
    <col min="8451" max="8451" width="12.42578125" style="82" bestFit="1" customWidth="1"/>
    <col min="8452" max="8704" width="29.85546875" style="82"/>
    <col min="8705" max="8705" width="29.140625" style="82" bestFit="1" customWidth="1"/>
    <col min="8706" max="8706" width="18.7109375" style="82" bestFit="1" customWidth="1"/>
    <col min="8707" max="8707" width="12.42578125" style="82" bestFit="1" customWidth="1"/>
    <col min="8708" max="8960" width="29.85546875" style="82"/>
    <col min="8961" max="8961" width="29.140625" style="82" bestFit="1" customWidth="1"/>
    <col min="8962" max="8962" width="18.7109375" style="82" bestFit="1" customWidth="1"/>
    <col min="8963" max="8963" width="12.42578125" style="82" bestFit="1" customWidth="1"/>
    <col min="8964" max="9216" width="29.85546875" style="82"/>
    <col min="9217" max="9217" width="29.140625" style="82" bestFit="1" customWidth="1"/>
    <col min="9218" max="9218" width="18.7109375" style="82" bestFit="1" customWidth="1"/>
    <col min="9219" max="9219" width="12.42578125" style="82" bestFit="1" customWidth="1"/>
    <col min="9220" max="9472" width="29.85546875" style="82"/>
    <col min="9473" max="9473" width="29.140625" style="82" bestFit="1" customWidth="1"/>
    <col min="9474" max="9474" width="18.7109375" style="82" bestFit="1" customWidth="1"/>
    <col min="9475" max="9475" width="12.42578125" style="82" bestFit="1" customWidth="1"/>
    <col min="9476" max="9728" width="29.85546875" style="82"/>
    <col min="9729" max="9729" width="29.140625" style="82" bestFit="1" customWidth="1"/>
    <col min="9730" max="9730" width="18.7109375" style="82" bestFit="1" customWidth="1"/>
    <col min="9731" max="9731" width="12.42578125" style="82" bestFit="1" customWidth="1"/>
    <col min="9732" max="9984" width="29.85546875" style="82"/>
    <col min="9985" max="9985" width="29.140625" style="82" bestFit="1" customWidth="1"/>
    <col min="9986" max="9986" width="18.7109375" style="82" bestFit="1" customWidth="1"/>
    <col min="9987" max="9987" width="12.42578125" style="82" bestFit="1" customWidth="1"/>
    <col min="9988" max="10240" width="29.85546875" style="82"/>
    <col min="10241" max="10241" width="29.140625" style="82" bestFit="1" customWidth="1"/>
    <col min="10242" max="10242" width="18.7109375" style="82" bestFit="1" customWidth="1"/>
    <col min="10243" max="10243" width="12.42578125" style="82" bestFit="1" customWidth="1"/>
    <col min="10244" max="10496" width="29.85546875" style="82"/>
    <col min="10497" max="10497" width="29.140625" style="82" bestFit="1" customWidth="1"/>
    <col min="10498" max="10498" width="18.7109375" style="82" bestFit="1" customWidth="1"/>
    <col min="10499" max="10499" width="12.42578125" style="82" bestFit="1" customWidth="1"/>
    <col min="10500" max="10752" width="29.85546875" style="82"/>
    <col min="10753" max="10753" width="29.140625" style="82" bestFit="1" customWidth="1"/>
    <col min="10754" max="10754" width="18.7109375" style="82" bestFit="1" customWidth="1"/>
    <col min="10755" max="10755" width="12.42578125" style="82" bestFit="1" customWidth="1"/>
    <col min="10756" max="11008" width="29.85546875" style="82"/>
    <col min="11009" max="11009" width="29.140625" style="82" bestFit="1" customWidth="1"/>
    <col min="11010" max="11010" width="18.7109375" style="82" bestFit="1" customWidth="1"/>
    <col min="11011" max="11011" width="12.42578125" style="82" bestFit="1" customWidth="1"/>
    <col min="11012" max="11264" width="29.85546875" style="82"/>
    <col min="11265" max="11265" width="29.140625" style="82" bestFit="1" customWidth="1"/>
    <col min="11266" max="11266" width="18.7109375" style="82" bestFit="1" customWidth="1"/>
    <col min="11267" max="11267" width="12.42578125" style="82" bestFit="1" customWidth="1"/>
    <col min="11268" max="11520" width="29.85546875" style="82"/>
    <col min="11521" max="11521" width="29.140625" style="82" bestFit="1" customWidth="1"/>
    <col min="11522" max="11522" width="18.7109375" style="82" bestFit="1" customWidth="1"/>
    <col min="11523" max="11523" width="12.42578125" style="82" bestFit="1" customWidth="1"/>
    <col min="11524" max="11776" width="29.85546875" style="82"/>
    <col min="11777" max="11777" width="29.140625" style="82" bestFit="1" customWidth="1"/>
    <col min="11778" max="11778" width="18.7109375" style="82" bestFit="1" customWidth="1"/>
    <col min="11779" max="11779" width="12.42578125" style="82" bestFit="1" customWidth="1"/>
    <col min="11780" max="12032" width="29.85546875" style="82"/>
    <col min="12033" max="12033" width="29.140625" style="82" bestFit="1" customWidth="1"/>
    <col min="12034" max="12034" width="18.7109375" style="82" bestFit="1" customWidth="1"/>
    <col min="12035" max="12035" width="12.42578125" style="82" bestFit="1" customWidth="1"/>
    <col min="12036" max="12288" width="29.85546875" style="82"/>
    <col min="12289" max="12289" width="29.140625" style="82" bestFit="1" customWidth="1"/>
    <col min="12290" max="12290" width="18.7109375" style="82" bestFit="1" customWidth="1"/>
    <col min="12291" max="12291" width="12.42578125" style="82" bestFit="1" customWidth="1"/>
    <col min="12292" max="12544" width="29.85546875" style="82"/>
    <col min="12545" max="12545" width="29.140625" style="82" bestFit="1" customWidth="1"/>
    <col min="12546" max="12546" width="18.7109375" style="82" bestFit="1" customWidth="1"/>
    <col min="12547" max="12547" width="12.42578125" style="82" bestFit="1" customWidth="1"/>
    <col min="12548" max="12800" width="29.85546875" style="82"/>
    <col min="12801" max="12801" width="29.140625" style="82" bestFit="1" customWidth="1"/>
    <col min="12802" max="12802" width="18.7109375" style="82" bestFit="1" customWidth="1"/>
    <col min="12803" max="12803" width="12.42578125" style="82" bestFit="1" customWidth="1"/>
    <col min="12804" max="13056" width="29.85546875" style="82"/>
    <col min="13057" max="13057" width="29.140625" style="82" bestFit="1" customWidth="1"/>
    <col min="13058" max="13058" width="18.7109375" style="82" bestFit="1" customWidth="1"/>
    <col min="13059" max="13059" width="12.42578125" style="82" bestFit="1" customWidth="1"/>
    <col min="13060" max="13312" width="29.85546875" style="82"/>
    <col min="13313" max="13313" width="29.140625" style="82" bestFit="1" customWidth="1"/>
    <col min="13314" max="13314" width="18.7109375" style="82" bestFit="1" customWidth="1"/>
    <col min="13315" max="13315" width="12.42578125" style="82" bestFit="1" customWidth="1"/>
    <col min="13316" max="13568" width="29.85546875" style="82"/>
    <col min="13569" max="13569" width="29.140625" style="82" bestFit="1" customWidth="1"/>
    <col min="13570" max="13570" width="18.7109375" style="82" bestFit="1" customWidth="1"/>
    <col min="13571" max="13571" width="12.42578125" style="82" bestFit="1" customWidth="1"/>
    <col min="13572" max="13824" width="29.85546875" style="82"/>
    <col min="13825" max="13825" width="29.140625" style="82" bestFit="1" customWidth="1"/>
    <col min="13826" max="13826" width="18.7109375" style="82" bestFit="1" customWidth="1"/>
    <col min="13827" max="13827" width="12.42578125" style="82" bestFit="1" customWidth="1"/>
    <col min="13828" max="14080" width="29.85546875" style="82"/>
    <col min="14081" max="14081" width="29.140625" style="82" bestFit="1" customWidth="1"/>
    <col min="14082" max="14082" width="18.7109375" style="82" bestFit="1" customWidth="1"/>
    <col min="14083" max="14083" width="12.42578125" style="82" bestFit="1" customWidth="1"/>
    <col min="14084" max="14336" width="29.85546875" style="82"/>
    <col min="14337" max="14337" width="29.140625" style="82" bestFit="1" customWidth="1"/>
    <col min="14338" max="14338" width="18.7109375" style="82" bestFit="1" customWidth="1"/>
    <col min="14339" max="14339" width="12.42578125" style="82" bestFit="1" customWidth="1"/>
    <col min="14340" max="14592" width="29.85546875" style="82"/>
    <col min="14593" max="14593" width="29.140625" style="82" bestFit="1" customWidth="1"/>
    <col min="14594" max="14594" width="18.7109375" style="82" bestFit="1" customWidth="1"/>
    <col min="14595" max="14595" width="12.42578125" style="82" bestFit="1" customWidth="1"/>
    <col min="14596" max="14848" width="29.85546875" style="82"/>
    <col min="14849" max="14849" width="29.140625" style="82" bestFit="1" customWidth="1"/>
    <col min="14850" max="14850" width="18.7109375" style="82" bestFit="1" customWidth="1"/>
    <col min="14851" max="14851" width="12.42578125" style="82" bestFit="1" customWidth="1"/>
    <col min="14852" max="15104" width="29.85546875" style="82"/>
    <col min="15105" max="15105" width="29.140625" style="82" bestFit="1" customWidth="1"/>
    <col min="15106" max="15106" width="18.7109375" style="82" bestFit="1" customWidth="1"/>
    <col min="15107" max="15107" width="12.42578125" style="82" bestFit="1" customWidth="1"/>
    <col min="15108" max="15360" width="29.85546875" style="82"/>
    <col min="15361" max="15361" width="29.140625" style="82" bestFit="1" customWidth="1"/>
    <col min="15362" max="15362" width="18.7109375" style="82" bestFit="1" customWidth="1"/>
    <col min="15363" max="15363" width="12.42578125" style="82" bestFit="1" customWidth="1"/>
    <col min="15364" max="15616" width="29.85546875" style="82"/>
    <col min="15617" max="15617" width="29.140625" style="82" bestFit="1" customWidth="1"/>
    <col min="15618" max="15618" width="18.7109375" style="82" bestFit="1" customWidth="1"/>
    <col min="15619" max="15619" width="12.42578125" style="82" bestFit="1" customWidth="1"/>
    <col min="15620" max="15872" width="29.85546875" style="82"/>
    <col min="15873" max="15873" width="29.140625" style="82" bestFit="1" customWidth="1"/>
    <col min="15874" max="15874" width="18.7109375" style="82" bestFit="1" customWidth="1"/>
    <col min="15875" max="15875" width="12.42578125" style="82" bestFit="1" customWidth="1"/>
    <col min="15876" max="16128" width="29.85546875" style="82"/>
    <col min="16129" max="16129" width="29.140625" style="82" bestFit="1" customWidth="1"/>
    <col min="16130" max="16130" width="18.7109375" style="82" bestFit="1" customWidth="1"/>
    <col min="16131" max="16131" width="12.42578125" style="82" bestFit="1" customWidth="1"/>
    <col min="16132" max="16384" width="29.85546875" style="82"/>
  </cols>
  <sheetData>
    <row r="1" spans="1:3">
      <c r="C1" s="68" t="s">
        <v>229</v>
      </c>
    </row>
    <row r="2" spans="1:3">
      <c r="A2" s="259" t="s">
        <v>137</v>
      </c>
      <c r="B2" s="259"/>
      <c r="C2" s="259"/>
    </row>
    <row r="3" spans="1:3">
      <c r="A3" s="259" t="s">
        <v>224</v>
      </c>
      <c r="B3" s="259"/>
      <c r="C3" s="259"/>
    </row>
    <row r="5" spans="1:3" ht="15.75" thickBot="1">
      <c r="A5" s="157"/>
      <c r="B5" s="157"/>
      <c r="C5" s="158" t="s">
        <v>9</v>
      </c>
    </row>
    <row r="6" spans="1:3" ht="30.75" thickBot="1">
      <c r="A6" s="159" t="s">
        <v>138</v>
      </c>
      <c r="B6" s="160" t="s">
        <v>139</v>
      </c>
      <c r="C6" s="161" t="s">
        <v>140</v>
      </c>
    </row>
    <row r="7" spans="1:3" ht="15.75" thickBot="1">
      <c r="A7" s="159">
        <v>2</v>
      </c>
      <c r="B7" s="160">
        <v>3</v>
      </c>
      <c r="C7" s="161">
        <v>4</v>
      </c>
    </row>
    <row r="8" spans="1:3" ht="45">
      <c r="A8" s="162" t="s">
        <v>141</v>
      </c>
      <c r="B8" s="163" t="s">
        <v>142</v>
      </c>
      <c r="C8" s="164" t="s">
        <v>142</v>
      </c>
    </row>
    <row r="9" spans="1:3" ht="45">
      <c r="A9" s="165" t="s">
        <v>143</v>
      </c>
      <c r="B9" s="166" t="s">
        <v>142</v>
      </c>
      <c r="C9" s="167" t="s">
        <v>142</v>
      </c>
    </row>
    <row r="10" spans="1:3" ht="45">
      <c r="A10" s="165" t="s">
        <v>144</v>
      </c>
      <c r="B10" s="166" t="s">
        <v>142</v>
      </c>
      <c r="C10" s="167" t="s">
        <v>142</v>
      </c>
    </row>
    <row r="11" spans="1:3" ht="45">
      <c r="A11" s="165" t="s">
        <v>145</v>
      </c>
      <c r="B11" s="166" t="s">
        <v>142</v>
      </c>
      <c r="C11" s="167" t="s">
        <v>142</v>
      </c>
    </row>
    <row r="12" spans="1:3" ht="45">
      <c r="A12" s="165" t="s">
        <v>146</v>
      </c>
      <c r="B12" s="166">
        <f>SUM(B13:B19)</f>
        <v>84110</v>
      </c>
      <c r="C12" s="168">
        <f>SUM(C13:C19)</f>
        <v>672</v>
      </c>
    </row>
    <row r="13" spans="1:3">
      <c r="A13" s="165" t="s">
        <v>147</v>
      </c>
      <c r="B13" s="166">
        <v>13100</v>
      </c>
      <c r="C13" s="167">
        <v>672</v>
      </c>
    </row>
    <row r="14" spans="1:3">
      <c r="A14" s="169" t="s">
        <v>148</v>
      </c>
      <c r="B14" s="166" t="s">
        <v>142</v>
      </c>
      <c r="C14" s="167" t="s">
        <v>142</v>
      </c>
    </row>
    <row r="15" spans="1:3" ht="30">
      <c r="A15" s="169" t="s">
        <v>149</v>
      </c>
      <c r="B15" s="166">
        <v>10</v>
      </c>
      <c r="C15" s="167" t="s">
        <v>142</v>
      </c>
    </row>
    <row r="16" spans="1:3" ht="30">
      <c r="A16" s="169" t="s">
        <v>150</v>
      </c>
      <c r="B16" s="166">
        <v>16000</v>
      </c>
      <c r="C16" s="167" t="s">
        <v>142</v>
      </c>
    </row>
    <row r="17" spans="1:3" ht="30">
      <c r="A17" s="169" t="s">
        <v>151</v>
      </c>
      <c r="B17" s="166" t="s">
        <v>142</v>
      </c>
      <c r="C17" s="167" t="s">
        <v>142</v>
      </c>
    </row>
    <row r="18" spans="1:3" ht="30">
      <c r="A18" s="169" t="s">
        <v>152</v>
      </c>
      <c r="B18" s="166" t="s">
        <v>142</v>
      </c>
      <c r="C18" s="167" t="s">
        <v>142</v>
      </c>
    </row>
    <row r="19" spans="1:3" ht="60">
      <c r="A19" s="169" t="s">
        <v>153</v>
      </c>
      <c r="B19" s="166">
        <v>55000</v>
      </c>
      <c r="C19" s="167" t="s">
        <v>142</v>
      </c>
    </row>
    <row r="20" spans="1:3" ht="30">
      <c r="A20" s="165" t="s">
        <v>154</v>
      </c>
      <c r="B20" s="166">
        <v>4800</v>
      </c>
      <c r="C20" s="292">
        <v>565</v>
      </c>
    </row>
    <row r="21" spans="1:3" ht="30">
      <c r="A21" s="165" t="s">
        <v>155</v>
      </c>
      <c r="B21" s="166" t="s">
        <v>142</v>
      </c>
      <c r="C21" s="167" t="s">
        <v>142</v>
      </c>
    </row>
    <row r="22" spans="1:3" ht="30">
      <c r="A22" s="165" t="s">
        <v>156</v>
      </c>
      <c r="B22" s="166" t="s">
        <v>142</v>
      </c>
      <c r="C22" s="167" t="s">
        <v>142</v>
      </c>
    </row>
    <row r="23" spans="1:3">
      <c r="A23" s="165" t="s">
        <v>157</v>
      </c>
      <c r="B23" s="166" t="s">
        <v>142</v>
      </c>
      <c r="C23" s="167" t="s">
        <v>142</v>
      </c>
    </row>
    <row r="24" spans="1:3">
      <c r="A24" s="165" t="s">
        <v>158</v>
      </c>
      <c r="B24" s="166" t="s">
        <v>142</v>
      </c>
      <c r="C24" s="167" t="s">
        <v>142</v>
      </c>
    </row>
    <row r="25" spans="1:3" ht="15.75" thickBot="1">
      <c r="A25" s="170" t="s">
        <v>159</v>
      </c>
      <c r="B25" s="171">
        <f>SUM(B8:B24)-B12</f>
        <v>88910</v>
      </c>
      <c r="C25" s="172">
        <f>SUM(C8:C24)-C12</f>
        <v>1237</v>
      </c>
    </row>
    <row r="27" spans="1:3">
      <c r="A27" s="68" t="s">
        <v>119</v>
      </c>
    </row>
  </sheetData>
  <mergeCells count="2">
    <mergeCell ref="A2:C2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&amp;R&amp;"-,Félkövér"14. számú melléklet</oddHead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O33"/>
  <sheetViews>
    <sheetView workbookViewId="0">
      <selection activeCell="R24" sqref="R24"/>
    </sheetView>
  </sheetViews>
  <sheetFormatPr defaultRowHeight="12.75"/>
  <cols>
    <col min="1" max="1" width="4.85546875" style="208" bestFit="1" customWidth="1"/>
    <col min="2" max="2" width="48.5703125" style="208" bestFit="1" customWidth="1"/>
    <col min="3" max="3" width="6.42578125" style="208" bestFit="1" customWidth="1"/>
    <col min="4" max="4" width="7.140625" style="208" bestFit="1" customWidth="1"/>
    <col min="5" max="5" width="7" style="208" bestFit="1" customWidth="1"/>
    <col min="6" max="6" width="6.42578125" style="208" bestFit="1" customWidth="1"/>
    <col min="7" max="9" width="7.42578125" style="208" bestFit="1" customWidth="1"/>
    <col min="10" max="10" width="7.5703125" style="208" bestFit="1" customWidth="1"/>
    <col min="11" max="14" width="6.42578125" style="208" bestFit="1" customWidth="1"/>
    <col min="15" max="15" width="9.5703125" style="208" bestFit="1" customWidth="1"/>
    <col min="16" max="256" width="9.140625" style="208"/>
    <col min="257" max="257" width="4.85546875" style="208" bestFit="1" customWidth="1"/>
    <col min="258" max="258" width="48.5703125" style="208" bestFit="1" customWidth="1"/>
    <col min="259" max="259" width="6.42578125" style="208" bestFit="1" customWidth="1"/>
    <col min="260" max="260" width="7.140625" style="208" bestFit="1" customWidth="1"/>
    <col min="261" max="261" width="7" style="208" bestFit="1" customWidth="1"/>
    <col min="262" max="262" width="6.42578125" style="208" bestFit="1" customWidth="1"/>
    <col min="263" max="265" width="7.42578125" style="208" bestFit="1" customWidth="1"/>
    <col min="266" max="266" width="7.5703125" style="208" bestFit="1" customWidth="1"/>
    <col min="267" max="270" width="6.42578125" style="208" bestFit="1" customWidth="1"/>
    <col min="271" max="271" width="9.5703125" style="208" bestFit="1" customWidth="1"/>
    <col min="272" max="512" width="9.140625" style="208"/>
    <col min="513" max="513" width="4.85546875" style="208" bestFit="1" customWidth="1"/>
    <col min="514" max="514" width="48.5703125" style="208" bestFit="1" customWidth="1"/>
    <col min="515" max="515" width="6.42578125" style="208" bestFit="1" customWidth="1"/>
    <col min="516" max="516" width="7.140625" style="208" bestFit="1" customWidth="1"/>
    <col min="517" max="517" width="7" style="208" bestFit="1" customWidth="1"/>
    <col min="518" max="518" width="6.42578125" style="208" bestFit="1" customWidth="1"/>
    <col min="519" max="521" width="7.42578125" style="208" bestFit="1" customWidth="1"/>
    <col min="522" max="522" width="7.5703125" style="208" bestFit="1" customWidth="1"/>
    <col min="523" max="526" width="6.42578125" style="208" bestFit="1" customWidth="1"/>
    <col min="527" max="527" width="9.5703125" style="208" bestFit="1" customWidth="1"/>
    <col min="528" max="768" width="9.140625" style="208"/>
    <col min="769" max="769" width="4.85546875" style="208" bestFit="1" customWidth="1"/>
    <col min="770" max="770" width="48.5703125" style="208" bestFit="1" customWidth="1"/>
    <col min="771" max="771" width="6.42578125" style="208" bestFit="1" customWidth="1"/>
    <col min="772" max="772" width="7.140625" style="208" bestFit="1" customWidth="1"/>
    <col min="773" max="773" width="7" style="208" bestFit="1" customWidth="1"/>
    <col min="774" max="774" width="6.42578125" style="208" bestFit="1" customWidth="1"/>
    <col min="775" max="777" width="7.42578125" style="208" bestFit="1" customWidth="1"/>
    <col min="778" max="778" width="7.5703125" style="208" bestFit="1" customWidth="1"/>
    <col min="779" max="782" width="6.42578125" style="208" bestFit="1" customWidth="1"/>
    <col min="783" max="783" width="9.5703125" style="208" bestFit="1" customWidth="1"/>
    <col min="784" max="1024" width="9.140625" style="208"/>
    <col min="1025" max="1025" width="4.85546875" style="208" bestFit="1" customWidth="1"/>
    <col min="1026" max="1026" width="48.5703125" style="208" bestFit="1" customWidth="1"/>
    <col min="1027" max="1027" width="6.42578125" style="208" bestFit="1" customWidth="1"/>
    <col min="1028" max="1028" width="7.140625" style="208" bestFit="1" customWidth="1"/>
    <col min="1029" max="1029" width="7" style="208" bestFit="1" customWidth="1"/>
    <col min="1030" max="1030" width="6.42578125" style="208" bestFit="1" customWidth="1"/>
    <col min="1031" max="1033" width="7.42578125" style="208" bestFit="1" customWidth="1"/>
    <col min="1034" max="1034" width="7.5703125" style="208" bestFit="1" customWidth="1"/>
    <col min="1035" max="1038" width="6.42578125" style="208" bestFit="1" customWidth="1"/>
    <col min="1039" max="1039" width="9.5703125" style="208" bestFit="1" customWidth="1"/>
    <col min="1040" max="1280" width="9.140625" style="208"/>
    <col min="1281" max="1281" width="4.85546875" style="208" bestFit="1" customWidth="1"/>
    <col min="1282" max="1282" width="48.5703125" style="208" bestFit="1" customWidth="1"/>
    <col min="1283" max="1283" width="6.42578125" style="208" bestFit="1" customWidth="1"/>
    <col min="1284" max="1284" width="7.140625" style="208" bestFit="1" customWidth="1"/>
    <col min="1285" max="1285" width="7" style="208" bestFit="1" customWidth="1"/>
    <col min="1286" max="1286" width="6.42578125" style="208" bestFit="1" customWidth="1"/>
    <col min="1287" max="1289" width="7.42578125" style="208" bestFit="1" customWidth="1"/>
    <col min="1290" max="1290" width="7.5703125" style="208" bestFit="1" customWidth="1"/>
    <col min="1291" max="1294" width="6.42578125" style="208" bestFit="1" customWidth="1"/>
    <col min="1295" max="1295" width="9.5703125" style="208" bestFit="1" customWidth="1"/>
    <col min="1296" max="1536" width="9.140625" style="208"/>
    <col min="1537" max="1537" width="4.85546875" style="208" bestFit="1" customWidth="1"/>
    <col min="1538" max="1538" width="48.5703125" style="208" bestFit="1" customWidth="1"/>
    <col min="1539" max="1539" width="6.42578125" style="208" bestFit="1" customWidth="1"/>
    <col min="1540" max="1540" width="7.140625" style="208" bestFit="1" customWidth="1"/>
    <col min="1541" max="1541" width="7" style="208" bestFit="1" customWidth="1"/>
    <col min="1542" max="1542" width="6.42578125" style="208" bestFit="1" customWidth="1"/>
    <col min="1543" max="1545" width="7.42578125" style="208" bestFit="1" customWidth="1"/>
    <col min="1546" max="1546" width="7.5703125" style="208" bestFit="1" customWidth="1"/>
    <col min="1547" max="1550" width="6.42578125" style="208" bestFit="1" customWidth="1"/>
    <col min="1551" max="1551" width="9.5703125" style="208" bestFit="1" customWidth="1"/>
    <col min="1552" max="1792" width="9.140625" style="208"/>
    <col min="1793" max="1793" width="4.85546875" style="208" bestFit="1" customWidth="1"/>
    <col min="1794" max="1794" width="48.5703125" style="208" bestFit="1" customWidth="1"/>
    <col min="1795" max="1795" width="6.42578125" style="208" bestFit="1" customWidth="1"/>
    <col min="1796" max="1796" width="7.140625" style="208" bestFit="1" customWidth="1"/>
    <col min="1797" max="1797" width="7" style="208" bestFit="1" customWidth="1"/>
    <col min="1798" max="1798" width="6.42578125" style="208" bestFit="1" customWidth="1"/>
    <col min="1799" max="1801" width="7.42578125" style="208" bestFit="1" customWidth="1"/>
    <col min="1802" max="1802" width="7.5703125" style="208" bestFit="1" customWidth="1"/>
    <col min="1803" max="1806" width="6.42578125" style="208" bestFit="1" customWidth="1"/>
    <col min="1807" max="1807" width="9.5703125" style="208" bestFit="1" customWidth="1"/>
    <col min="1808" max="2048" width="9.140625" style="208"/>
    <col min="2049" max="2049" width="4.85546875" style="208" bestFit="1" customWidth="1"/>
    <col min="2050" max="2050" width="48.5703125" style="208" bestFit="1" customWidth="1"/>
    <col min="2051" max="2051" width="6.42578125" style="208" bestFit="1" customWidth="1"/>
    <col min="2052" max="2052" width="7.140625" style="208" bestFit="1" customWidth="1"/>
    <col min="2053" max="2053" width="7" style="208" bestFit="1" customWidth="1"/>
    <col min="2054" max="2054" width="6.42578125" style="208" bestFit="1" customWidth="1"/>
    <col min="2055" max="2057" width="7.42578125" style="208" bestFit="1" customWidth="1"/>
    <col min="2058" max="2058" width="7.5703125" style="208" bestFit="1" customWidth="1"/>
    <col min="2059" max="2062" width="6.42578125" style="208" bestFit="1" customWidth="1"/>
    <col min="2063" max="2063" width="9.5703125" style="208" bestFit="1" customWidth="1"/>
    <col min="2064" max="2304" width="9.140625" style="208"/>
    <col min="2305" max="2305" width="4.85546875" style="208" bestFit="1" customWidth="1"/>
    <col min="2306" max="2306" width="48.5703125" style="208" bestFit="1" customWidth="1"/>
    <col min="2307" max="2307" width="6.42578125" style="208" bestFit="1" customWidth="1"/>
    <col min="2308" max="2308" width="7.140625" style="208" bestFit="1" customWidth="1"/>
    <col min="2309" max="2309" width="7" style="208" bestFit="1" customWidth="1"/>
    <col min="2310" max="2310" width="6.42578125" style="208" bestFit="1" customWidth="1"/>
    <col min="2311" max="2313" width="7.42578125" style="208" bestFit="1" customWidth="1"/>
    <col min="2314" max="2314" width="7.5703125" style="208" bestFit="1" customWidth="1"/>
    <col min="2315" max="2318" width="6.42578125" style="208" bestFit="1" customWidth="1"/>
    <col min="2319" max="2319" width="9.5703125" style="208" bestFit="1" customWidth="1"/>
    <col min="2320" max="2560" width="9.140625" style="208"/>
    <col min="2561" max="2561" width="4.85546875" style="208" bestFit="1" customWidth="1"/>
    <col min="2562" max="2562" width="48.5703125" style="208" bestFit="1" customWidth="1"/>
    <col min="2563" max="2563" width="6.42578125" style="208" bestFit="1" customWidth="1"/>
    <col min="2564" max="2564" width="7.140625" style="208" bestFit="1" customWidth="1"/>
    <col min="2565" max="2565" width="7" style="208" bestFit="1" customWidth="1"/>
    <col min="2566" max="2566" width="6.42578125" style="208" bestFit="1" customWidth="1"/>
    <col min="2567" max="2569" width="7.42578125" style="208" bestFit="1" customWidth="1"/>
    <col min="2570" max="2570" width="7.5703125" style="208" bestFit="1" customWidth="1"/>
    <col min="2571" max="2574" width="6.42578125" style="208" bestFit="1" customWidth="1"/>
    <col min="2575" max="2575" width="9.5703125" style="208" bestFit="1" customWidth="1"/>
    <col min="2576" max="2816" width="9.140625" style="208"/>
    <col min="2817" max="2817" width="4.85546875" style="208" bestFit="1" customWidth="1"/>
    <col min="2818" max="2818" width="48.5703125" style="208" bestFit="1" customWidth="1"/>
    <col min="2819" max="2819" width="6.42578125" style="208" bestFit="1" customWidth="1"/>
    <col min="2820" max="2820" width="7.140625" style="208" bestFit="1" customWidth="1"/>
    <col min="2821" max="2821" width="7" style="208" bestFit="1" customWidth="1"/>
    <col min="2822" max="2822" width="6.42578125" style="208" bestFit="1" customWidth="1"/>
    <col min="2823" max="2825" width="7.42578125" style="208" bestFit="1" customWidth="1"/>
    <col min="2826" max="2826" width="7.5703125" style="208" bestFit="1" customWidth="1"/>
    <col min="2827" max="2830" width="6.42578125" style="208" bestFit="1" customWidth="1"/>
    <col min="2831" max="2831" width="9.5703125" style="208" bestFit="1" customWidth="1"/>
    <col min="2832" max="3072" width="9.140625" style="208"/>
    <col min="3073" max="3073" width="4.85546875" style="208" bestFit="1" customWidth="1"/>
    <col min="3074" max="3074" width="48.5703125" style="208" bestFit="1" customWidth="1"/>
    <col min="3075" max="3075" width="6.42578125" style="208" bestFit="1" customWidth="1"/>
    <col min="3076" max="3076" width="7.140625" style="208" bestFit="1" customWidth="1"/>
    <col min="3077" max="3077" width="7" style="208" bestFit="1" customWidth="1"/>
    <col min="3078" max="3078" width="6.42578125" style="208" bestFit="1" customWidth="1"/>
    <col min="3079" max="3081" width="7.42578125" style="208" bestFit="1" customWidth="1"/>
    <col min="3082" max="3082" width="7.5703125" style="208" bestFit="1" customWidth="1"/>
    <col min="3083" max="3086" width="6.42578125" style="208" bestFit="1" customWidth="1"/>
    <col min="3087" max="3087" width="9.5703125" style="208" bestFit="1" customWidth="1"/>
    <col min="3088" max="3328" width="9.140625" style="208"/>
    <col min="3329" max="3329" width="4.85546875" style="208" bestFit="1" customWidth="1"/>
    <col min="3330" max="3330" width="48.5703125" style="208" bestFit="1" customWidth="1"/>
    <col min="3331" max="3331" width="6.42578125" style="208" bestFit="1" customWidth="1"/>
    <col min="3332" max="3332" width="7.140625" style="208" bestFit="1" customWidth="1"/>
    <col min="3333" max="3333" width="7" style="208" bestFit="1" customWidth="1"/>
    <col min="3334" max="3334" width="6.42578125" style="208" bestFit="1" customWidth="1"/>
    <col min="3335" max="3337" width="7.42578125" style="208" bestFit="1" customWidth="1"/>
    <col min="3338" max="3338" width="7.5703125" style="208" bestFit="1" customWidth="1"/>
    <col min="3339" max="3342" width="6.42578125" style="208" bestFit="1" customWidth="1"/>
    <col min="3343" max="3343" width="9.5703125" style="208" bestFit="1" customWidth="1"/>
    <col min="3344" max="3584" width="9.140625" style="208"/>
    <col min="3585" max="3585" width="4.85546875" style="208" bestFit="1" customWidth="1"/>
    <col min="3586" max="3586" width="48.5703125" style="208" bestFit="1" customWidth="1"/>
    <col min="3587" max="3587" width="6.42578125" style="208" bestFit="1" customWidth="1"/>
    <col min="3588" max="3588" width="7.140625" style="208" bestFit="1" customWidth="1"/>
    <col min="3589" max="3589" width="7" style="208" bestFit="1" customWidth="1"/>
    <col min="3590" max="3590" width="6.42578125" style="208" bestFit="1" customWidth="1"/>
    <col min="3591" max="3593" width="7.42578125" style="208" bestFit="1" customWidth="1"/>
    <col min="3594" max="3594" width="7.5703125" style="208" bestFit="1" customWidth="1"/>
    <col min="3595" max="3598" width="6.42578125" style="208" bestFit="1" customWidth="1"/>
    <col min="3599" max="3599" width="9.5703125" style="208" bestFit="1" customWidth="1"/>
    <col min="3600" max="3840" width="9.140625" style="208"/>
    <col min="3841" max="3841" width="4.85546875" style="208" bestFit="1" customWidth="1"/>
    <col min="3842" max="3842" width="48.5703125" style="208" bestFit="1" customWidth="1"/>
    <col min="3843" max="3843" width="6.42578125" style="208" bestFit="1" customWidth="1"/>
    <col min="3844" max="3844" width="7.140625" style="208" bestFit="1" customWidth="1"/>
    <col min="3845" max="3845" width="7" style="208" bestFit="1" customWidth="1"/>
    <col min="3846" max="3846" width="6.42578125" style="208" bestFit="1" customWidth="1"/>
    <col min="3847" max="3849" width="7.42578125" style="208" bestFit="1" customWidth="1"/>
    <col min="3850" max="3850" width="7.5703125" style="208" bestFit="1" customWidth="1"/>
    <col min="3851" max="3854" width="6.42578125" style="208" bestFit="1" customWidth="1"/>
    <col min="3855" max="3855" width="9.5703125" style="208" bestFit="1" customWidth="1"/>
    <col min="3856" max="4096" width="9.140625" style="208"/>
    <col min="4097" max="4097" width="4.85546875" style="208" bestFit="1" customWidth="1"/>
    <col min="4098" max="4098" width="48.5703125" style="208" bestFit="1" customWidth="1"/>
    <col min="4099" max="4099" width="6.42578125" style="208" bestFit="1" customWidth="1"/>
    <col min="4100" max="4100" width="7.140625" style="208" bestFit="1" customWidth="1"/>
    <col min="4101" max="4101" width="7" style="208" bestFit="1" customWidth="1"/>
    <col min="4102" max="4102" width="6.42578125" style="208" bestFit="1" customWidth="1"/>
    <col min="4103" max="4105" width="7.42578125" style="208" bestFit="1" customWidth="1"/>
    <col min="4106" max="4106" width="7.5703125" style="208" bestFit="1" customWidth="1"/>
    <col min="4107" max="4110" width="6.42578125" style="208" bestFit="1" customWidth="1"/>
    <col min="4111" max="4111" width="9.5703125" style="208" bestFit="1" customWidth="1"/>
    <col min="4112" max="4352" width="9.140625" style="208"/>
    <col min="4353" max="4353" width="4.85546875" style="208" bestFit="1" customWidth="1"/>
    <col min="4354" max="4354" width="48.5703125" style="208" bestFit="1" customWidth="1"/>
    <col min="4355" max="4355" width="6.42578125" style="208" bestFit="1" customWidth="1"/>
    <col min="4356" max="4356" width="7.140625" style="208" bestFit="1" customWidth="1"/>
    <col min="4357" max="4357" width="7" style="208" bestFit="1" customWidth="1"/>
    <col min="4358" max="4358" width="6.42578125" style="208" bestFit="1" customWidth="1"/>
    <col min="4359" max="4361" width="7.42578125" style="208" bestFit="1" customWidth="1"/>
    <col min="4362" max="4362" width="7.5703125" style="208" bestFit="1" customWidth="1"/>
    <col min="4363" max="4366" width="6.42578125" style="208" bestFit="1" customWidth="1"/>
    <col min="4367" max="4367" width="9.5703125" style="208" bestFit="1" customWidth="1"/>
    <col min="4368" max="4608" width="9.140625" style="208"/>
    <col min="4609" max="4609" width="4.85546875" style="208" bestFit="1" customWidth="1"/>
    <col min="4610" max="4610" width="48.5703125" style="208" bestFit="1" customWidth="1"/>
    <col min="4611" max="4611" width="6.42578125" style="208" bestFit="1" customWidth="1"/>
    <col min="4612" max="4612" width="7.140625" style="208" bestFit="1" customWidth="1"/>
    <col min="4613" max="4613" width="7" style="208" bestFit="1" customWidth="1"/>
    <col min="4614" max="4614" width="6.42578125" style="208" bestFit="1" customWidth="1"/>
    <col min="4615" max="4617" width="7.42578125" style="208" bestFit="1" customWidth="1"/>
    <col min="4618" max="4618" width="7.5703125" style="208" bestFit="1" customWidth="1"/>
    <col min="4619" max="4622" width="6.42578125" style="208" bestFit="1" customWidth="1"/>
    <col min="4623" max="4623" width="9.5703125" style="208" bestFit="1" customWidth="1"/>
    <col min="4624" max="4864" width="9.140625" style="208"/>
    <col min="4865" max="4865" width="4.85546875" style="208" bestFit="1" customWidth="1"/>
    <col min="4866" max="4866" width="48.5703125" style="208" bestFit="1" customWidth="1"/>
    <col min="4867" max="4867" width="6.42578125" style="208" bestFit="1" customWidth="1"/>
    <col min="4868" max="4868" width="7.140625" style="208" bestFit="1" customWidth="1"/>
    <col min="4869" max="4869" width="7" style="208" bestFit="1" customWidth="1"/>
    <col min="4870" max="4870" width="6.42578125" style="208" bestFit="1" customWidth="1"/>
    <col min="4871" max="4873" width="7.42578125" style="208" bestFit="1" customWidth="1"/>
    <col min="4874" max="4874" width="7.5703125" style="208" bestFit="1" customWidth="1"/>
    <col min="4875" max="4878" width="6.42578125" style="208" bestFit="1" customWidth="1"/>
    <col min="4879" max="4879" width="9.5703125" style="208" bestFit="1" customWidth="1"/>
    <col min="4880" max="5120" width="9.140625" style="208"/>
    <col min="5121" max="5121" width="4.85546875" style="208" bestFit="1" customWidth="1"/>
    <col min="5122" max="5122" width="48.5703125" style="208" bestFit="1" customWidth="1"/>
    <col min="5123" max="5123" width="6.42578125" style="208" bestFit="1" customWidth="1"/>
    <col min="5124" max="5124" width="7.140625" style="208" bestFit="1" customWidth="1"/>
    <col min="5125" max="5125" width="7" style="208" bestFit="1" customWidth="1"/>
    <col min="5126" max="5126" width="6.42578125" style="208" bestFit="1" customWidth="1"/>
    <col min="5127" max="5129" width="7.42578125" style="208" bestFit="1" customWidth="1"/>
    <col min="5130" max="5130" width="7.5703125" style="208" bestFit="1" customWidth="1"/>
    <col min="5131" max="5134" width="6.42578125" style="208" bestFit="1" customWidth="1"/>
    <col min="5135" max="5135" width="9.5703125" style="208" bestFit="1" customWidth="1"/>
    <col min="5136" max="5376" width="9.140625" style="208"/>
    <col min="5377" max="5377" width="4.85546875" style="208" bestFit="1" customWidth="1"/>
    <col min="5378" max="5378" width="48.5703125" style="208" bestFit="1" customWidth="1"/>
    <col min="5379" max="5379" width="6.42578125" style="208" bestFit="1" customWidth="1"/>
    <col min="5380" max="5380" width="7.140625" style="208" bestFit="1" customWidth="1"/>
    <col min="5381" max="5381" width="7" style="208" bestFit="1" customWidth="1"/>
    <col min="5382" max="5382" width="6.42578125" style="208" bestFit="1" customWidth="1"/>
    <col min="5383" max="5385" width="7.42578125" style="208" bestFit="1" customWidth="1"/>
    <col min="5386" max="5386" width="7.5703125" style="208" bestFit="1" customWidth="1"/>
    <col min="5387" max="5390" width="6.42578125" style="208" bestFit="1" customWidth="1"/>
    <col min="5391" max="5391" width="9.5703125" style="208" bestFit="1" customWidth="1"/>
    <col min="5392" max="5632" width="9.140625" style="208"/>
    <col min="5633" max="5633" width="4.85546875" style="208" bestFit="1" customWidth="1"/>
    <col min="5634" max="5634" width="48.5703125" style="208" bestFit="1" customWidth="1"/>
    <col min="5635" max="5635" width="6.42578125" style="208" bestFit="1" customWidth="1"/>
    <col min="5636" max="5636" width="7.140625" style="208" bestFit="1" customWidth="1"/>
    <col min="5637" max="5637" width="7" style="208" bestFit="1" customWidth="1"/>
    <col min="5638" max="5638" width="6.42578125" style="208" bestFit="1" customWidth="1"/>
    <col min="5639" max="5641" width="7.42578125" style="208" bestFit="1" customWidth="1"/>
    <col min="5642" max="5642" width="7.5703125" style="208" bestFit="1" customWidth="1"/>
    <col min="5643" max="5646" width="6.42578125" style="208" bestFit="1" customWidth="1"/>
    <col min="5647" max="5647" width="9.5703125" style="208" bestFit="1" customWidth="1"/>
    <col min="5648" max="5888" width="9.140625" style="208"/>
    <col min="5889" max="5889" width="4.85546875" style="208" bestFit="1" customWidth="1"/>
    <col min="5890" max="5890" width="48.5703125" style="208" bestFit="1" customWidth="1"/>
    <col min="5891" max="5891" width="6.42578125" style="208" bestFit="1" customWidth="1"/>
    <col min="5892" max="5892" width="7.140625" style="208" bestFit="1" customWidth="1"/>
    <col min="5893" max="5893" width="7" style="208" bestFit="1" customWidth="1"/>
    <col min="5894" max="5894" width="6.42578125" style="208" bestFit="1" customWidth="1"/>
    <col min="5895" max="5897" width="7.42578125" style="208" bestFit="1" customWidth="1"/>
    <col min="5898" max="5898" width="7.5703125" style="208" bestFit="1" customWidth="1"/>
    <col min="5899" max="5902" width="6.42578125" style="208" bestFit="1" customWidth="1"/>
    <col min="5903" max="5903" width="9.5703125" style="208" bestFit="1" customWidth="1"/>
    <col min="5904" max="6144" width="9.140625" style="208"/>
    <col min="6145" max="6145" width="4.85546875" style="208" bestFit="1" customWidth="1"/>
    <col min="6146" max="6146" width="48.5703125" style="208" bestFit="1" customWidth="1"/>
    <col min="6147" max="6147" width="6.42578125" style="208" bestFit="1" customWidth="1"/>
    <col min="6148" max="6148" width="7.140625" style="208" bestFit="1" customWidth="1"/>
    <col min="6149" max="6149" width="7" style="208" bestFit="1" customWidth="1"/>
    <col min="6150" max="6150" width="6.42578125" style="208" bestFit="1" customWidth="1"/>
    <col min="6151" max="6153" width="7.42578125" style="208" bestFit="1" customWidth="1"/>
    <col min="6154" max="6154" width="7.5703125" style="208" bestFit="1" customWidth="1"/>
    <col min="6155" max="6158" width="6.42578125" style="208" bestFit="1" customWidth="1"/>
    <col min="6159" max="6159" width="9.5703125" style="208" bestFit="1" customWidth="1"/>
    <col min="6160" max="6400" width="9.140625" style="208"/>
    <col min="6401" max="6401" width="4.85546875" style="208" bestFit="1" customWidth="1"/>
    <col min="6402" max="6402" width="48.5703125" style="208" bestFit="1" customWidth="1"/>
    <col min="6403" max="6403" width="6.42578125" style="208" bestFit="1" customWidth="1"/>
    <col min="6404" max="6404" width="7.140625" style="208" bestFit="1" customWidth="1"/>
    <col min="6405" max="6405" width="7" style="208" bestFit="1" customWidth="1"/>
    <col min="6406" max="6406" width="6.42578125" style="208" bestFit="1" customWidth="1"/>
    <col min="6407" max="6409" width="7.42578125" style="208" bestFit="1" customWidth="1"/>
    <col min="6410" max="6410" width="7.5703125" style="208" bestFit="1" customWidth="1"/>
    <col min="6411" max="6414" width="6.42578125" style="208" bestFit="1" customWidth="1"/>
    <col min="6415" max="6415" width="9.5703125" style="208" bestFit="1" customWidth="1"/>
    <col min="6416" max="6656" width="9.140625" style="208"/>
    <col min="6657" max="6657" width="4.85546875" style="208" bestFit="1" customWidth="1"/>
    <col min="6658" max="6658" width="48.5703125" style="208" bestFit="1" customWidth="1"/>
    <col min="6659" max="6659" width="6.42578125" style="208" bestFit="1" customWidth="1"/>
    <col min="6660" max="6660" width="7.140625" style="208" bestFit="1" customWidth="1"/>
    <col min="6661" max="6661" width="7" style="208" bestFit="1" customWidth="1"/>
    <col min="6662" max="6662" width="6.42578125" style="208" bestFit="1" customWidth="1"/>
    <col min="6663" max="6665" width="7.42578125" style="208" bestFit="1" customWidth="1"/>
    <col min="6666" max="6666" width="7.5703125" style="208" bestFit="1" customWidth="1"/>
    <col min="6667" max="6670" width="6.42578125" style="208" bestFit="1" customWidth="1"/>
    <col min="6671" max="6671" width="9.5703125" style="208" bestFit="1" customWidth="1"/>
    <col min="6672" max="6912" width="9.140625" style="208"/>
    <col min="6913" max="6913" width="4.85546875" style="208" bestFit="1" customWidth="1"/>
    <col min="6914" max="6914" width="48.5703125" style="208" bestFit="1" customWidth="1"/>
    <col min="6915" max="6915" width="6.42578125" style="208" bestFit="1" customWidth="1"/>
    <col min="6916" max="6916" width="7.140625" style="208" bestFit="1" customWidth="1"/>
    <col min="6917" max="6917" width="7" style="208" bestFit="1" customWidth="1"/>
    <col min="6918" max="6918" width="6.42578125" style="208" bestFit="1" customWidth="1"/>
    <col min="6919" max="6921" width="7.42578125" style="208" bestFit="1" customWidth="1"/>
    <col min="6922" max="6922" width="7.5703125" style="208" bestFit="1" customWidth="1"/>
    <col min="6923" max="6926" width="6.42578125" style="208" bestFit="1" customWidth="1"/>
    <col min="6927" max="6927" width="9.5703125" style="208" bestFit="1" customWidth="1"/>
    <col min="6928" max="7168" width="9.140625" style="208"/>
    <col min="7169" max="7169" width="4.85546875" style="208" bestFit="1" customWidth="1"/>
    <col min="7170" max="7170" width="48.5703125" style="208" bestFit="1" customWidth="1"/>
    <col min="7171" max="7171" width="6.42578125" style="208" bestFit="1" customWidth="1"/>
    <col min="7172" max="7172" width="7.140625" style="208" bestFit="1" customWidth="1"/>
    <col min="7173" max="7173" width="7" style="208" bestFit="1" customWidth="1"/>
    <col min="7174" max="7174" width="6.42578125" style="208" bestFit="1" customWidth="1"/>
    <col min="7175" max="7177" width="7.42578125" style="208" bestFit="1" customWidth="1"/>
    <col min="7178" max="7178" width="7.5703125" style="208" bestFit="1" customWidth="1"/>
    <col min="7179" max="7182" width="6.42578125" style="208" bestFit="1" customWidth="1"/>
    <col min="7183" max="7183" width="9.5703125" style="208" bestFit="1" customWidth="1"/>
    <col min="7184" max="7424" width="9.140625" style="208"/>
    <col min="7425" max="7425" width="4.85546875" style="208" bestFit="1" customWidth="1"/>
    <col min="7426" max="7426" width="48.5703125" style="208" bestFit="1" customWidth="1"/>
    <col min="7427" max="7427" width="6.42578125" style="208" bestFit="1" customWidth="1"/>
    <col min="7428" max="7428" width="7.140625" style="208" bestFit="1" customWidth="1"/>
    <col min="7429" max="7429" width="7" style="208" bestFit="1" customWidth="1"/>
    <col min="7430" max="7430" width="6.42578125" style="208" bestFit="1" customWidth="1"/>
    <col min="7431" max="7433" width="7.42578125" style="208" bestFit="1" customWidth="1"/>
    <col min="7434" max="7434" width="7.5703125" style="208" bestFit="1" customWidth="1"/>
    <col min="7435" max="7438" width="6.42578125" style="208" bestFit="1" customWidth="1"/>
    <col min="7439" max="7439" width="9.5703125" style="208" bestFit="1" customWidth="1"/>
    <col min="7440" max="7680" width="9.140625" style="208"/>
    <col min="7681" max="7681" width="4.85546875" style="208" bestFit="1" customWidth="1"/>
    <col min="7682" max="7682" width="48.5703125" style="208" bestFit="1" customWidth="1"/>
    <col min="7683" max="7683" width="6.42578125" style="208" bestFit="1" customWidth="1"/>
    <col min="7684" max="7684" width="7.140625" style="208" bestFit="1" customWidth="1"/>
    <col min="7685" max="7685" width="7" style="208" bestFit="1" customWidth="1"/>
    <col min="7686" max="7686" width="6.42578125" style="208" bestFit="1" customWidth="1"/>
    <col min="7687" max="7689" width="7.42578125" style="208" bestFit="1" customWidth="1"/>
    <col min="7690" max="7690" width="7.5703125" style="208" bestFit="1" customWidth="1"/>
    <col min="7691" max="7694" width="6.42578125" style="208" bestFit="1" customWidth="1"/>
    <col min="7695" max="7695" width="9.5703125" style="208" bestFit="1" customWidth="1"/>
    <col min="7696" max="7936" width="9.140625" style="208"/>
    <col min="7937" max="7937" width="4.85546875" style="208" bestFit="1" customWidth="1"/>
    <col min="7938" max="7938" width="48.5703125" style="208" bestFit="1" customWidth="1"/>
    <col min="7939" max="7939" width="6.42578125" style="208" bestFit="1" customWidth="1"/>
    <col min="7940" max="7940" width="7.140625" style="208" bestFit="1" customWidth="1"/>
    <col min="7941" max="7941" width="7" style="208" bestFit="1" customWidth="1"/>
    <col min="7942" max="7942" width="6.42578125" style="208" bestFit="1" customWidth="1"/>
    <col min="7943" max="7945" width="7.42578125" style="208" bestFit="1" customWidth="1"/>
    <col min="7946" max="7946" width="7.5703125" style="208" bestFit="1" customWidth="1"/>
    <col min="7947" max="7950" width="6.42578125" style="208" bestFit="1" customWidth="1"/>
    <col min="7951" max="7951" width="9.5703125" style="208" bestFit="1" customWidth="1"/>
    <col min="7952" max="8192" width="9.140625" style="208"/>
    <col min="8193" max="8193" width="4.85546875" style="208" bestFit="1" customWidth="1"/>
    <col min="8194" max="8194" width="48.5703125" style="208" bestFit="1" customWidth="1"/>
    <col min="8195" max="8195" width="6.42578125" style="208" bestFit="1" customWidth="1"/>
    <col min="8196" max="8196" width="7.140625" style="208" bestFit="1" customWidth="1"/>
    <col min="8197" max="8197" width="7" style="208" bestFit="1" customWidth="1"/>
    <col min="8198" max="8198" width="6.42578125" style="208" bestFit="1" customWidth="1"/>
    <col min="8199" max="8201" width="7.42578125" style="208" bestFit="1" customWidth="1"/>
    <col min="8202" max="8202" width="7.5703125" style="208" bestFit="1" customWidth="1"/>
    <col min="8203" max="8206" width="6.42578125" style="208" bestFit="1" customWidth="1"/>
    <col min="8207" max="8207" width="9.5703125" style="208" bestFit="1" customWidth="1"/>
    <col min="8208" max="8448" width="9.140625" style="208"/>
    <col min="8449" max="8449" width="4.85546875" style="208" bestFit="1" customWidth="1"/>
    <col min="8450" max="8450" width="48.5703125" style="208" bestFit="1" customWidth="1"/>
    <col min="8451" max="8451" width="6.42578125" style="208" bestFit="1" customWidth="1"/>
    <col min="8452" max="8452" width="7.140625" style="208" bestFit="1" customWidth="1"/>
    <col min="8453" max="8453" width="7" style="208" bestFit="1" customWidth="1"/>
    <col min="8454" max="8454" width="6.42578125" style="208" bestFit="1" customWidth="1"/>
    <col min="8455" max="8457" width="7.42578125" style="208" bestFit="1" customWidth="1"/>
    <col min="8458" max="8458" width="7.5703125" style="208" bestFit="1" customWidth="1"/>
    <col min="8459" max="8462" width="6.42578125" style="208" bestFit="1" customWidth="1"/>
    <col min="8463" max="8463" width="9.5703125" style="208" bestFit="1" customWidth="1"/>
    <col min="8464" max="8704" width="9.140625" style="208"/>
    <col min="8705" max="8705" width="4.85546875" style="208" bestFit="1" customWidth="1"/>
    <col min="8706" max="8706" width="48.5703125" style="208" bestFit="1" customWidth="1"/>
    <col min="8707" max="8707" width="6.42578125" style="208" bestFit="1" customWidth="1"/>
    <col min="8708" max="8708" width="7.140625" style="208" bestFit="1" customWidth="1"/>
    <col min="8709" max="8709" width="7" style="208" bestFit="1" customWidth="1"/>
    <col min="8710" max="8710" width="6.42578125" style="208" bestFit="1" customWidth="1"/>
    <col min="8711" max="8713" width="7.42578125" style="208" bestFit="1" customWidth="1"/>
    <col min="8714" max="8714" width="7.5703125" style="208" bestFit="1" customWidth="1"/>
    <col min="8715" max="8718" width="6.42578125" style="208" bestFit="1" customWidth="1"/>
    <col min="8719" max="8719" width="9.5703125" style="208" bestFit="1" customWidth="1"/>
    <col min="8720" max="8960" width="9.140625" style="208"/>
    <col min="8961" max="8961" width="4.85546875" style="208" bestFit="1" customWidth="1"/>
    <col min="8962" max="8962" width="48.5703125" style="208" bestFit="1" customWidth="1"/>
    <col min="8963" max="8963" width="6.42578125" style="208" bestFit="1" customWidth="1"/>
    <col min="8964" max="8964" width="7.140625" style="208" bestFit="1" customWidth="1"/>
    <col min="8965" max="8965" width="7" style="208" bestFit="1" customWidth="1"/>
    <col min="8966" max="8966" width="6.42578125" style="208" bestFit="1" customWidth="1"/>
    <col min="8967" max="8969" width="7.42578125" style="208" bestFit="1" customWidth="1"/>
    <col min="8970" max="8970" width="7.5703125" style="208" bestFit="1" customWidth="1"/>
    <col min="8971" max="8974" width="6.42578125" style="208" bestFit="1" customWidth="1"/>
    <col min="8975" max="8975" width="9.5703125" style="208" bestFit="1" customWidth="1"/>
    <col min="8976" max="9216" width="9.140625" style="208"/>
    <col min="9217" max="9217" width="4.85546875" style="208" bestFit="1" customWidth="1"/>
    <col min="9218" max="9218" width="48.5703125" style="208" bestFit="1" customWidth="1"/>
    <col min="9219" max="9219" width="6.42578125" style="208" bestFit="1" customWidth="1"/>
    <col min="9220" max="9220" width="7.140625" style="208" bestFit="1" customWidth="1"/>
    <col min="9221" max="9221" width="7" style="208" bestFit="1" customWidth="1"/>
    <col min="9222" max="9222" width="6.42578125" style="208" bestFit="1" customWidth="1"/>
    <col min="9223" max="9225" width="7.42578125" style="208" bestFit="1" customWidth="1"/>
    <col min="9226" max="9226" width="7.5703125" style="208" bestFit="1" customWidth="1"/>
    <col min="9227" max="9230" width="6.42578125" style="208" bestFit="1" customWidth="1"/>
    <col min="9231" max="9231" width="9.5703125" style="208" bestFit="1" customWidth="1"/>
    <col min="9232" max="9472" width="9.140625" style="208"/>
    <col min="9473" max="9473" width="4.85546875" style="208" bestFit="1" customWidth="1"/>
    <col min="9474" max="9474" width="48.5703125" style="208" bestFit="1" customWidth="1"/>
    <col min="9475" max="9475" width="6.42578125" style="208" bestFit="1" customWidth="1"/>
    <col min="9476" max="9476" width="7.140625" style="208" bestFit="1" customWidth="1"/>
    <col min="9477" max="9477" width="7" style="208" bestFit="1" customWidth="1"/>
    <col min="9478" max="9478" width="6.42578125" style="208" bestFit="1" customWidth="1"/>
    <col min="9479" max="9481" width="7.42578125" style="208" bestFit="1" customWidth="1"/>
    <col min="9482" max="9482" width="7.5703125" style="208" bestFit="1" customWidth="1"/>
    <col min="9483" max="9486" width="6.42578125" style="208" bestFit="1" customWidth="1"/>
    <col min="9487" max="9487" width="9.5703125" style="208" bestFit="1" customWidth="1"/>
    <col min="9488" max="9728" width="9.140625" style="208"/>
    <col min="9729" max="9729" width="4.85546875" style="208" bestFit="1" customWidth="1"/>
    <col min="9730" max="9730" width="48.5703125" style="208" bestFit="1" customWidth="1"/>
    <col min="9731" max="9731" width="6.42578125" style="208" bestFit="1" customWidth="1"/>
    <col min="9732" max="9732" width="7.140625" style="208" bestFit="1" customWidth="1"/>
    <col min="9733" max="9733" width="7" style="208" bestFit="1" customWidth="1"/>
    <col min="9734" max="9734" width="6.42578125" style="208" bestFit="1" customWidth="1"/>
    <col min="9735" max="9737" width="7.42578125" style="208" bestFit="1" customWidth="1"/>
    <col min="9738" max="9738" width="7.5703125" style="208" bestFit="1" customWidth="1"/>
    <col min="9739" max="9742" width="6.42578125" style="208" bestFit="1" customWidth="1"/>
    <col min="9743" max="9743" width="9.5703125" style="208" bestFit="1" customWidth="1"/>
    <col min="9744" max="9984" width="9.140625" style="208"/>
    <col min="9985" max="9985" width="4.85546875" style="208" bestFit="1" customWidth="1"/>
    <col min="9986" max="9986" width="48.5703125" style="208" bestFit="1" customWidth="1"/>
    <col min="9987" max="9987" width="6.42578125" style="208" bestFit="1" customWidth="1"/>
    <col min="9988" max="9988" width="7.140625" style="208" bestFit="1" customWidth="1"/>
    <col min="9989" max="9989" width="7" style="208" bestFit="1" customWidth="1"/>
    <col min="9990" max="9990" width="6.42578125" style="208" bestFit="1" customWidth="1"/>
    <col min="9991" max="9993" width="7.42578125" style="208" bestFit="1" customWidth="1"/>
    <col min="9994" max="9994" width="7.5703125" style="208" bestFit="1" customWidth="1"/>
    <col min="9995" max="9998" width="6.42578125" style="208" bestFit="1" customWidth="1"/>
    <col min="9999" max="9999" width="9.5703125" style="208" bestFit="1" customWidth="1"/>
    <col min="10000" max="10240" width="9.140625" style="208"/>
    <col min="10241" max="10241" width="4.85546875" style="208" bestFit="1" customWidth="1"/>
    <col min="10242" max="10242" width="48.5703125" style="208" bestFit="1" customWidth="1"/>
    <col min="10243" max="10243" width="6.42578125" style="208" bestFit="1" customWidth="1"/>
    <col min="10244" max="10244" width="7.140625" style="208" bestFit="1" customWidth="1"/>
    <col min="10245" max="10245" width="7" style="208" bestFit="1" customWidth="1"/>
    <col min="10246" max="10246" width="6.42578125" style="208" bestFit="1" customWidth="1"/>
    <col min="10247" max="10249" width="7.42578125" style="208" bestFit="1" customWidth="1"/>
    <col min="10250" max="10250" width="7.5703125" style="208" bestFit="1" customWidth="1"/>
    <col min="10251" max="10254" width="6.42578125" style="208" bestFit="1" customWidth="1"/>
    <col min="10255" max="10255" width="9.5703125" style="208" bestFit="1" customWidth="1"/>
    <col min="10256" max="10496" width="9.140625" style="208"/>
    <col min="10497" max="10497" width="4.85546875" style="208" bestFit="1" customWidth="1"/>
    <col min="10498" max="10498" width="48.5703125" style="208" bestFit="1" customWidth="1"/>
    <col min="10499" max="10499" width="6.42578125" style="208" bestFit="1" customWidth="1"/>
    <col min="10500" max="10500" width="7.140625" style="208" bestFit="1" customWidth="1"/>
    <col min="10501" max="10501" width="7" style="208" bestFit="1" customWidth="1"/>
    <col min="10502" max="10502" width="6.42578125" style="208" bestFit="1" customWidth="1"/>
    <col min="10503" max="10505" width="7.42578125" style="208" bestFit="1" customWidth="1"/>
    <col min="10506" max="10506" width="7.5703125" style="208" bestFit="1" customWidth="1"/>
    <col min="10507" max="10510" width="6.42578125" style="208" bestFit="1" customWidth="1"/>
    <col min="10511" max="10511" width="9.5703125" style="208" bestFit="1" customWidth="1"/>
    <col min="10512" max="10752" width="9.140625" style="208"/>
    <col min="10753" max="10753" width="4.85546875" style="208" bestFit="1" customWidth="1"/>
    <col min="10754" max="10754" width="48.5703125" style="208" bestFit="1" customWidth="1"/>
    <col min="10755" max="10755" width="6.42578125" style="208" bestFit="1" customWidth="1"/>
    <col min="10756" max="10756" width="7.140625" style="208" bestFit="1" customWidth="1"/>
    <col min="10757" max="10757" width="7" style="208" bestFit="1" customWidth="1"/>
    <col min="10758" max="10758" width="6.42578125" style="208" bestFit="1" customWidth="1"/>
    <col min="10759" max="10761" width="7.42578125" style="208" bestFit="1" customWidth="1"/>
    <col min="10762" max="10762" width="7.5703125" style="208" bestFit="1" customWidth="1"/>
    <col min="10763" max="10766" width="6.42578125" style="208" bestFit="1" customWidth="1"/>
    <col min="10767" max="10767" width="9.5703125" style="208" bestFit="1" customWidth="1"/>
    <col min="10768" max="11008" width="9.140625" style="208"/>
    <col min="11009" max="11009" width="4.85546875" style="208" bestFit="1" customWidth="1"/>
    <col min="11010" max="11010" width="48.5703125" style="208" bestFit="1" customWidth="1"/>
    <col min="11011" max="11011" width="6.42578125" style="208" bestFit="1" customWidth="1"/>
    <col min="11012" max="11012" width="7.140625" style="208" bestFit="1" customWidth="1"/>
    <col min="11013" max="11013" width="7" style="208" bestFit="1" customWidth="1"/>
    <col min="11014" max="11014" width="6.42578125" style="208" bestFit="1" customWidth="1"/>
    <col min="11015" max="11017" width="7.42578125" style="208" bestFit="1" customWidth="1"/>
    <col min="11018" max="11018" width="7.5703125" style="208" bestFit="1" customWidth="1"/>
    <col min="11019" max="11022" width="6.42578125" style="208" bestFit="1" customWidth="1"/>
    <col min="11023" max="11023" width="9.5703125" style="208" bestFit="1" customWidth="1"/>
    <col min="11024" max="11264" width="9.140625" style="208"/>
    <col min="11265" max="11265" width="4.85546875" style="208" bestFit="1" customWidth="1"/>
    <col min="11266" max="11266" width="48.5703125" style="208" bestFit="1" customWidth="1"/>
    <col min="11267" max="11267" width="6.42578125" style="208" bestFit="1" customWidth="1"/>
    <col min="11268" max="11268" width="7.140625" style="208" bestFit="1" customWidth="1"/>
    <col min="11269" max="11269" width="7" style="208" bestFit="1" customWidth="1"/>
    <col min="11270" max="11270" width="6.42578125" style="208" bestFit="1" customWidth="1"/>
    <col min="11271" max="11273" width="7.42578125" style="208" bestFit="1" customWidth="1"/>
    <col min="11274" max="11274" width="7.5703125" style="208" bestFit="1" customWidth="1"/>
    <col min="11275" max="11278" width="6.42578125" style="208" bestFit="1" customWidth="1"/>
    <col min="11279" max="11279" width="9.5703125" style="208" bestFit="1" customWidth="1"/>
    <col min="11280" max="11520" width="9.140625" style="208"/>
    <col min="11521" max="11521" width="4.85546875" style="208" bestFit="1" customWidth="1"/>
    <col min="11522" max="11522" width="48.5703125" style="208" bestFit="1" customWidth="1"/>
    <col min="11523" max="11523" width="6.42578125" style="208" bestFit="1" customWidth="1"/>
    <col min="11524" max="11524" width="7.140625" style="208" bestFit="1" customWidth="1"/>
    <col min="11525" max="11525" width="7" style="208" bestFit="1" customWidth="1"/>
    <col min="11526" max="11526" width="6.42578125" style="208" bestFit="1" customWidth="1"/>
    <col min="11527" max="11529" width="7.42578125" style="208" bestFit="1" customWidth="1"/>
    <col min="11530" max="11530" width="7.5703125" style="208" bestFit="1" customWidth="1"/>
    <col min="11531" max="11534" width="6.42578125" style="208" bestFit="1" customWidth="1"/>
    <col min="11535" max="11535" width="9.5703125" style="208" bestFit="1" customWidth="1"/>
    <col min="11536" max="11776" width="9.140625" style="208"/>
    <col min="11777" max="11777" width="4.85546875" style="208" bestFit="1" customWidth="1"/>
    <col min="11778" max="11778" width="48.5703125" style="208" bestFit="1" customWidth="1"/>
    <col min="11779" max="11779" width="6.42578125" style="208" bestFit="1" customWidth="1"/>
    <col min="11780" max="11780" width="7.140625" style="208" bestFit="1" customWidth="1"/>
    <col min="11781" max="11781" width="7" style="208" bestFit="1" customWidth="1"/>
    <col min="11782" max="11782" width="6.42578125" style="208" bestFit="1" customWidth="1"/>
    <col min="11783" max="11785" width="7.42578125" style="208" bestFit="1" customWidth="1"/>
    <col min="11786" max="11786" width="7.5703125" style="208" bestFit="1" customWidth="1"/>
    <col min="11787" max="11790" width="6.42578125" style="208" bestFit="1" customWidth="1"/>
    <col min="11791" max="11791" width="9.5703125" style="208" bestFit="1" customWidth="1"/>
    <col min="11792" max="12032" width="9.140625" style="208"/>
    <col min="12033" max="12033" width="4.85546875" style="208" bestFit="1" customWidth="1"/>
    <col min="12034" max="12034" width="48.5703125" style="208" bestFit="1" customWidth="1"/>
    <col min="12035" max="12035" width="6.42578125" style="208" bestFit="1" customWidth="1"/>
    <col min="12036" max="12036" width="7.140625" style="208" bestFit="1" customWidth="1"/>
    <col min="12037" max="12037" width="7" style="208" bestFit="1" customWidth="1"/>
    <col min="12038" max="12038" width="6.42578125" style="208" bestFit="1" customWidth="1"/>
    <col min="12039" max="12041" width="7.42578125" style="208" bestFit="1" customWidth="1"/>
    <col min="12042" max="12042" width="7.5703125" style="208" bestFit="1" customWidth="1"/>
    <col min="12043" max="12046" width="6.42578125" style="208" bestFit="1" customWidth="1"/>
    <col min="12047" max="12047" width="9.5703125" style="208" bestFit="1" customWidth="1"/>
    <col min="12048" max="12288" width="9.140625" style="208"/>
    <col min="12289" max="12289" width="4.85546875" style="208" bestFit="1" customWidth="1"/>
    <col min="12290" max="12290" width="48.5703125" style="208" bestFit="1" customWidth="1"/>
    <col min="12291" max="12291" width="6.42578125" style="208" bestFit="1" customWidth="1"/>
    <col min="12292" max="12292" width="7.140625" style="208" bestFit="1" customWidth="1"/>
    <col min="12293" max="12293" width="7" style="208" bestFit="1" customWidth="1"/>
    <col min="12294" max="12294" width="6.42578125" style="208" bestFit="1" customWidth="1"/>
    <col min="12295" max="12297" width="7.42578125" style="208" bestFit="1" customWidth="1"/>
    <col min="12298" max="12298" width="7.5703125" style="208" bestFit="1" customWidth="1"/>
    <col min="12299" max="12302" width="6.42578125" style="208" bestFit="1" customWidth="1"/>
    <col min="12303" max="12303" width="9.5703125" style="208" bestFit="1" customWidth="1"/>
    <col min="12304" max="12544" width="9.140625" style="208"/>
    <col min="12545" max="12545" width="4.85546875" style="208" bestFit="1" customWidth="1"/>
    <col min="12546" max="12546" width="48.5703125" style="208" bestFit="1" customWidth="1"/>
    <col min="12547" max="12547" width="6.42578125" style="208" bestFit="1" customWidth="1"/>
    <col min="12548" max="12548" width="7.140625" style="208" bestFit="1" customWidth="1"/>
    <col min="12549" max="12549" width="7" style="208" bestFit="1" customWidth="1"/>
    <col min="12550" max="12550" width="6.42578125" style="208" bestFit="1" customWidth="1"/>
    <col min="12551" max="12553" width="7.42578125" style="208" bestFit="1" customWidth="1"/>
    <col min="12554" max="12554" width="7.5703125" style="208" bestFit="1" customWidth="1"/>
    <col min="12555" max="12558" width="6.42578125" style="208" bestFit="1" customWidth="1"/>
    <col min="12559" max="12559" width="9.5703125" style="208" bestFit="1" customWidth="1"/>
    <col min="12560" max="12800" width="9.140625" style="208"/>
    <col min="12801" max="12801" width="4.85546875" style="208" bestFit="1" customWidth="1"/>
    <col min="12802" max="12802" width="48.5703125" style="208" bestFit="1" customWidth="1"/>
    <col min="12803" max="12803" width="6.42578125" style="208" bestFit="1" customWidth="1"/>
    <col min="12804" max="12804" width="7.140625" style="208" bestFit="1" customWidth="1"/>
    <col min="12805" max="12805" width="7" style="208" bestFit="1" customWidth="1"/>
    <col min="12806" max="12806" width="6.42578125" style="208" bestFit="1" customWidth="1"/>
    <col min="12807" max="12809" width="7.42578125" style="208" bestFit="1" customWidth="1"/>
    <col min="12810" max="12810" width="7.5703125" style="208" bestFit="1" customWidth="1"/>
    <col min="12811" max="12814" width="6.42578125" style="208" bestFit="1" customWidth="1"/>
    <col min="12815" max="12815" width="9.5703125" style="208" bestFit="1" customWidth="1"/>
    <col min="12816" max="13056" width="9.140625" style="208"/>
    <col min="13057" max="13057" width="4.85546875" style="208" bestFit="1" customWidth="1"/>
    <col min="13058" max="13058" width="48.5703125" style="208" bestFit="1" customWidth="1"/>
    <col min="13059" max="13059" width="6.42578125" style="208" bestFit="1" customWidth="1"/>
    <col min="13060" max="13060" width="7.140625" style="208" bestFit="1" customWidth="1"/>
    <col min="13061" max="13061" width="7" style="208" bestFit="1" customWidth="1"/>
    <col min="13062" max="13062" width="6.42578125" style="208" bestFit="1" customWidth="1"/>
    <col min="13063" max="13065" width="7.42578125" style="208" bestFit="1" customWidth="1"/>
    <col min="13066" max="13066" width="7.5703125" style="208" bestFit="1" customWidth="1"/>
    <col min="13067" max="13070" width="6.42578125" style="208" bestFit="1" customWidth="1"/>
    <col min="13071" max="13071" width="9.5703125" style="208" bestFit="1" customWidth="1"/>
    <col min="13072" max="13312" width="9.140625" style="208"/>
    <col min="13313" max="13313" width="4.85546875" style="208" bestFit="1" customWidth="1"/>
    <col min="13314" max="13314" width="48.5703125" style="208" bestFit="1" customWidth="1"/>
    <col min="13315" max="13315" width="6.42578125" style="208" bestFit="1" customWidth="1"/>
    <col min="13316" max="13316" width="7.140625" style="208" bestFit="1" customWidth="1"/>
    <col min="13317" max="13317" width="7" style="208" bestFit="1" customWidth="1"/>
    <col min="13318" max="13318" width="6.42578125" style="208" bestFit="1" customWidth="1"/>
    <col min="13319" max="13321" width="7.42578125" style="208" bestFit="1" customWidth="1"/>
    <col min="13322" max="13322" width="7.5703125" style="208" bestFit="1" customWidth="1"/>
    <col min="13323" max="13326" width="6.42578125" style="208" bestFit="1" customWidth="1"/>
    <col min="13327" max="13327" width="9.5703125" style="208" bestFit="1" customWidth="1"/>
    <col min="13328" max="13568" width="9.140625" style="208"/>
    <col min="13569" max="13569" width="4.85546875" style="208" bestFit="1" customWidth="1"/>
    <col min="13570" max="13570" width="48.5703125" style="208" bestFit="1" customWidth="1"/>
    <col min="13571" max="13571" width="6.42578125" style="208" bestFit="1" customWidth="1"/>
    <col min="13572" max="13572" width="7.140625" style="208" bestFit="1" customWidth="1"/>
    <col min="13573" max="13573" width="7" style="208" bestFit="1" customWidth="1"/>
    <col min="13574" max="13574" width="6.42578125" style="208" bestFit="1" customWidth="1"/>
    <col min="13575" max="13577" width="7.42578125" style="208" bestFit="1" customWidth="1"/>
    <col min="13578" max="13578" width="7.5703125" style="208" bestFit="1" customWidth="1"/>
    <col min="13579" max="13582" width="6.42578125" style="208" bestFit="1" customWidth="1"/>
    <col min="13583" max="13583" width="9.5703125" style="208" bestFit="1" customWidth="1"/>
    <col min="13584" max="13824" width="9.140625" style="208"/>
    <col min="13825" max="13825" width="4.85546875" style="208" bestFit="1" customWidth="1"/>
    <col min="13826" max="13826" width="48.5703125" style="208" bestFit="1" customWidth="1"/>
    <col min="13827" max="13827" width="6.42578125" style="208" bestFit="1" customWidth="1"/>
    <col min="13828" max="13828" width="7.140625" style="208" bestFit="1" customWidth="1"/>
    <col min="13829" max="13829" width="7" style="208" bestFit="1" customWidth="1"/>
    <col min="13830" max="13830" width="6.42578125" style="208" bestFit="1" customWidth="1"/>
    <col min="13831" max="13833" width="7.42578125" style="208" bestFit="1" customWidth="1"/>
    <col min="13834" max="13834" width="7.5703125" style="208" bestFit="1" customWidth="1"/>
    <col min="13835" max="13838" width="6.42578125" style="208" bestFit="1" customWidth="1"/>
    <col min="13839" max="13839" width="9.5703125" style="208" bestFit="1" customWidth="1"/>
    <col min="13840" max="14080" width="9.140625" style="208"/>
    <col min="14081" max="14081" width="4.85546875" style="208" bestFit="1" customWidth="1"/>
    <col min="14082" max="14082" width="48.5703125" style="208" bestFit="1" customWidth="1"/>
    <col min="14083" max="14083" width="6.42578125" style="208" bestFit="1" customWidth="1"/>
    <col min="14084" max="14084" width="7.140625" style="208" bestFit="1" customWidth="1"/>
    <col min="14085" max="14085" width="7" style="208" bestFit="1" customWidth="1"/>
    <col min="14086" max="14086" width="6.42578125" style="208" bestFit="1" customWidth="1"/>
    <col min="14087" max="14089" width="7.42578125" style="208" bestFit="1" customWidth="1"/>
    <col min="14090" max="14090" width="7.5703125" style="208" bestFit="1" customWidth="1"/>
    <col min="14091" max="14094" width="6.42578125" style="208" bestFit="1" customWidth="1"/>
    <col min="14095" max="14095" width="9.5703125" style="208" bestFit="1" customWidth="1"/>
    <col min="14096" max="14336" width="9.140625" style="208"/>
    <col min="14337" max="14337" width="4.85546875" style="208" bestFit="1" customWidth="1"/>
    <col min="14338" max="14338" width="48.5703125" style="208" bestFit="1" customWidth="1"/>
    <col min="14339" max="14339" width="6.42578125" style="208" bestFit="1" customWidth="1"/>
    <col min="14340" max="14340" width="7.140625" style="208" bestFit="1" customWidth="1"/>
    <col min="14341" max="14341" width="7" style="208" bestFit="1" customWidth="1"/>
    <col min="14342" max="14342" width="6.42578125" style="208" bestFit="1" customWidth="1"/>
    <col min="14343" max="14345" width="7.42578125" style="208" bestFit="1" customWidth="1"/>
    <col min="14346" max="14346" width="7.5703125" style="208" bestFit="1" customWidth="1"/>
    <col min="14347" max="14350" width="6.42578125" style="208" bestFit="1" customWidth="1"/>
    <col min="14351" max="14351" width="9.5703125" style="208" bestFit="1" customWidth="1"/>
    <col min="14352" max="14592" width="9.140625" style="208"/>
    <col min="14593" max="14593" width="4.85546875" style="208" bestFit="1" customWidth="1"/>
    <col min="14594" max="14594" width="48.5703125" style="208" bestFit="1" customWidth="1"/>
    <col min="14595" max="14595" width="6.42578125" style="208" bestFit="1" customWidth="1"/>
    <col min="14596" max="14596" width="7.140625" style="208" bestFit="1" customWidth="1"/>
    <col min="14597" max="14597" width="7" style="208" bestFit="1" customWidth="1"/>
    <col min="14598" max="14598" width="6.42578125" style="208" bestFit="1" customWidth="1"/>
    <col min="14599" max="14601" width="7.42578125" style="208" bestFit="1" customWidth="1"/>
    <col min="14602" max="14602" width="7.5703125" style="208" bestFit="1" customWidth="1"/>
    <col min="14603" max="14606" width="6.42578125" style="208" bestFit="1" customWidth="1"/>
    <col min="14607" max="14607" width="9.5703125" style="208" bestFit="1" customWidth="1"/>
    <col min="14608" max="14848" width="9.140625" style="208"/>
    <col min="14849" max="14849" width="4.85546875" style="208" bestFit="1" customWidth="1"/>
    <col min="14850" max="14850" width="48.5703125" style="208" bestFit="1" customWidth="1"/>
    <col min="14851" max="14851" width="6.42578125" style="208" bestFit="1" customWidth="1"/>
    <col min="14852" max="14852" width="7.140625" style="208" bestFit="1" customWidth="1"/>
    <col min="14853" max="14853" width="7" style="208" bestFit="1" customWidth="1"/>
    <col min="14854" max="14854" width="6.42578125" style="208" bestFit="1" customWidth="1"/>
    <col min="14855" max="14857" width="7.42578125" style="208" bestFit="1" customWidth="1"/>
    <col min="14858" max="14858" width="7.5703125" style="208" bestFit="1" customWidth="1"/>
    <col min="14859" max="14862" width="6.42578125" style="208" bestFit="1" customWidth="1"/>
    <col min="14863" max="14863" width="9.5703125" style="208" bestFit="1" customWidth="1"/>
    <col min="14864" max="15104" width="9.140625" style="208"/>
    <col min="15105" max="15105" width="4.85546875" style="208" bestFit="1" customWidth="1"/>
    <col min="15106" max="15106" width="48.5703125" style="208" bestFit="1" customWidth="1"/>
    <col min="15107" max="15107" width="6.42578125" style="208" bestFit="1" customWidth="1"/>
    <col min="15108" max="15108" width="7.140625" style="208" bestFit="1" customWidth="1"/>
    <col min="15109" max="15109" width="7" style="208" bestFit="1" customWidth="1"/>
    <col min="15110" max="15110" width="6.42578125" style="208" bestFit="1" customWidth="1"/>
    <col min="15111" max="15113" width="7.42578125" style="208" bestFit="1" customWidth="1"/>
    <col min="15114" max="15114" width="7.5703125" style="208" bestFit="1" customWidth="1"/>
    <col min="15115" max="15118" width="6.42578125" style="208" bestFit="1" customWidth="1"/>
    <col min="15119" max="15119" width="9.5703125" style="208" bestFit="1" customWidth="1"/>
    <col min="15120" max="15360" width="9.140625" style="208"/>
    <col min="15361" max="15361" width="4.85546875" style="208" bestFit="1" customWidth="1"/>
    <col min="15362" max="15362" width="48.5703125" style="208" bestFit="1" customWidth="1"/>
    <col min="15363" max="15363" width="6.42578125" style="208" bestFit="1" customWidth="1"/>
    <col min="15364" max="15364" width="7.140625" style="208" bestFit="1" customWidth="1"/>
    <col min="15365" max="15365" width="7" style="208" bestFit="1" customWidth="1"/>
    <col min="15366" max="15366" width="6.42578125" style="208" bestFit="1" customWidth="1"/>
    <col min="15367" max="15369" width="7.42578125" style="208" bestFit="1" customWidth="1"/>
    <col min="15370" max="15370" width="7.5703125" style="208" bestFit="1" customWidth="1"/>
    <col min="15371" max="15374" width="6.42578125" style="208" bestFit="1" customWidth="1"/>
    <col min="15375" max="15375" width="9.5703125" style="208" bestFit="1" customWidth="1"/>
    <col min="15376" max="15616" width="9.140625" style="208"/>
    <col min="15617" max="15617" width="4.85546875" style="208" bestFit="1" customWidth="1"/>
    <col min="15618" max="15618" width="48.5703125" style="208" bestFit="1" customWidth="1"/>
    <col min="15619" max="15619" width="6.42578125" style="208" bestFit="1" customWidth="1"/>
    <col min="15620" max="15620" width="7.140625" style="208" bestFit="1" customWidth="1"/>
    <col min="15621" max="15621" width="7" style="208" bestFit="1" customWidth="1"/>
    <col min="15622" max="15622" width="6.42578125" style="208" bestFit="1" customWidth="1"/>
    <col min="15623" max="15625" width="7.42578125" style="208" bestFit="1" customWidth="1"/>
    <col min="15626" max="15626" width="7.5703125" style="208" bestFit="1" customWidth="1"/>
    <col min="15627" max="15630" width="6.42578125" style="208" bestFit="1" customWidth="1"/>
    <col min="15631" max="15631" width="9.5703125" style="208" bestFit="1" customWidth="1"/>
    <col min="15632" max="15872" width="9.140625" style="208"/>
    <col min="15873" max="15873" width="4.85546875" style="208" bestFit="1" customWidth="1"/>
    <col min="15874" max="15874" width="48.5703125" style="208" bestFit="1" customWidth="1"/>
    <col min="15875" max="15875" width="6.42578125" style="208" bestFit="1" customWidth="1"/>
    <col min="15876" max="15876" width="7.140625" style="208" bestFit="1" customWidth="1"/>
    <col min="15877" max="15877" width="7" style="208" bestFit="1" customWidth="1"/>
    <col min="15878" max="15878" width="6.42578125" style="208" bestFit="1" customWidth="1"/>
    <col min="15879" max="15881" width="7.42578125" style="208" bestFit="1" customWidth="1"/>
    <col min="15882" max="15882" width="7.5703125" style="208" bestFit="1" customWidth="1"/>
    <col min="15883" max="15886" width="6.42578125" style="208" bestFit="1" customWidth="1"/>
    <col min="15887" max="15887" width="9.5703125" style="208" bestFit="1" customWidth="1"/>
    <col min="15888" max="16128" width="9.140625" style="208"/>
    <col min="16129" max="16129" width="4.85546875" style="208" bestFit="1" customWidth="1"/>
    <col min="16130" max="16130" width="48.5703125" style="208" bestFit="1" customWidth="1"/>
    <col min="16131" max="16131" width="6.42578125" style="208" bestFit="1" customWidth="1"/>
    <col min="16132" max="16132" width="7.140625" style="208" bestFit="1" customWidth="1"/>
    <col min="16133" max="16133" width="7" style="208" bestFit="1" customWidth="1"/>
    <col min="16134" max="16134" width="6.42578125" style="208" bestFit="1" customWidth="1"/>
    <col min="16135" max="16137" width="7.42578125" style="208" bestFit="1" customWidth="1"/>
    <col min="16138" max="16138" width="7.5703125" style="208" bestFit="1" customWidth="1"/>
    <col min="16139" max="16142" width="6.42578125" style="208" bestFit="1" customWidth="1"/>
    <col min="16143" max="16143" width="9.5703125" style="208" bestFit="1" customWidth="1"/>
    <col min="16144" max="16384" width="9.140625" style="208"/>
  </cols>
  <sheetData>
    <row r="1" spans="1:15">
      <c r="M1" s="267" t="s">
        <v>230</v>
      </c>
      <c r="N1" s="267"/>
      <c r="O1" s="267"/>
    </row>
    <row r="2" spans="1:15" s="173" customFormat="1">
      <c r="A2" s="253" t="s">
        <v>160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</row>
    <row r="3" spans="1:15" s="173" customFormat="1" ht="13.5" thickBot="1">
      <c r="A3" s="174"/>
      <c r="O3" s="175" t="s">
        <v>9</v>
      </c>
    </row>
    <row r="4" spans="1:15" s="174" customFormat="1" ht="26.25" thickBot="1">
      <c r="A4" s="176" t="s">
        <v>161</v>
      </c>
      <c r="B4" s="177" t="s">
        <v>162</v>
      </c>
      <c r="C4" s="177" t="s">
        <v>163</v>
      </c>
      <c r="D4" s="177" t="s">
        <v>164</v>
      </c>
      <c r="E4" s="177" t="s">
        <v>165</v>
      </c>
      <c r="F4" s="177" t="s">
        <v>166</v>
      </c>
      <c r="G4" s="177" t="s">
        <v>167</v>
      </c>
      <c r="H4" s="177" t="s">
        <v>168</v>
      </c>
      <c r="I4" s="177" t="s">
        <v>169</v>
      </c>
      <c r="J4" s="177" t="s">
        <v>170</v>
      </c>
      <c r="K4" s="177" t="s">
        <v>171</v>
      </c>
      <c r="L4" s="177" t="s">
        <v>172</v>
      </c>
      <c r="M4" s="177" t="s">
        <v>173</v>
      </c>
      <c r="N4" s="177" t="s">
        <v>174</v>
      </c>
      <c r="O4" s="178" t="s">
        <v>33</v>
      </c>
    </row>
    <row r="5" spans="1:15" s="180" customFormat="1" ht="13.5" thickBot="1">
      <c r="A5" s="179" t="s">
        <v>8</v>
      </c>
      <c r="B5" s="255" t="s">
        <v>175</v>
      </c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7"/>
    </row>
    <row r="6" spans="1:15" s="180" customFormat="1">
      <c r="A6" s="181" t="s">
        <v>104</v>
      </c>
      <c r="B6" s="182" t="s">
        <v>176</v>
      </c>
      <c r="C6" s="183">
        <v>30050</v>
      </c>
      <c r="D6" s="183">
        <v>30050</v>
      </c>
      <c r="E6" s="183">
        <v>30050</v>
      </c>
      <c r="F6" s="183">
        <v>30050</v>
      </c>
      <c r="G6" s="183">
        <v>30050</v>
      </c>
      <c r="H6" s="183">
        <v>30050</v>
      </c>
      <c r="I6" s="183">
        <v>30049</v>
      </c>
      <c r="J6" s="183">
        <v>30049</v>
      </c>
      <c r="K6" s="183">
        <v>30049</v>
      </c>
      <c r="L6" s="183">
        <v>30049</v>
      </c>
      <c r="M6" s="183">
        <v>30049</v>
      </c>
      <c r="N6" s="183">
        <v>30049</v>
      </c>
      <c r="O6" s="184">
        <f t="shared" ref="O6:O15" si="0">SUM(C6:N6)</f>
        <v>360594</v>
      </c>
    </row>
    <row r="7" spans="1:15" s="180" customFormat="1">
      <c r="A7" s="185" t="s">
        <v>115</v>
      </c>
      <c r="B7" s="186" t="s">
        <v>177</v>
      </c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8">
        <f t="shared" si="0"/>
        <v>0</v>
      </c>
    </row>
    <row r="8" spans="1:15" s="192" customFormat="1">
      <c r="A8" s="185" t="s">
        <v>178</v>
      </c>
      <c r="B8" s="189" t="s">
        <v>179</v>
      </c>
      <c r="C8" s="190">
        <f>327594/12</f>
        <v>27299.5</v>
      </c>
      <c r="D8" s="190">
        <f t="shared" ref="D8:N8" si="1">327594/12</f>
        <v>27299.5</v>
      </c>
      <c r="E8" s="190">
        <f t="shared" si="1"/>
        <v>27299.5</v>
      </c>
      <c r="F8" s="190">
        <f t="shared" si="1"/>
        <v>27299.5</v>
      </c>
      <c r="G8" s="190">
        <f t="shared" si="1"/>
        <v>27299.5</v>
      </c>
      <c r="H8" s="190">
        <f t="shared" si="1"/>
        <v>27299.5</v>
      </c>
      <c r="I8" s="190">
        <f t="shared" si="1"/>
        <v>27299.5</v>
      </c>
      <c r="J8" s="190">
        <f t="shared" si="1"/>
        <v>27299.5</v>
      </c>
      <c r="K8" s="190">
        <f t="shared" si="1"/>
        <v>27299.5</v>
      </c>
      <c r="L8" s="190">
        <f t="shared" si="1"/>
        <v>27299.5</v>
      </c>
      <c r="M8" s="190">
        <f t="shared" si="1"/>
        <v>27299.5</v>
      </c>
      <c r="N8" s="190">
        <f t="shared" si="1"/>
        <v>27299.5</v>
      </c>
      <c r="O8" s="191">
        <f t="shared" si="0"/>
        <v>327594</v>
      </c>
    </row>
    <row r="9" spans="1:15" s="192" customFormat="1">
      <c r="A9" s="185" t="s">
        <v>180</v>
      </c>
      <c r="B9" s="186" t="s">
        <v>181</v>
      </c>
      <c r="C9" s="187"/>
      <c r="D9" s="187"/>
      <c r="E9" s="187"/>
      <c r="F9" s="187"/>
      <c r="G9" s="187">
        <v>4142</v>
      </c>
      <c r="H9" s="187"/>
      <c r="I9" s="187">
        <v>4142</v>
      </c>
      <c r="J9" s="187"/>
      <c r="K9" s="187"/>
      <c r="L9" s="187">
        <v>4141</v>
      </c>
      <c r="M9" s="187">
        <v>4141</v>
      </c>
      <c r="N9" s="187"/>
      <c r="O9" s="188">
        <f t="shared" si="0"/>
        <v>16566</v>
      </c>
    </row>
    <row r="10" spans="1:15" s="192" customFormat="1">
      <c r="A10" s="185" t="s">
        <v>182</v>
      </c>
      <c r="B10" s="186" t="s">
        <v>183</v>
      </c>
      <c r="C10" s="187"/>
      <c r="D10" s="187"/>
      <c r="E10" s="187">
        <f>60032/4</f>
        <v>15008</v>
      </c>
      <c r="F10" s="187"/>
      <c r="G10" s="187"/>
      <c r="H10" s="187">
        <v>15008</v>
      </c>
      <c r="I10" s="187"/>
      <c r="J10" s="187">
        <v>15008</v>
      </c>
      <c r="K10" s="187"/>
      <c r="L10" s="187"/>
      <c r="M10" s="187">
        <v>15008</v>
      </c>
      <c r="N10" s="187"/>
      <c r="O10" s="188">
        <f t="shared" si="0"/>
        <v>60032</v>
      </c>
    </row>
    <row r="11" spans="1:15" s="192" customFormat="1">
      <c r="A11" s="185" t="s">
        <v>184</v>
      </c>
      <c r="B11" s="186" t="s">
        <v>185</v>
      </c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8">
        <f t="shared" si="0"/>
        <v>0</v>
      </c>
    </row>
    <row r="12" spans="1:15" s="192" customFormat="1">
      <c r="A12" s="185" t="s">
        <v>186</v>
      </c>
      <c r="B12" s="186" t="s">
        <v>187</v>
      </c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8">
        <f t="shared" si="0"/>
        <v>0</v>
      </c>
    </row>
    <row r="13" spans="1:15" s="192" customFormat="1">
      <c r="A13" s="186" t="s">
        <v>188</v>
      </c>
      <c r="B13" s="193" t="s">
        <v>189</v>
      </c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8">
        <f t="shared" si="0"/>
        <v>0</v>
      </c>
    </row>
    <row r="14" spans="1:15" s="192" customFormat="1">
      <c r="A14" s="186" t="s">
        <v>190</v>
      </c>
      <c r="B14" s="186" t="s">
        <v>191</v>
      </c>
      <c r="C14" s="187">
        <f>102636/12</f>
        <v>8553</v>
      </c>
      <c r="D14" s="187">
        <f t="shared" ref="D14:N14" si="2">102636/12</f>
        <v>8553</v>
      </c>
      <c r="E14" s="187">
        <f t="shared" si="2"/>
        <v>8553</v>
      </c>
      <c r="F14" s="187">
        <f t="shared" si="2"/>
        <v>8553</v>
      </c>
      <c r="G14" s="187">
        <f t="shared" si="2"/>
        <v>8553</v>
      </c>
      <c r="H14" s="187">
        <f t="shared" si="2"/>
        <v>8553</v>
      </c>
      <c r="I14" s="187">
        <f t="shared" si="2"/>
        <v>8553</v>
      </c>
      <c r="J14" s="187">
        <f t="shared" si="2"/>
        <v>8553</v>
      </c>
      <c r="K14" s="187">
        <f t="shared" si="2"/>
        <v>8553</v>
      </c>
      <c r="L14" s="187">
        <f t="shared" si="2"/>
        <v>8553</v>
      </c>
      <c r="M14" s="187">
        <f t="shared" si="2"/>
        <v>8553</v>
      </c>
      <c r="N14" s="187">
        <f t="shared" si="2"/>
        <v>8553</v>
      </c>
      <c r="O14" s="188">
        <f t="shared" si="0"/>
        <v>102636</v>
      </c>
    </row>
    <row r="15" spans="1:15" s="192" customFormat="1" ht="13.5" thickBot="1">
      <c r="A15" s="194" t="s">
        <v>192</v>
      </c>
      <c r="B15" s="194" t="s">
        <v>116</v>
      </c>
      <c r="C15" s="195"/>
      <c r="D15" s="195"/>
      <c r="E15" s="195"/>
      <c r="F15" s="195">
        <v>5000</v>
      </c>
      <c r="G15" s="195"/>
      <c r="H15" s="195"/>
      <c r="I15" s="195">
        <f>13334-5000</f>
        <v>8334</v>
      </c>
      <c r="J15" s="195"/>
      <c r="K15" s="195"/>
      <c r="L15" s="195"/>
      <c r="M15" s="195"/>
      <c r="N15" s="195"/>
      <c r="O15" s="188">
        <f t="shared" si="0"/>
        <v>13334</v>
      </c>
    </row>
    <row r="16" spans="1:15" s="180" customFormat="1" ht="13.5" thickBot="1">
      <c r="A16" s="179" t="s">
        <v>193</v>
      </c>
      <c r="B16" s="196" t="s">
        <v>194</v>
      </c>
      <c r="C16" s="197">
        <f>SUM(C6:C15)</f>
        <v>65902.5</v>
      </c>
      <c r="D16" s="197">
        <f t="shared" ref="D16:N16" si="3">SUM(D6:D15)</f>
        <v>65902.5</v>
      </c>
      <c r="E16" s="197">
        <f t="shared" si="3"/>
        <v>80910.5</v>
      </c>
      <c r="F16" s="197">
        <f t="shared" si="3"/>
        <v>70902.5</v>
      </c>
      <c r="G16" s="197">
        <f t="shared" si="3"/>
        <v>70044.5</v>
      </c>
      <c r="H16" s="197">
        <f t="shared" si="3"/>
        <v>80910.5</v>
      </c>
      <c r="I16" s="197">
        <f t="shared" si="3"/>
        <v>78377.5</v>
      </c>
      <c r="J16" s="197">
        <f t="shared" si="3"/>
        <v>80909.5</v>
      </c>
      <c r="K16" s="197">
        <f t="shared" si="3"/>
        <v>65901.5</v>
      </c>
      <c r="L16" s="197">
        <f t="shared" si="3"/>
        <v>70042.5</v>
      </c>
      <c r="M16" s="197">
        <f t="shared" si="3"/>
        <v>85050.5</v>
      </c>
      <c r="N16" s="197">
        <f t="shared" si="3"/>
        <v>65901.5</v>
      </c>
      <c r="O16" s="198">
        <f>SUM(C16:N16)</f>
        <v>880756</v>
      </c>
    </row>
    <row r="17" spans="1:15" s="180" customFormat="1" ht="13.5" thickBot="1">
      <c r="A17" s="179" t="s">
        <v>195</v>
      </c>
      <c r="B17" s="255" t="s">
        <v>196</v>
      </c>
      <c r="C17" s="256"/>
      <c r="D17" s="256"/>
      <c r="E17" s="256"/>
      <c r="F17" s="256"/>
      <c r="G17" s="256"/>
      <c r="H17" s="256"/>
      <c r="I17" s="256"/>
      <c r="J17" s="256"/>
      <c r="K17" s="256"/>
      <c r="L17" s="256"/>
      <c r="M17" s="256"/>
      <c r="N17" s="256"/>
      <c r="O17" s="257"/>
    </row>
    <row r="18" spans="1:15" s="192" customFormat="1">
      <c r="A18" s="199" t="s">
        <v>197</v>
      </c>
      <c r="B18" s="200" t="s">
        <v>198</v>
      </c>
      <c r="C18" s="190">
        <f>330266/12</f>
        <v>27522.166666666668</v>
      </c>
      <c r="D18" s="190">
        <f t="shared" ref="D18:N18" si="4">330266/12</f>
        <v>27522.166666666668</v>
      </c>
      <c r="E18" s="190">
        <f t="shared" si="4"/>
        <v>27522.166666666668</v>
      </c>
      <c r="F18" s="190">
        <f t="shared" si="4"/>
        <v>27522.166666666668</v>
      </c>
      <c r="G18" s="190">
        <f t="shared" si="4"/>
        <v>27522.166666666668</v>
      </c>
      <c r="H18" s="190">
        <f t="shared" si="4"/>
        <v>27522.166666666668</v>
      </c>
      <c r="I18" s="190">
        <f t="shared" si="4"/>
        <v>27522.166666666668</v>
      </c>
      <c r="J18" s="190">
        <f t="shared" si="4"/>
        <v>27522.166666666668</v>
      </c>
      <c r="K18" s="190">
        <f t="shared" si="4"/>
        <v>27522.166666666668</v>
      </c>
      <c r="L18" s="190">
        <f t="shared" si="4"/>
        <v>27522.166666666668</v>
      </c>
      <c r="M18" s="190">
        <f t="shared" si="4"/>
        <v>27522.166666666668</v>
      </c>
      <c r="N18" s="190">
        <f t="shared" si="4"/>
        <v>27522.166666666668</v>
      </c>
      <c r="O18" s="191">
        <f t="shared" ref="O18:O28" si="5">SUM(C18:N18)</f>
        <v>330266</v>
      </c>
    </row>
    <row r="19" spans="1:15" s="192" customFormat="1">
      <c r="A19" s="185" t="s">
        <v>199</v>
      </c>
      <c r="B19" s="186" t="s">
        <v>110</v>
      </c>
      <c r="C19" s="187">
        <f>191191/12</f>
        <v>15932.583333333334</v>
      </c>
      <c r="D19" s="187">
        <f t="shared" ref="D19:N19" si="6">191191/12</f>
        <v>15932.583333333334</v>
      </c>
      <c r="E19" s="187">
        <f t="shared" si="6"/>
        <v>15932.583333333334</v>
      </c>
      <c r="F19" s="187">
        <f t="shared" si="6"/>
        <v>15932.583333333334</v>
      </c>
      <c r="G19" s="187">
        <f t="shared" si="6"/>
        <v>15932.583333333334</v>
      </c>
      <c r="H19" s="187">
        <f t="shared" si="6"/>
        <v>15932.583333333334</v>
      </c>
      <c r="I19" s="187">
        <f t="shared" si="6"/>
        <v>15932.583333333334</v>
      </c>
      <c r="J19" s="187">
        <f t="shared" si="6"/>
        <v>15932.583333333334</v>
      </c>
      <c r="K19" s="187">
        <f t="shared" si="6"/>
        <v>15932.583333333334</v>
      </c>
      <c r="L19" s="187">
        <f t="shared" si="6"/>
        <v>15932.583333333334</v>
      </c>
      <c r="M19" s="187">
        <f t="shared" si="6"/>
        <v>15932.583333333334</v>
      </c>
      <c r="N19" s="187">
        <f t="shared" si="6"/>
        <v>15932.583333333334</v>
      </c>
      <c r="O19" s="188">
        <f t="shared" si="5"/>
        <v>191191.00000000003</v>
      </c>
    </row>
    <row r="20" spans="1:15" s="192" customFormat="1">
      <c r="A20" s="185" t="s">
        <v>200</v>
      </c>
      <c r="B20" s="186" t="s">
        <v>201</v>
      </c>
      <c r="C20" s="187">
        <v>10425</v>
      </c>
      <c r="D20" s="187">
        <v>10425</v>
      </c>
      <c r="E20" s="187">
        <v>10425</v>
      </c>
      <c r="F20" s="187">
        <v>10425</v>
      </c>
      <c r="G20" s="187">
        <v>10425</v>
      </c>
      <c r="H20" s="187">
        <v>10425</v>
      </c>
      <c r="I20" s="187">
        <v>10425</v>
      </c>
      <c r="J20" s="187">
        <v>10425</v>
      </c>
      <c r="K20" s="187">
        <v>10425</v>
      </c>
      <c r="L20" s="187">
        <v>10425</v>
      </c>
      <c r="M20" s="187">
        <v>10425</v>
      </c>
      <c r="N20" s="187">
        <v>10426</v>
      </c>
      <c r="O20" s="188">
        <f t="shared" si="5"/>
        <v>125101</v>
      </c>
    </row>
    <row r="21" spans="1:15" s="192" customFormat="1">
      <c r="A21" s="185" t="s">
        <v>202</v>
      </c>
      <c r="B21" s="186" t="s">
        <v>203</v>
      </c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8">
        <f t="shared" si="5"/>
        <v>0</v>
      </c>
    </row>
    <row r="22" spans="1:15" s="192" customFormat="1">
      <c r="A22" s="185" t="s">
        <v>204</v>
      </c>
      <c r="B22" s="186" t="s">
        <v>205</v>
      </c>
      <c r="C22" s="187">
        <f>167842/12</f>
        <v>13986.833333333334</v>
      </c>
      <c r="D22" s="187">
        <f t="shared" ref="D22:N22" si="7">167842/12</f>
        <v>13986.833333333334</v>
      </c>
      <c r="E22" s="187">
        <f t="shared" si="7"/>
        <v>13986.833333333334</v>
      </c>
      <c r="F22" s="187">
        <f t="shared" si="7"/>
        <v>13986.833333333334</v>
      </c>
      <c r="G22" s="187">
        <f t="shared" si="7"/>
        <v>13986.833333333334</v>
      </c>
      <c r="H22" s="187">
        <f t="shared" si="7"/>
        <v>13986.833333333334</v>
      </c>
      <c r="I22" s="187">
        <f t="shared" si="7"/>
        <v>13986.833333333334</v>
      </c>
      <c r="J22" s="187">
        <f t="shared" si="7"/>
        <v>13986.833333333334</v>
      </c>
      <c r="K22" s="187">
        <f t="shared" si="7"/>
        <v>13986.833333333334</v>
      </c>
      <c r="L22" s="187">
        <f t="shared" si="7"/>
        <v>13986.833333333334</v>
      </c>
      <c r="M22" s="187">
        <f t="shared" si="7"/>
        <v>13986.833333333334</v>
      </c>
      <c r="N22" s="187">
        <f t="shared" si="7"/>
        <v>13986.833333333334</v>
      </c>
      <c r="O22" s="188">
        <f t="shared" si="5"/>
        <v>167842</v>
      </c>
    </row>
    <row r="23" spans="1:15" s="192" customFormat="1">
      <c r="A23" s="185" t="s">
        <v>206</v>
      </c>
      <c r="B23" s="186" t="s">
        <v>207</v>
      </c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8">
        <f t="shared" si="5"/>
        <v>0</v>
      </c>
    </row>
    <row r="24" spans="1:15" s="192" customFormat="1" ht="25.5">
      <c r="A24" s="185" t="s">
        <v>208</v>
      </c>
      <c r="B24" s="193" t="s">
        <v>209</v>
      </c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8">
        <f t="shared" si="5"/>
        <v>0</v>
      </c>
    </row>
    <row r="25" spans="1:15" s="192" customFormat="1">
      <c r="A25" s="185" t="s">
        <v>210</v>
      </c>
      <c r="B25" s="186" t="s">
        <v>211</v>
      </c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8">
        <f t="shared" si="5"/>
        <v>0</v>
      </c>
    </row>
    <row r="26" spans="1:15" s="192" customFormat="1">
      <c r="A26" s="185" t="s">
        <v>212</v>
      </c>
      <c r="B26" s="186" t="s">
        <v>213</v>
      </c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8">
        <f t="shared" si="5"/>
        <v>0</v>
      </c>
    </row>
    <row r="27" spans="1:15" s="192" customFormat="1">
      <c r="A27" s="185" t="s">
        <v>214</v>
      </c>
      <c r="B27" s="186" t="s">
        <v>215</v>
      </c>
      <c r="C27" s="187"/>
      <c r="D27" s="187"/>
      <c r="E27" s="187">
        <f>66356/4</f>
        <v>16589</v>
      </c>
      <c r="F27" s="187"/>
      <c r="G27" s="187"/>
      <c r="H27" s="187">
        <v>16589</v>
      </c>
      <c r="I27" s="187"/>
      <c r="J27" s="187">
        <v>16589</v>
      </c>
      <c r="K27" s="209"/>
      <c r="L27" s="209"/>
      <c r="M27" s="209">
        <v>16589</v>
      </c>
      <c r="N27" s="187"/>
      <c r="O27" s="188">
        <f t="shared" si="5"/>
        <v>66356</v>
      </c>
    </row>
    <row r="28" spans="1:15" s="192" customFormat="1">
      <c r="A28" s="185" t="s">
        <v>216</v>
      </c>
      <c r="B28" s="186" t="s">
        <v>217</v>
      </c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8">
        <f t="shared" si="5"/>
        <v>0</v>
      </c>
    </row>
    <row r="29" spans="1:15" s="192" customFormat="1" ht="13.5" thickBot="1">
      <c r="A29" s="201" t="s">
        <v>218</v>
      </c>
      <c r="B29" s="202" t="s">
        <v>219</v>
      </c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203"/>
    </row>
    <row r="30" spans="1:15" s="180" customFormat="1" ht="13.5" thickBot="1">
      <c r="A30" s="204" t="s">
        <v>220</v>
      </c>
      <c r="B30" s="196" t="s">
        <v>221</v>
      </c>
      <c r="C30" s="197">
        <f>SUM(C18:C29)</f>
        <v>67866.583333333328</v>
      </c>
      <c r="D30" s="197">
        <f t="shared" ref="D30:N30" si="8">SUM(D18:D29)</f>
        <v>67866.583333333328</v>
      </c>
      <c r="E30" s="197">
        <f t="shared" si="8"/>
        <v>84455.583333333328</v>
      </c>
      <c r="F30" s="197">
        <f t="shared" si="8"/>
        <v>67866.583333333328</v>
      </c>
      <c r="G30" s="197">
        <f t="shared" si="8"/>
        <v>67866.583333333328</v>
      </c>
      <c r="H30" s="197">
        <f t="shared" si="8"/>
        <v>84455.583333333328</v>
      </c>
      <c r="I30" s="197">
        <f t="shared" si="8"/>
        <v>67866.583333333328</v>
      </c>
      <c r="J30" s="197">
        <f t="shared" si="8"/>
        <v>84455.583333333328</v>
      </c>
      <c r="K30" s="197">
        <f t="shared" si="8"/>
        <v>67866.583333333328</v>
      </c>
      <c r="L30" s="197">
        <f t="shared" si="8"/>
        <v>67866.583333333328</v>
      </c>
      <c r="M30" s="197">
        <f t="shared" si="8"/>
        <v>84455.583333333328</v>
      </c>
      <c r="N30" s="197">
        <f t="shared" si="8"/>
        <v>67867.583333333328</v>
      </c>
      <c r="O30" s="198">
        <f>SUM(C30:N30)</f>
        <v>880756.00000000012</v>
      </c>
    </row>
    <row r="31" spans="1:15" s="173" customFormat="1" ht="13.5" thickBot="1">
      <c r="A31" s="204" t="s">
        <v>222</v>
      </c>
      <c r="B31" s="205" t="s">
        <v>223</v>
      </c>
      <c r="C31" s="206">
        <f t="shared" ref="C31:O31" si="9">C16-C30</f>
        <v>-1964.0833333333285</v>
      </c>
      <c r="D31" s="206">
        <f t="shared" si="9"/>
        <v>-1964.0833333333285</v>
      </c>
      <c r="E31" s="206">
        <f t="shared" si="9"/>
        <v>-3545.0833333333285</v>
      </c>
      <c r="F31" s="206">
        <f t="shared" si="9"/>
        <v>3035.9166666666715</v>
      </c>
      <c r="G31" s="206">
        <f t="shared" si="9"/>
        <v>2177.9166666666715</v>
      </c>
      <c r="H31" s="206">
        <f t="shared" si="9"/>
        <v>-3545.0833333333285</v>
      </c>
      <c r="I31" s="206">
        <f t="shared" si="9"/>
        <v>10510.916666666672</v>
      </c>
      <c r="J31" s="206">
        <f t="shared" si="9"/>
        <v>-3546.0833333333285</v>
      </c>
      <c r="K31" s="206">
        <f t="shared" si="9"/>
        <v>-1965.0833333333285</v>
      </c>
      <c r="L31" s="206">
        <f t="shared" si="9"/>
        <v>2175.9166666666715</v>
      </c>
      <c r="M31" s="206">
        <f t="shared" si="9"/>
        <v>594.91666666667152</v>
      </c>
      <c r="N31" s="206">
        <f t="shared" si="9"/>
        <v>-1966.0833333333285</v>
      </c>
      <c r="O31" s="207">
        <f t="shared" si="9"/>
        <v>0</v>
      </c>
    </row>
    <row r="33" spans="1:2">
      <c r="A33" s="258" t="s">
        <v>119</v>
      </c>
      <c r="B33" s="258"/>
    </row>
  </sheetData>
  <mergeCells count="5">
    <mergeCell ref="A2:O2"/>
    <mergeCell ref="B5:O5"/>
    <mergeCell ref="B17:O17"/>
    <mergeCell ref="A33:B33"/>
    <mergeCell ref="M1:O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6" orientation="landscape" verticalDpi="0" r:id="rId1"/>
  <headerFooter>
    <oddHeader>&amp;R&amp;"-,Félkövér"15.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activeCell="H30" sqref="H30"/>
    </sheetView>
  </sheetViews>
  <sheetFormatPr defaultRowHeight="15"/>
  <cols>
    <col min="1" max="1" width="3.7109375" style="82" customWidth="1"/>
    <col min="2" max="2" width="41.7109375" style="82" bestFit="1" customWidth="1"/>
    <col min="3" max="3" width="12.28515625" style="82" customWidth="1"/>
    <col min="4" max="4" width="12.140625" style="82" customWidth="1"/>
    <col min="5" max="5" width="14.5703125" style="82" customWidth="1"/>
    <col min="6" max="6" width="14.28515625" style="82" bestFit="1" customWidth="1"/>
    <col min="7" max="7" width="4" style="82" customWidth="1"/>
    <col min="8" max="8" width="38.140625" style="82" bestFit="1" customWidth="1"/>
    <col min="9" max="9" width="11.5703125" style="82" customWidth="1"/>
    <col min="10" max="10" width="13.28515625" style="82" customWidth="1"/>
    <col min="11" max="11" width="14.7109375" style="82" customWidth="1"/>
    <col min="12" max="12" width="14.28515625" style="82" bestFit="1" customWidth="1"/>
    <col min="13" max="16384" width="9.140625" style="82"/>
  </cols>
  <sheetData>
    <row r="1" spans="1:12">
      <c r="K1" s="212" t="s">
        <v>121</v>
      </c>
      <c r="L1" s="212"/>
    </row>
    <row r="2" spans="1:12">
      <c r="A2" s="260" t="s">
        <v>117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</row>
    <row r="3" spans="1:12">
      <c r="A3" s="260"/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</row>
    <row r="4" spans="1:12">
      <c r="A4" s="264" t="s">
        <v>118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6"/>
    </row>
    <row r="5" spans="1:12">
      <c r="A5" s="261" t="s">
        <v>0</v>
      </c>
      <c r="B5" s="261"/>
      <c r="C5" s="211">
        <v>2014</v>
      </c>
      <c r="D5" s="211"/>
      <c r="E5" s="211"/>
      <c r="F5" s="211"/>
      <c r="G5" s="261" t="s">
        <v>6</v>
      </c>
      <c r="H5" s="261"/>
      <c r="I5" s="211">
        <v>2014</v>
      </c>
      <c r="J5" s="211"/>
      <c r="K5" s="211"/>
      <c r="L5" s="211"/>
    </row>
    <row r="6" spans="1:12">
      <c r="A6" s="261"/>
      <c r="B6" s="261"/>
      <c r="C6" s="211" t="s">
        <v>1</v>
      </c>
      <c r="D6" s="211"/>
      <c r="E6" s="211"/>
      <c r="F6" s="211"/>
      <c r="G6" s="261"/>
      <c r="H6" s="261"/>
      <c r="I6" s="214" t="s">
        <v>1</v>
      </c>
      <c r="J6" s="214"/>
      <c r="K6" s="214"/>
      <c r="L6" s="214"/>
    </row>
    <row r="7" spans="1:12">
      <c r="A7" s="261"/>
      <c r="B7" s="261"/>
      <c r="C7" s="214" t="s">
        <v>4</v>
      </c>
      <c r="D7" s="214" t="s">
        <v>3</v>
      </c>
      <c r="E7" s="214" t="s">
        <v>2</v>
      </c>
      <c r="F7" s="211" t="s">
        <v>5</v>
      </c>
      <c r="G7" s="261"/>
      <c r="H7" s="261"/>
      <c r="I7" s="214" t="s">
        <v>4</v>
      </c>
      <c r="J7" s="214" t="s">
        <v>3</v>
      </c>
      <c r="K7" s="214" t="s">
        <v>2</v>
      </c>
      <c r="L7" s="211" t="s">
        <v>5</v>
      </c>
    </row>
    <row r="8" spans="1:12">
      <c r="A8" s="261"/>
      <c r="B8" s="261"/>
      <c r="C8" s="214"/>
      <c r="D8" s="211"/>
      <c r="E8" s="211"/>
      <c r="F8" s="211"/>
      <c r="G8" s="261"/>
      <c r="H8" s="261"/>
      <c r="I8" s="214"/>
      <c r="J8" s="211"/>
      <c r="K8" s="214"/>
      <c r="L8" s="211"/>
    </row>
    <row r="9" spans="1:12" s="138" customFormat="1">
      <c r="A9" s="140" t="s">
        <v>8</v>
      </c>
      <c r="B9" s="140" t="s">
        <v>103</v>
      </c>
      <c r="C9" s="142">
        <f>SUM(C10:C13)</f>
        <v>604724</v>
      </c>
      <c r="D9" s="142">
        <f>SUM(D10:D12)</f>
        <v>52496</v>
      </c>
      <c r="E9" s="142">
        <f t="shared" ref="E9" si="0">SUM(E11:E12)</f>
        <v>60868</v>
      </c>
      <c r="F9" s="142">
        <f>SUM(C9:E9)</f>
        <v>718088</v>
      </c>
      <c r="G9" s="141" t="s">
        <v>8</v>
      </c>
      <c r="H9" s="141" t="s">
        <v>103</v>
      </c>
      <c r="I9" s="142">
        <f>SUM(I10:I13)</f>
        <v>675773</v>
      </c>
      <c r="J9" s="142">
        <f>SUM(J10:J13)</f>
        <v>74248</v>
      </c>
      <c r="K9" s="142">
        <f>SUM(K10:K13)</f>
        <v>64379</v>
      </c>
      <c r="L9" s="142">
        <f>SUM(I9:K9)</f>
        <v>814400</v>
      </c>
    </row>
    <row r="10" spans="1:12">
      <c r="A10" s="262"/>
      <c r="B10" s="80" t="s">
        <v>101</v>
      </c>
      <c r="C10" s="83">
        <f>345494-16566</f>
        <v>328928</v>
      </c>
      <c r="D10" s="83">
        <f>82798-51132</f>
        <v>31666</v>
      </c>
      <c r="E10" s="84"/>
      <c r="F10" s="83">
        <f>SUM(C10:E10)</f>
        <v>360594</v>
      </c>
      <c r="G10" s="263"/>
      <c r="H10" s="80" t="s">
        <v>109</v>
      </c>
      <c r="I10" s="83">
        <v>240878</v>
      </c>
      <c r="J10" s="83">
        <v>33509</v>
      </c>
      <c r="K10" s="83">
        <v>55879</v>
      </c>
      <c r="L10" s="83">
        <f>SUM(I10:K10)</f>
        <v>330266</v>
      </c>
    </row>
    <row r="11" spans="1:12">
      <c r="A11" s="262"/>
      <c r="B11" s="80" t="s">
        <v>102</v>
      </c>
      <c r="C11" s="83">
        <v>262462</v>
      </c>
      <c r="D11" s="83">
        <f>13164-8900</f>
        <v>4264</v>
      </c>
      <c r="E11" s="83">
        <v>60868</v>
      </c>
      <c r="F11" s="83">
        <f t="shared" ref="F11:F13" si="1">SUM(C11:E11)</f>
        <v>327594</v>
      </c>
      <c r="G11" s="263"/>
      <c r="H11" s="80" t="s">
        <v>110</v>
      </c>
      <c r="I11" s="83">
        <f>267053-125101</f>
        <v>141952</v>
      </c>
      <c r="J11" s="83">
        <f>49639-8900</f>
        <v>40739</v>
      </c>
      <c r="K11" s="83">
        <v>8500</v>
      </c>
      <c r="L11" s="83">
        <f t="shared" ref="L11:L13" si="2">SUM(I11:K11)</f>
        <v>191191</v>
      </c>
    </row>
    <row r="12" spans="1:12">
      <c r="A12" s="262"/>
      <c r="B12" s="80" t="s">
        <v>7</v>
      </c>
      <c r="C12" s="84"/>
      <c r="D12" s="83">
        <v>16566</v>
      </c>
      <c r="E12" s="84"/>
      <c r="F12" s="83">
        <f t="shared" si="1"/>
        <v>16566</v>
      </c>
      <c r="G12" s="263"/>
      <c r="H12" s="80" t="s">
        <v>111</v>
      </c>
      <c r="I12" s="83">
        <v>125101</v>
      </c>
      <c r="J12" s="84"/>
      <c r="K12" s="84"/>
      <c r="L12" s="83">
        <f t="shared" si="2"/>
        <v>125101</v>
      </c>
    </row>
    <row r="13" spans="1:12">
      <c r="A13" s="262"/>
      <c r="B13" s="75" t="s">
        <v>116</v>
      </c>
      <c r="C13" s="146">
        <v>13334</v>
      </c>
      <c r="D13" s="84"/>
      <c r="E13" s="84"/>
      <c r="F13" s="83">
        <f t="shared" si="1"/>
        <v>13334</v>
      </c>
      <c r="G13" s="263"/>
      <c r="H13" s="80" t="s">
        <v>112</v>
      </c>
      <c r="I13" s="83">
        <v>167842</v>
      </c>
      <c r="J13" s="84"/>
      <c r="K13" s="84"/>
      <c r="L13" s="83">
        <f t="shared" si="2"/>
        <v>167842</v>
      </c>
    </row>
    <row r="14" spans="1:12">
      <c r="A14" s="140" t="s">
        <v>104</v>
      </c>
      <c r="B14" s="140" t="s">
        <v>105</v>
      </c>
      <c r="C14" s="143"/>
      <c r="D14" s="142">
        <f>SUM(D15:D18)</f>
        <v>60032</v>
      </c>
      <c r="E14" s="143"/>
      <c r="F14" s="142">
        <f t="shared" ref="F14" si="3">SUM(C14:E14)</f>
        <v>60032</v>
      </c>
      <c r="G14" s="140" t="s">
        <v>104</v>
      </c>
      <c r="H14" s="140" t="s">
        <v>105</v>
      </c>
      <c r="I14" s="143">
        <f>SUM(I15:I18)</f>
        <v>0</v>
      </c>
      <c r="J14" s="142">
        <f>SUM(J15:J18)</f>
        <v>66356</v>
      </c>
      <c r="K14" s="143">
        <f>SUM(K15:K18)</f>
        <v>0</v>
      </c>
      <c r="L14" s="142">
        <f>SUM(I14:K14)</f>
        <v>66356</v>
      </c>
    </row>
    <row r="15" spans="1:12" ht="30">
      <c r="A15" s="262"/>
      <c r="B15" s="290" t="s">
        <v>256</v>
      </c>
      <c r="C15" s="84"/>
      <c r="D15" s="83">
        <v>8900</v>
      </c>
      <c r="E15" s="84"/>
      <c r="F15" s="83">
        <f>SUM(C15:E15)</f>
        <v>8900</v>
      </c>
      <c r="G15" s="262"/>
      <c r="H15" s="139" t="s">
        <v>113</v>
      </c>
      <c r="I15" s="84"/>
      <c r="J15" s="83">
        <f>57456-7842</f>
        <v>49614</v>
      </c>
      <c r="K15" s="84"/>
      <c r="L15" s="145">
        <f>SUM(I15:K15)</f>
        <v>49614</v>
      </c>
    </row>
    <row r="16" spans="1:12" ht="30">
      <c r="A16" s="262"/>
      <c r="B16" s="80" t="s">
        <v>106</v>
      </c>
      <c r="C16" s="84"/>
      <c r="D16" s="83">
        <v>14100</v>
      </c>
      <c r="E16" s="84"/>
      <c r="F16" s="83">
        <f t="shared" ref="F16:F19" si="4">SUM(C16:E16)</f>
        <v>14100</v>
      </c>
      <c r="G16" s="262"/>
      <c r="H16" s="281" t="s">
        <v>254</v>
      </c>
      <c r="I16" s="84"/>
      <c r="J16" s="146">
        <v>7842</v>
      </c>
      <c r="K16" s="84"/>
      <c r="L16" s="145">
        <f>SUM(I16:K16)</f>
        <v>7842</v>
      </c>
    </row>
    <row r="17" spans="1:12">
      <c r="A17" s="262"/>
      <c r="B17" s="80" t="s">
        <v>107</v>
      </c>
      <c r="C17" s="84"/>
      <c r="D17" s="84"/>
      <c r="E17" s="84"/>
      <c r="F17" s="84"/>
      <c r="G17" s="262"/>
      <c r="H17" s="289" t="s">
        <v>255</v>
      </c>
      <c r="I17" s="84"/>
      <c r="J17" s="146">
        <v>8900</v>
      </c>
      <c r="K17" s="84"/>
      <c r="L17" s="84"/>
    </row>
    <row r="18" spans="1:12">
      <c r="A18" s="262"/>
      <c r="B18" s="139" t="s">
        <v>114</v>
      </c>
      <c r="C18" s="84"/>
      <c r="D18" s="146">
        <f>51132-14100</f>
        <v>37032</v>
      </c>
      <c r="E18" s="84"/>
      <c r="F18" s="146">
        <f>SUM(C18:E18)</f>
        <v>37032</v>
      </c>
      <c r="G18" s="262"/>
      <c r="H18" s="81"/>
      <c r="I18" s="84"/>
      <c r="J18" s="84"/>
      <c r="K18" s="84"/>
      <c r="L18" s="84"/>
    </row>
    <row r="19" spans="1:12">
      <c r="A19" s="140" t="s">
        <v>115</v>
      </c>
      <c r="B19" s="140" t="s">
        <v>108</v>
      </c>
      <c r="C19" s="143"/>
      <c r="D19" s="142">
        <v>102636</v>
      </c>
      <c r="E19" s="143"/>
      <c r="F19" s="142">
        <f t="shared" si="4"/>
        <v>102636</v>
      </c>
      <c r="G19" s="262"/>
      <c r="H19" s="81"/>
      <c r="I19" s="84"/>
      <c r="J19" s="84"/>
      <c r="K19" s="84"/>
      <c r="L19" s="84"/>
    </row>
    <row r="20" spans="1:12" s="68" customFormat="1">
      <c r="A20" s="211" t="s">
        <v>33</v>
      </c>
      <c r="B20" s="211"/>
      <c r="C20" s="144">
        <f>SUM(C9+C14+C19)</f>
        <v>604724</v>
      </c>
      <c r="D20" s="144">
        <f t="shared" ref="D20:F20" si="5">SUM(D9+D14+D19)</f>
        <v>215164</v>
      </c>
      <c r="E20" s="144">
        <f t="shared" si="5"/>
        <v>60868</v>
      </c>
      <c r="F20" s="144">
        <f t="shared" si="5"/>
        <v>880756</v>
      </c>
      <c r="G20" s="262"/>
      <c r="H20" s="104" t="s">
        <v>33</v>
      </c>
      <c r="I20" s="144">
        <f>I9+I14</f>
        <v>675773</v>
      </c>
      <c r="J20" s="144">
        <f>J9+J14</f>
        <v>140604</v>
      </c>
      <c r="K20" s="144">
        <f>K9+K14</f>
        <v>64379</v>
      </c>
      <c r="L20" s="144">
        <f>L9+L14</f>
        <v>880756</v>
      </c>
    </row>
    <row r="22" spans="1:12">
      <c r="A22" s="213"/>
      <c r="B22" s="213"/>
    </row>
    <row r="23" spans="1:12" ht="30">
      <c r="B23" s="211" t="s">
        <v>162</v>
      </c>
      <c r="C23" s="296" t="s">
        <v>4</v>
      </c>
      <c r="D23" s="296" t="s">
        <v>258</v>
      </c>
      <c r="E23" s="296" t="s">
        <v>259</v>
      </c>
    </row>
    <row r="24" spans="1:12">
      <c r="B24" s="211"/>
      <c r="C24" s="211" t="s">
        <v>262</v>
      </c>
      <c r="D24" s="211"/>
      <c r="E24" s="211"/>
    </row>
    <row r="25" spans="1:12">
      <c r="B25" s="75" t="s">
        <v>260</v>
      </c>
      <c r="C25" s="295">
        <f>C20/F20</f>
        <v>0.68659651481227491</v>
      </c>
      <c r="D25" s="295">
        <f>D20/F20</f>
        <v>0.24429467412086889</v>
      </c>
      <c r="E25" s="295">
        <f>E20/F20</f>
        <v>6.9108811066856207E-2</v>
      </c>
    </row>
    <row r="26" spans="1:12">
      <c r="B26" s="75" t="s">
        <v>261</v>
      </c>
      <c r="C26" s="295">
        <f>I20/L20</f>
        <v>0.7672647134961329</v>
      </c>
      <c r="D26" s="295">
        <f>J20/L20</f>
        <v>0.15964012734514441</v>
      </c>
      <c r="E26" s="295">
        <f>K20/L20</f>
        <v>7.3095159158722736E-2</v>
      </c>
      <c r="L26" s="294"/>
    </row>
    <row r="27" spans="1:12">
      <c r="L27" s="293"/>
    </row>
    <row r="28" spans="1:12">
      <c r="B28" s="68" t="s">
        <v>119</v>
      </c>
      <c r="L28" s="293"/>
    </row>
  </sheetData>
  <mergeCells count="25">
    <mergeCell ref="A5:B8"/>
    <mergeCell ref="A4:L4"/>
    <mergeCell ref="C24:E24"/>
    <mergeCell ref="B23:B24"/>
    <mergeCell ref="C5:F5"/>
    <mergeCell ref="C6:F6"/>
    <mergeCell ref="C7:C8"/>
    <mergeCell ref="D7:D8"/>
    <mergeCell ref="E7:E8"/>
    <mergeCell ref="F7:F8"/>
    <mergeCell ref="A20:B20"/>
    <mergeCell ref="A2:L3"/>
    <mergeCell ref="K1:L1"/>
    <mergeCell ref="A22:B22"/>
    <mergeCell ref="G15:G20"/>
    <mergeCell ref="A15:A18"/>
    <mergeCell ref="A10:A13"/>
    <mergeCell ref="G10:G13"/>
    <mergeCell ref="G5:H8"/>
    <mergeCell ref="I5:L5"/>
    <mergeCell ref="I6:L6"/>
    <mergeCell ref="I7:I8"/>
    <mergeCell ref="J7:J8"/>
    <mergeCell ref="K7:K8"/>
    <mergeCell ref="L7:L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P48"/>
  <sheetViews>
    <sheetView tabSelected="1" topLeftCell="A22" workbookViewId="0">
      <selection activeCell="L49" sqref="L49"/>
    </sheetView>
  </sheetViews>
  <sheetFormatPr defaultRowHeight="15"/>
  <cols>
    <col min="1" max="1" width="5.140625" style="1" customWidth="1"/>
    <col min="2" max="2" width="5.28515625" style="1" customWidth="1"/>
    <col min="3" max="3" width="57.5703125" style="33" bestFit="1" customWidth="1"/>
    <col min="4" max="4" width="18" style="28" bestFit="1" customWidth="1"/>
    <col min="5" max="5" width="11" style="28" customWidth="1"/>
    <col min="6" max="6" width="14.42578125" style="28" bestFit="1" customWidth="1"/>
    <col min="7" max="8" width="14.42578125" style="28" customWidth="1"/>
    <col min="9" max="9" width="20.28515625" style="28" customWidth="1"/>
    <col min="10" max="10" width="12.7109375" style="28" bestFit="1" customWidth="1"/>
    <col min="11" max="11" width="12.7109375" style="28" customWidth="1"/>
    <col min="12" max="12" width="12.85546875" style="28" bestFit="1" customWidth="1"/>
    <col min="13" max="13" width="11" style="1" customWidth="1"/>
    <col min="14" max="14" width="10.7109375" style="1" bestFit="1" customWidth="1"/>
    <col min="15" max="15" width="17.28515625" style="1" bestFit="1" customWidth="1"/>
    <col min="16" max="16" width="10" style="1" bestFit="1" customWidth="1"/>
    <col min="17" max="261" width="9.140625" style="1"/>
    <col min="262" max="262" width="49.5703125" style="1" bestFit="1" customWidth="1"/>
    <col min="263" max="263" width="18" style="1" bestFit="1" customWidth="1"/>
    <col min="264" max="264" width="11" style="1" customWidth="1"/>
    <col min="265" max="265" width="14.42578125" style="1" bestFit="1" customWidth="1"/>
    <col min="266" max="266" width="20.28515625" style="1" customWidth="1"/>
    <col min="267" max="267" width="12.7109375" style="1" bestFit="1" customWidth="1"/>
    <col min="268" max="268" width="12.85546875" style="1" bestFit="1" customWidth="1"/>
    <col min="269" max="269" width="11" style="1" customWidth="1"/>
    <col min="270" max="270" width="10.7109375" style="1" bestFit="1" customWidth="1"/>
    <col min="271" max="271" width="17.28515625" style="1" bestFit="1" customWidth="1"/>
    <col min="272" max="517" width="9.140625" style="1"/>
    <col min="518" max="518" width="49.5703125" style="1" bestFit="1" customWidth="1"/>
    <col min="519" max="519" width="18" style="1" bestFit="1" customWidth="1"/>
    <col min="520" max="520" width="11" style="1" customWidth="1"/>
    <col min="521" max="521" width="14.42578125" style="1" bestFit="1" customWidth="1"/>
    <col min="522" max="522" width="20.28515625" style="1" customWidth="1"/>
    <col min="523" max="523" width="12.7109375" style="1" bestFit="1" customWidth="1"/>
    <col min="524" max="524" width="12.85546875" style="1" bestFit="1" customWidth="1"/>
    <col min="525" max="525" width="11" style="1" customWidth="1"/>
    <col min="526" max="526" width="10.7109375" style="1" bestFit="1" customWidth="1"/>
    <col min="527" max="527" width="17.28515625" style="1" bestFit="1" customWidth="1"/>
    <col min="528" max="773" width="9.140625" style="1"/>
    <col min="774" max="774" width="49.5703125" style="1" bestFit="1" customWidth="1"/>
    <col min="775" max="775" width="18" style="1" bestFit="1" customWidth="1"/>
    <col min="776" max="776" width="11" style="1" customWidth="1"/>
    <col min="777" max="777" width="14.42578125" style="1" bestFit="1" customWidth="1"/>
    <col min="778" max="778" width="20.28515625" style="1" customWidth="1"/>
    <col min="779" max="779" width="12.7109375" style="1" bestFit="1" customWidth="1"/>
    <col min="780" max="780" width="12.85546875" style="1" bestFit="1" customWidth="1"/>
    <col min="781" max="781" width="11" style="1" customWidth="1"/>
    <col min="782" max="782" width="10.7109375" style="1" bestFit="1" customWidth="1"/>
    <col min="783" max="783" width="17.28515625" style="1" bestFit="1" customWidth="1"/>
    <col min="784" max="1029" width="9.140625" style="1"/>
    <col min="1030" max="1030" width="49.5703125" style="1" bestFit="1" customWidth="1"/>
    <col min="1031" max="1031" width="18" style="1" bestFit="1" customWidth="1"/>
    <col min="1032" max="1032" width="11" style="1" customWidth="1"/>
    <col min="1033" max="1033" width="14.42578125" style="1" bestFit="1" customWidth="1"/>
    <col min="1034" max="1034" width="20.28515625" style="1" customWidth="1"/>
    <col min="1035" max="1035" width="12.7109375" style="1" bestFit="1" customWidth="1"/>
    <col min="1036" max="1036" width="12.85546875" style="1" bestFit="1" customWidth="1"/>
    <col min="1037" max="1037" width="11" style="1" customWidth="1"/>
    <col min="1038" max="1038" width="10.7109375" style="1" bestFit="1" customWidth="1"/>
    <col min="1039" max="1039" width="17.28515625" style="1" bestFit="1" customWidth="1"/>
    <col min="1040" max="1285" width="9.140625" style="1"/>
    <col min="1286" max="1286" width="49.5703125" style="1" bestFit="1" customWidth="1"/>
    <col min="1287" max="1287" width="18" style="1" bestFit="1" customWidth="1"/>
    <col min="1288" max="1288" width="11" style="1" customWidth="1"/>
    <col min="1289" max="1289" width="14.42578125" style="1" bestFit="1" customWidth="1"/>
    <col min="1290" max="1290" width="20.28515625" style="1" customWidth="1"/>
    <col min="1291" max="1291" width="12.7109375" style="1" bestFit="1" customWidth="1"/>
    <col min="1292" max="1292" width="12.85546875" style="1" bestFit="1" customWidth="1"/>
    <col min="1293" max="1293" width="11" style="1" customWidth="1"/>
    <col min="1294" max="1294" width="10.7109375" style="1" bestFit="1" customWidth="1"/>
    <col min="1295" max="1295" width="17.28515625" style="1" bestFit="1" customWidth="1"/>
    <col min="1296" max="1541" width="9.140625" style="1"/>
    <col min="1542" max="1542" width="49.5703125" style="1" bestFit="1" customWidth="1"/>
    <col min="1543" max="1543" width="18" style="1" bestFit="1" customWidth="1"/>
    <col min="1544" max="1544" width="11" style="1" customWidth="1"/>
    <col min="1545" max="1545" width="14.42578125" style="1" bestFit="1" customWidth="1"/>
    <col min="1546" max="1546" width="20.28515625" style="1" customWidth="1"/>
    <col min="1547" max="1547" width="12.7109375" style="1" bestFit="1" customWidth="1"/>
    <col min="1548" max="1548" width="12.85546875" style="1" bestFit="1" customWidth="1"/>
    <col min="1549" max="1549" width="11" style="1" customWidth="1"/>
    <col min="1550" max="1550" width="10.7109375" style="1" bestFit="1" customWidth="1"/>
    <col min="1551" max="1551" width="17.28515625" style="1" bestFit="1" customWidth="1"/>
    <col min="1552" max="1797" width="9.140625" style="1"/>
    <col min="1798" max="1798" width="49.5703125" style="1" bestFit="1" customWidth="1"/>
    <col min="1799" max="1799" width="18" style="1" bestFit="1" customWidth="1"/>
    <col min="1800" max="1800" width="11" style="1" customWidth="1"/>
    <col min="1801" max="1801" width="14.42578125" style="1" bestFit="1" customWidth="1"/>
    <col min="1802" max="1802" width="20.28515625" style="1" customWidth="1"/>
    <col min="1803" max="1803" width="12.7109375" style="1" bestFit="1" customWidth="1"/>
    <col min="1804" max="1804" width="12.85546875" style="1" bestFit="1" customWidth="1"/>
    <col min="1805" max="1805" width="11" style="1" customWidth="1"/>
    <col min="1806" max="1806" width="10.7109375" style="1" bestFit="1" customWidth="1"/>
    <col min="1807" max="1807" width="17.28515625" style="1" bestFit="1" customWidth="1"/>
    <col min="1808" max="2053" width="9.140625" style="1"/>
    <col min="2054" max="2054" width="49.5703125" style="1" bestFit="1" customWidth="1"/>
    <col min="2055" max="2055" width="18" style="1" bestFit="1" customWidth="1"/>
    <col min="2056" max="2056" width="11" style="1" customWidth="1"/>
    <col min="2057" max="2057" width="14.42578125" style="1" bestFit="1" customWidth="1"/>
    <col min="2058" max="2058" width="20.28515625" style="1" customWidth="1"/>
    <col min="2059" max="2059" width="12.7109375" style="1" bestFit="1" customWidth="1"/>
    <col min="2060" max="2060" width="12.85546875" style="1" bestFit="1" customWidth="1"/>
    <col min="2061" max="2061" width="11" style="1" customWidth="1"/>
    <col min="2062" max="2062" width="10.7109375" style="1" bestFit="1" customWidth="1"/>
    <col min="2063" max="2063" width="17.28515625" style="1" bestFit="1" customWidth="1"/>
    <col min="2064" max="2309" width="9.140625" style="1"/>
    <col min="2310" max="2310" width="49.5703125" style="1" bestFit="1" customWidth="1"/>
    <col min="2311" max="2311" width="18" style="1" bestFit="1" customWidth="1"/>
    <col min="2312" max="2312" width="11" style="1" customWidth="1"/>
    <col min="2313" max="2313" width="14.42578125" style="1" bestFit="1" customWidth="1"/>
    <col min="2314" max="2314" width="20.28515625" style="1" customWidth="1"/>
    <col min="2315" max="2315" width="12.7109375" style="1" bestFit="1" customWidth="1"/>
    <col min="2316" max="2316" width="12.85546875" style="1" bestFit="1" customWidth="1"/>
    <col min="2317" max="2317" width="11" style="1" customWidth="1"/>
    <col min="2318" max="2318" width="10.7109375" style="1" bestFit="1" customWidth="1"/>
    <col min="2319" max="2319" width="17.28515625" style="1" bestFit="1" customWidth="1"/>
    <col min="2320" max="2565" width="9.140625" style="1"/>
    <col min="2566" max="2566" width="49.5703125" style="1" bestFit="1" customWidth="1"/>
    <col min="2567" max="2567" width="18" style="1" bestFit="1" customWidth="1"/>
    <col min="2568" max="2568" width="11" style="1" customWidth="1"/>
    <col min="2569" max="2569" width="14.42578125" style="1" bestFit="1" customWidth="1"/>
    <col min="2570" max="2570" width="20.28515625" style="1" customWidth="1"/>
    <col min="2571" max="2571" width="12.7109375" style="1" bestFit="1" customWidth="1"/>
    <col min="2572" max="2572" width="12.85546875" style="1" bestFit="1" customWidth="1"/>
    <col min="2573" max="2573" width="11" style="1" customWidth="1"/>
    <col min="2574" max="2574" width="10.7109375" style="1" bestFit="1" customWidth="1"/>
    <col min="2575" max="2575" width="17.28515625" style="1" bestFit="1" customWidth="1"/>
    <col min="2576" max="2821" width="9.140625" style="1"/>
    <col min="2822" max="2822" width="49.5703125" style="1" bestFit="1" customWidth="1"/>
    <col min="2823" max="2823" width="18" style="1" bestFit="1" customWidth="1"/>
    <col min="2824" max="2824" width="11" style="1" customWidth="1"/>
    <col min="2825" max="2825" width="14.42578125" style="1" bestFit="1" customWidth="1"/>
    <col min="2826" max="2826" width="20.28515625" style="1" customWidth="1"/>
    <col min="2827" max="2827" width="12.7109375" style="1" bestFit="1" customWidth="1"/>
    <col min="2828" max="2828" width="12.85546875" style="1" bestFit="1" customWidth="1"/>
    <col min="2829" max="2829" width="11" style="1" customWidth="1"/>
    <col min="2830" max="2830" width="10.7109375" style="1" bestFit="1" customWidth="1"/>
    <col min="2831" max="2831" width="17.28515625" style="1" bestFit="1" customWidth="1"/>
    <col min="2832" max="3077" width="9.140625" style="1"/>
    <col min="3078" max="3078" width="49.5703125" style="1" bestFit="1" customWidth="1"/>
    <col min="3079" max="3079" width="18" style="1" bestFit="1" customWidth="1"/>
    <col min="3080" max="3080" width="11" style="1" customWidth="1"/>
    <col min="3081" max="3081" width="14.42578125" style="1" bestFit="1" customWidth="1"/>
    <col min="3082" max="3082" width="20.28515625" style="1" customWidth="1"/>
    <col min="3083" max="3083" width="12.7109375" style="1" bestFit="1" customWidth="1"/>
    <col min="3084" max="3084" width="12.85546875" style="1" bestFit="1" customWidth="1"/>
    <col min="3085" max="3085" width="11" style="1" customWidth="1"/>
    <col min="3086" max="3086" width="10.7109375" style="1" bestFit="1" customWidth="1"/>
    <col min="3087" max="3087" width="17.28515625" style="1" bestFit="1" customWidth="1"/>
    <col min="3088" max="3333" width="9.140625" style="1"/>
    <col min="3334" max="3334" width="49.5703125" style="1" bestFit="1" customWidth="1"/>
    <col min="3335" max="3335" width="18" style="1" bestFit="1" customWidth="1"/>
    <col min="3336" max="3336" width="11" style="1" customWidth="1"/>
    <col min="3337" max="3337" width="14.42578125" style="1" bestFit="1" customWidth="1"/>
    <col min="3338" max="3338" width="20.28515625" style="1" customWidth="1"/>
    <col min="3339" max="3339" width="12.7109375" style="1" bestFit="1" customWidth="1"/>
    <col min="3340" max="3340" width="12.85546875" style="1" bestFit="1" customWidth="1"/>
    <col min="3341" max="3341" width="11" style="1" customWidth="1"/>
    <col min="3342" max="3342" width="10.7109375" style="1" bestFit="1" customWidth="1"/>
    <col min="3343" max="3343" width="17.28515625" style="1" bestFit="1" customWidth="1"/>
    <col min="3344" max="3589" width="9.140625" style="1"/>
    <col min="3590" max="3590" width="49.5703125" style="1" bestFit="1" customWidth="1"/>
    <col min="3591" max="3591" width="18" style="1" bestFit="1" customWidth="1"/>
    <col min="3592" max="3592" width="11" style="1" customWidth="1"/>
    <col min="3593" max="3593" width="14.42578125" style="1" bestFit="1" customWidth="1"/>
    <col min="3594" max="3594" width="20.28515625" style="1" customWidth="1"/>
    <col min="3595" max="3595" width="12.7109375" style="1" bestFit="1" customWidth="1"/>
    <col min="3596" max="3596" width="12.85546875" style="1" bestFit="1" customWidth="1"/>
    <col min="3597" max="3597" width="11" style="1" customWidth="1"/>
    <col min="3598" max="3598" width="10.7109375" style="1" bestFit="1" customWidth="1"/>
    <col min="3599" max="3599" width="17.28515625" style="1" bestFit="1" customWidth="1"/>
    <col min="3600" max="3845" width="9.140625" style="1"/>
    <col min="3846" max="3846" width="49.5703125" style="1" bestFit="1" customWidth="1"/>
    <col min="3847" max="3847" width="18" style="1" bestFit="1" customWidth="1"/>
    <col min="3848" max="3848" width="11" style="1" customWidth="1"/>
    <col min="3849" max="3849" width="14.42578125" style="1" bestFit="1" customWidth="1"/>
    <col min="3850" max="3850" width="20.28515625" style="1" customWidth="1"/>
    <col min="3851" max="3851" width="12.7109375" style="1" bestFit="1" customWidth="1"/>
    <col min="3852" max="3852" width="12.85546875" style="1" bestFit="1" customWidth="1"/>
    <col min="3853" max="3853" width="11" style="1" customWidth="1"/>
    <col min="3854" max="3854" width="10.7109375" style="1" bestFit="1" customWidth="1"/>
    <col min="3855" max="3855" width="17.28515625" style="1" bestFit="1" customWidth="1"/>
    <col min="3856" max="4101" width="9.140625" style="1"/>
    <col min="4102" max="4102" width="49.5703125" style="1" bestFit="1" customWidth="1"/>
    <col min="4103" max="4103" width="18" style="1" bestFit="1" customWidth="1"/>
    <col min="4104" max="4104" width="11" style="1" customWidth="1"/>
    <col min="4105" max="4105" width="14.42578125" style="1" bestFit="1" customWidth="1"/>
    <col min="4106" max="4106" width="20.28515625" style="1" customWidth="1"/>
    <col min="4107" max="4107" width="12.7109375" style="1" bestFit="1" customWidth="1"/>
    <col min="4108" max="4108" width="12.85546875" style="1" bestFit="1" customWidth="1"/>
    <col min="4109" max="4109" width="11" style="1" customWidth="1"/>
    <col min="4110" max="4110" width="10.7109375" style="1" bestFit="1" customWidth="1"/>
    <col min="4111" max="4111" width="17.28515625" style="1" bestFit="1" customWidth="1"/>
    <col min="4112" max="4357" width="9.140625" style="1"/>
    <col min="4358" max="4358" width="49.5703125" style="1" bestFit="1" customWidth="1"/>
    <col min="4359" max="4359" width="18" style="1" bestFit="1" customWidth="1"/>
    <col min="4360" max="4360" width="11" style="1" customWidth="1"/>
    <col min="4361" max="4361" width="14.42578125" style="1" bestFit="1" customWidth="1"/>
    <col min="4362" max="4362" width="20.28515625" style="1" customWidth="1"/>
    <col min="4363" max="4363" width="12.7109375" style="1" bestFit="1" customWidth="1"/>
    <col min="4364" max="4364" width="12.85546875" style="1" bestFit="1" customWidth="1"/>
    <col min="4365" max="4365" width="11" style="1" customWidth="1"/>
    <col min="4366" max="4366" width="10.7109375" style="1" bestFit="1" customWidth="1"/>
    <col min="4367" max="4367" width="17.28515625" style="1" bestFit="1" customWidth="1"/>
    <col min="4368" max="4613" width="9.140625" style="1"/>
    <col min="4614" max="4614" width="49.5703125" style="1" bestFit="1" customWidth="1"/>
    <col min="4615" max="4615" width="18" style="1" bestFit="1" customWidth="1"/>
    <col min="4616" max="4616" width="11" style="1" customWidth="1"/>
    <col min="4617" max="4617" width="14.42578125" style="1" bestFit="1" customWidth="1"/>
    <col min="4618" max="4618" width="20.28515625" style="1" customWidth="1"/>
    <col min="4619" max="4619" width="12.7109375" style="1" bestFit="1" customWidth="1"/>
    <col min="4620" max="4620" width="12.85546875" style="1" bestFit="1" customWidth="1"/>
    <col min="4621" max="4621" width="11" style="1" customWidth="1"/>
    <col min="4622" max="4622" width="10.7109375" style="1" bestFit="1" customWidth="1"/>
    <col min="4623" max="4623" width="17.28515625" style="1" bestFit="1" customWidth="1"/>
    <col min="4624" max="4869" width="9.140625" style="1"/>
    <col min="4870" max="4870" width="49.5703125" style="1" bestFit="1" customWidth="1"/>
    <col min="4871" max="4871" width="18" style="1" bestFit="1" customWidth="1"/>
    <col min="4872" max="4872" width="11" style="1" customWidth="1"/>
    <col min="4873" max="4873" width="14.42578125" style="1" bestFit="1" customWidth="1"/>
    <col min="4874" max="4874" width="20.28515625" style="1" customWidth="1"/>
    <col min="4875" max="4875" width="12.7109375" style="1" bestFit="1" customWidth="1"/>
    <col min="4876" max="4876" width="12.85546875" style="1" bestFit="1" customWidth="1"/>
    <col min="4877" max="4877" width="11" style="1" customWidth="1"/>
    <col min="4878" max="4878" width="10.7109375" style="1" bestFit="1" customWidth="1"/>
    <col min="4879" max="4879" width="17.28515625" style="1" bestFit="1" customWidth="1"/>
    <col min="4880" max="5125" width="9.140625" style="1"/>
    <col min="5126" max="5126" width="49.5703125" style="1" bestFit="1" customWidth="1"/>
    <col min="5127" max="5127" width="18" style="1" bestFit="1" customWidth="1"/>
    <col min="5128" max="5128" width="11" style="1" customWidth="1"/>
    <col min="5129" max="5129" width="14.42578125" style="1" bestFit="1" customWidth="1"/>
    <col min="5130" max="5130" width="20.28515625" style="1" customWidth="1"/>
    <col min="5131" max="5131" width="12.7109375" style="1" bestFit="1" customWidth="1"/>
    <col min="5132" max="5132" width="12.85546875" style="1" bestFit="1" customWidth="1"/>
    <col min="5133" max="5133" width="11" style="1" customWidth="1"/>
    <col min="5134" max="5134" width="10.7109375" style="1" bestFit="1" customWidth="1"/>
    <col min="5135" max="5135" width="17.28515625" style="1" bestFit="1" customWidth="1"/>
    <col min="5136" max="5381" width="9.140625" style="1"/>
    <col min="5382" max="5382" width="49.5703125" style="1" bestFit="1" customWidth="1"/>
    <col min="5383" max="5383" width="18" style="1" bestFit="1" customWidth="1"/>
    <col min="5384" max="5384" width="11" style="1" customWidth="1"/>
    <col min="5385" max="5385" width="14.42578125" style="1" bestFit="1" customWidth="1"/>
    <col min="5386" max="5386" width="20.28515625" style="1" customWidth="1"/>
    <col min="5387" max="5387" width="12.7109375" style="1" bestFit="1" customWidth="1"/>
    <col min="5388" max="5388" width="12.85546875" style="1" bestFit="1" customWidth="1"/>
    <col min="5389" max="5389" width="11" style="1" customWidth="1"/>
    <col min="5390" max="5390" width="10.7109375" style="1" bestFit="1" customWidth="1"/>
    <col min="5391" max="5391" width="17.28515625" style="1" bestFit="1" customWidth="1"/>
    <col min="5392" max="5637" width="9.140625" style="1"/>
    <col min="5638" max="5638" width="49.5703125" style="1" bestFit="1" customWidth="1"/>
    <col min="5639" max="5639" width="18" style="1" bestFit="1" customWidth="1"/>
    <col min="5640" max="5640" width="11" style="1" customWidth="1"/>
    <col min="5641" max="5641" width="14.42578125" style="1" bestFit="1" customWidth="1"/>
    <col min="5642" max="5642" width="20.28515625" style="1" customWidth="1"/>
    <col min="5643" max="5643" width="12.7109375" style="1" bestFit="1" customWidth="1"/>
    <col min="5644" max="5644" width="12.85546875" style="1" bestFit="1" customWidth="1"/>
    <col min="5645" max="5645" width="11" style="1" customWidth="1"/>
    <col min="5646" max="5646" width="10.7109375" style="1" bestFit="1" customWidth="1"/>
    <col min="5647" max="5647" width="17.28515625" style="1" bestFit="1" customWidth="1"/>
    <col min="5648" max="5893" width="9.140625" style="1"/>
    <col min="5894" max="5894" width="49.5703125" style="1" bestFit="1" customWidth="1"/>
    <col min="5895" max="5895" width="18" style="1" bestFit="1" customWidth="1"/>
    <col min="5896" max="5896" width="11" style="1" customWidth="1"/>
    <col min="5897" max="5897" width="14.42578125" style="1" bestFit="1" customWidth="1"/>
    <col min="5898" max="5898" width="20.28515625" style="1" customWidth="1"/>
    <col min="5899" max="5899" width="12.7109375" style="1" bestFit="1" customWidth="1"/>
    <col min="5900" max="5900" width="12.85546875" style="1" bestFit="1" customWidth="1"/>
    <col min="5901" max="5901" width="11" style="1" customWidth="1"/>
    <col min="5902" max="5902" width="10.7109375" style="1" bestFit="1" customWidth="1"/>
    <col min="5903" max="5903" width="17.28515625" style="1" bestFit="1" customWidth="1"/>
    <col min="5904" max="6149" width="9.140625" style="1"/>
    <col min="6150" max="6150" width="49.5703125" style="1" bestFit="1" customWidth="1"/>
    <col min="6151" max="6151" width="18" style="1" bestFit="1" customWidth="1"/>
    <col min="6152" max="6152" width="11" style="1" customWidth="1"/>
    <col min="6153" max="6153" width="14.42578125" style="1" bestFit="1" customWidth="1"/>
    <col min="6154" max="6154" width="20.28515625" style="1" customWidth="1"/>
    <col min="6155" max="6155" width="12.7109375" style="1" bestFit="1" customWidth="1"/>
    <col min="6156" max="6156" width="12.85546875" style="1" bestFit="1" customWidth="1"/>
    <col min="6157" max="6157" width="11" style="1" customWidth="1"/>
    <col min="6158" max="6158" width="10.7109375" style="1" bestFit="1" customWidth="1"/>
    <col min="6159" max="6159" width="17.28515625" style="1" bestFit="1" customWidth="1"/>
    <col min="6160" max="6405" width="9.140625" style="1"/>
    <col min="6406" max="6406" width="49.5703125" style="1" bestFit="1" customWidth="1"/>
    <col min="6407" max="6407" width="18" style="1" bestFit="1" customWidth="1"/>
    <col min="6408" max="6408" width="11" style="1" customWidth="1"/>
    <col min="6409" max="6409" width="14.42578125" style="1" bestFit="1" customWidth="1"/>
    <col min="6410" max="6410" width="20.28515625" style="1" customWidth="1"/>
    <col min="6411" max="6411" width="12.7109375" style="1" bestFit="1" customWidth="1"/>
    <col min="6412" max="6412" width="12.85546875" style="1" bestFit="1" customWidth="1"/>
    <col min="6413" max="6413" width="11" style="1" customWidth="1"/>
    <col min="6414" max="6414" width="10.7109375" style="1" bestFit="1" customWidth="1"/>
    <col min="6415" max="6415" width="17.28515625" style="1" bestFit="1" customWidth="1"/>
    <col min="6416" max="6661" width="9.140625" style="1"/>
    <col min="6662" max="6662" width="49.5703125" style="1" bestFit="1" customWidth="1"/>
    <col min="6663" max="6663" width="18" style="1" bestFit="1" customWidth="1"/>
    <col min="6664" max="6664" width="11" style="1" customWidth="1"/>
    <col min="6665" max="6665" width="14.42578125" style="1" bestFit="1" customWidth="1"/>
    <col min="6666" max="6666" width="20.28515625" style="1" customWidth="1"/>
    <col min="6667" max="6667" width="12.7109375" style="1" bestFit="1" customWidth="1"/>
    <col min="6668" max="6668" width="12.85546875" style="1" bestFit="1" customWidth="1"/>
    <col min="6669" max="6669" width="11" style="1" customWidth="1"/>
    <col min="6670" max="6670" width="10.7109375" style="1" bestFit="1" customWidth="1"/>
    <col min="6671" max="6671" width="17.28515625" style="1" bestFit="1" customWidth="1"/>
    <col min="6672" max="6917" width="9.140625" style="1"/>
    <col min="6918" max="6918" width="49.5703125" style="1" bestFit="1" customWidth="1"/>
    <col min="6919" max="6919" width="18" style="1" bestFit="1" customWidth="1"/>
    <col min="6920" max="6920" width="11" style="1" customWidth="1"/>
    <col min="6921" max="6921" width="14.42578125" style="1" bestFit="1" customWidth="1"/>
    <col min="6922" max="6922" width="20.28515625" style="1" customWidth="1"/>
    <col min="6923" max="6923" width="12.7109375" style="1" bestFit="1" customWidth="1"/>
    <col min="6924" max="6924" width="12.85546875" style="1" bestFit="1" customWidth="1"/>
    <col min="6925" max="6925" width="11" style="1" customWidth="1"/>
    <col min="6926" max="6926" width="10.7109375" style="1" bestFit="1" customWidth="1"/>
    <col min="6927" max="6927" width="17.28515625" style="1" bestFit="1" customWidth="1"/>
    <col min="6928" max="7173" width="9.140625" style="1"/>
    <col min="7174" max="7174" width="49.5703125" style="1" bestFit="1" customWidth="1"/>
    <col min="7175" max="7175" width="18" style="1" bestFit="1" customWidth="1"/>
    <col min="7176" max="7176" width="11" style="1" customWidth="1"/>
    <col min="7177" max="7177" width="14.42578125" style="1" bestFit="1" customWidth="1"/>
    <col min="7178" max="7178" width="20.28515625" style="1" customWidth="1"/>
    <col min="7179" max="7179" width="12.7109375" style="1" bestFit="1" customWidth="1"/>
    <col min="7180" max="7180" width="12.85546875" style="1" bestFit="1" customWidth="1"/>
    <col min="7181" max="7181" width="11" style="1" customWidth="1"/>
    <col min="7182" max="7182" width="10.7109375" style="1" bestFit="1" customWidth="1"/>
    <col min="7183" max="7183" width="17.28515625" style="1" bestFit="1" customWidth="1"/>
    <col min="7184" max="7429" width="9.140625" style="1"/>
    <col min="7430" max="7430" width="49.5703125" style="1" bestFit="1" customWidth="1"/>
    <col min="7431" max="7431" width="18" style="1" bestFit="1" customWidth="1"/>
    <col min="7432" max="7432" width="11" style="1" customWidth="1"/>
    <col min="7433" max="7433" width="14.42578125" style="1" bestFit="1" customWidth="1"/>
    <col min="7434" max="7434" width="20.28515625" style="1" customWidth="1"/>
    <col min="7435" max="7435" width="12.7109375" style="1" bestFit="1" customWidth="1"/>
    <col min="7436" max="7436" width="12.85546875" style="1" bestFit="1" customWidth="1"/>
    <col min="7437" max="7437" width="11" style="1" customWidth="1"/>
    <col min="7438" max="7438" width="10.7109375" style="1" bestFit="1" customWidth="1"/>
    <col min="7439" max="7439" width="17.28515625" style="1" bestFit="1" customWidth="1"/>
    <col min="7440" max="7685" width="9.140625" style="1"/>
    <col min="7686" max="7686" width="49.5703125" style="1" bestFit="1" customWidth="1"/>
    <col min="7687" max="7687" width="18" style="1" bestFit="1" customWidth="1"/>
    <col min="7688" max="7688" width="11" style="1" customWidth="1"/>
    <col min="7689" max="7689" width="14.42578125" style="1" bestFit="1" customWidth="1"/>
    <col min="7690" max="7690" width="20.28515625" style="1" customWidth="1"/>
    <col min="7691" max="7691" width="12.7109375" style="1" bestFit="1" customWidth="1"/>
    <col min="7692" max="7692" width="12.85546875" style="1" bestFit="1" customWidth="1"/>
    <col min="7693" max="7693" width="11" style="1" customWidth="1"/>
    <col min="7694" max="7694" width="10.7109375" style="1" bestFit="1" customWidth="1"/>
    <col min="7695" max="7695" width="17.28515625" style="1" bestFit="1" customWidth="1"/>
    <col min="7696" max="7941" width="9.140625" style="1"/>
    <col min="7942" max="7942" width="49.5703125" style="1" bestFit="1" customWidth="1"/>
    <col min="7943" max="7943" width="18" style="1" bestFit="1" customWidth="1"/>
    <col min="7944" max="7944" width="11" style="1" customWidth="1"/>
    <col min="7945" max="7945" width="14.42578125" style="1" bestFit="1" customWidth="1"/>
    <col min="7946" max="7946" width="20.28515625" style="1" customWidth="1"/>
    <col min="7947" max="7947" width="12.7109375" style="1" bestFit="1" customWidth="1"/>
    <col min="7948" max="7948" width="12.85546875" style="1" bestFit="1" customWidth="1"/>
    <col min="7949" max="7949" width="11" style="1" customWidth="1"/>
    <col min="7950" max="7950" width="10.7109375" style="1" bestFit="1" customWidth="1"/>
    <col min="7951" max="7951" width="17.28515625" style="1" bestFit="1" customWidth="1"/>
    <col min="7952" max="8197" width="9.140625" style="1"/>
    <col min="8198" max="8198" width="49.5703125" style="1" bestFit="1" customWidth="1"/>
    <col min="8199" max="8199" width="18" style="1" bestFit="1" customWidth="1"/>
    <col min="8200" max="8200" width="11" style="1" customWidth="1"/>
    <col min="8201" max="8201" width="14.42578125" style="1" bestFit="1" customWidth="1"/>
    <col min="8202" max="8202" width="20.28515625" style="1" customWidth="1"/>
    <col min="8203" max="8203" width="12.7109375" style="1" bestFit="1" customWidth="1"/>
    <col min="8204" max="8204" width="12.85546875" style="1" bestFit="1" customWidth="1"/>
    <col min="8205" max="8205" width="11" style="1" customWidth="1"/>
    <col min="8206" max="8206" width="10.7109375" style="1" bestFit="1" customWidth="1"/>
    <col min="8207" max="8207" width="17.28515625" style="1" bestFit="1" customWidth="1"/>
    <col min="8208" max="8453" width="9.140625" style="1"/>
    <col min="8454" max="8454" width="49.5703125" style="1" bestFit="1" customWidth="1"/>
    <col min="8455" max="8455" width="18" style="1" bestFit="1" customWidth="1"/>
    <col min="8456" max="8456" width="11" style="1" customWidth="1"/>
    <col min="8457" max="8457" width="14.42578125" style="1" bestFit="1" customWidth="1"/>
    <col min="8458" max="8458" width="20.28515625" style="1" customWidth="1"/>
    <col min="8459" max="8459" width="12.7109375" style="1" bestFit="1" customWidth="1"/>
    <col min="8460" max="8460" width="12.85546875" style="1" bestFit="1" customWidth="1"/>
    <col min="8461" max="8461" width="11" style="1" customWidth="1"/>
    <col min="8462" max="8462" width="10.7109375" style="1" bestFit="1" customWidth="1"/>
    <col min="8463" max="8463" width="17.28515625" style="1" bestFit="1" customWidth="1"/>
    <col min="8464" max="8709" width="9.140625" style="1"/>
    <col min="8710" max="8710" width="49.5703125" style="1" bestFit="1" customWidth="1"/>
    <col min="8711" max="8711" width="18" style="1" bestFit="1" customWidth="1"/>
    <col min="8712" max="8712" width="11" style="1" customWidth="1"/>
    <col min="8713" max="8713" width="14.42578125" style="1" bestFit="1" customWidth="1"/>
    <col min="8714" max="8714" width="20.28515625" style="1" customWidth="1"/>
    <col min="8715" max="8715" width="12.7109375" style="1" bestFit="1" customWidth="1"/>
    <col min="8716" max="8716" width="12.85546875" style="1" bestFit="1" customWidth="1"/>
    <col min="8717" max="8717" width="11" style="1" customWidth="1"/>
    <col min="8718" max="8718" width="10.7109375" style="1" bestFit="1" customWidth="1"/>
    <col min="8719" max="8719" width="17.28515625" style="1" bestFit="1" customWidth="1"/>
    <col min="8720" max="8965" width="9.140625" style="1"/>
    <col min="8966" max="8966" width="49.5703125" style="1" bestFit="1" customWidth="1"/>
    <col min="8967" max="8967" width="18" style="1" bestFit="1" customWidth="1"/>
    <col min="8968" max="8968" width="11" style="1" customWidth="1"/>
    <col min="8969" max="8969" width="14.42578125" style="1" bestFit="1" customWidth="1"/>
    <col min="8970" max="8970" width="20.28515625" style="1" customWidth="1"/>
    <col min="8971" max="8971" width="12.7109375" style="1" bestFit="1" customWidth="1"/>
    <col min="8972" max="8972" width="12.85546875" style="1" bestFit="1" customWidth="1"/>
    <col min="8973" max="8973" width="11" style="1" customWidth="1"/>
    <col min="8974" max="8974" width="10.7109375" style="1" bestFit="1" customWidth="1"/>
    <col min="8975" max="8975" width="17.28515625" style="1" bestFit="1" customWidth="1"/>
    <col min="8976" max="9221" width="9.140625" style="1"/>
    <col min="9222" max="9222" width="49.5703125" style="1" bestFit="1" customWidth="1"/>
    <col min="9223" max="9223" width="18" style="1" bestFit="1" customWidth="1"/>
    <col min="9224" max="9224" width="11" style="1" customWidth="1"/>
    <col min="9225" max="9225" width="14.42578125" style="1" bestFit="1" customWidth="1"/>
    <col min="9226" max="9226" width="20.28515625" style="1" customWidth="1"/>
    <col min="9227" max="9227" width="12.7109375" style="1" bestFit="1" customWidth="1"/>
    <col min="9228" max="9228" width="12.85546875" style="1" bestFit="1" customWidth="1"/>
    <col min="9229" max="9229" width="11" style="1" customWidth="1"/>
    <col min="9230" max="9230" width="10.7109375" style="1" bestFit="1" customWidth="1"/>
    <col min="9231" max="9231" width="17.28515625" style="1" bestFit="1" customWidth="1"/>
    <col min="9232" max="9477" width="9.140625" style="1"/>
    <col min="9478" max="9478" width="49.5703125" style="1" bestFit="1" customWidth="1"/>
    <col min="9479" max="9479" width="18" style="1" bestFit="1" customWidth="1"/>
    <col min="9480" max="9480" width="11" style="1" customWidth="1"/>
    <col min="9481" max="9481" width="14.42578125" style="1" bestFit="1" customWidth="1"/>
    <col min="9482" max="9482" width="20.28515625" style="1" customWidth="1"/>
    <col min="9483" max="9483" width="12.7109375" style="1" bestFit="1" customWidth="1"/>
    <col min="9484" max="9484" width="12.85546875" style="1" bestFit="1" customWidth="1"/>
    <col min="9485" max="9485" width="11" style="1" customWidth="1"/>
    <col min="9486" max="9486" width="10.7109375" style="1" bestFit="1" customWidth="1"/>
    <col min="9487" max="9487" width="17.28515625" style="1" bestFit="1" customWidth="1"/>
    <col min="9488" max="9733" width="9.140625" style="1"/>
    <col min="9734" max="9734" width="49.5703125" style="1" bestFit="1" customWidth="1"/>
    <col min="9735" max="9735" width="18" style="1" bestFit="1" customWidth="1"/>
    <col min="9736" max="9736" width="11" style="1" customWidth="1"/>
    <col min="9737" max="9737" width="14.42578125" style="1" bestFit="1" customWidth="1"/>
    <col min="9738" max="9738" width="20.28515625" style="1" customWidth="1"/>
    <col min="9739" max="9739" width="12.7109375" style="1" bestFit="1" customWidth="1"/>
    <col min="9740" max="9740" width="12.85546875" style="1" bestFit="1" customWidth="1"/>
    <col min="9741" max="9741" width="11" style="1" customWidth="1"/>
    <col min="9742" max="9742" width="10.7109375" style="1" bestFit="1" customWidth="1"/>
    <col min="9743" max="9743" width="17.28515625" style="1" bestFit="1" customWidth="1"/>
    <col min="9744" max="9989" width="9.140625" style="1"/>
    <col min="9990" max="9990" width="49.5703125" style="1" bestFit="1" customWidth="1"/>
    <col min="9991" max="9991" width="18" style="1" bestFit="1" customWidth="1"/>
    <col min="9992" max="9992" width="11" style="1" customWidth="1"/>
    <col min="9993" max="9993" width="14.42578125" style="1" bestFit="1" customWidth="1"/>
    <col min="9994" max="9994" width="20.28515625" style="1" customWidth="1"/>
    <col min="9995" max="9995" width="12.7109375" style="1" bestFit="1" customWidth="1"/>
    <col min="9996" max="9996" width="12.85546875" style="1" bestFit="1" customWidth="1"/>
    <col min="9997" max="9997" width="11" style="1" customWidth="1"/>
    <col min="9998" max="9998" width="10.7109375" style="1" bestFit="1" customWidth="1"/>
    <col min="9999" max="9999" width="17.28515625" style="1" bestFit="1" customWidth="1"/>
    <col min="10000" max="10245" width="9.140625" style="1"/>
    <col min="10246" max="10246" width="49.5703125" style="1" bestFit="1" customWidth="1"/>
    <col min="10247" max="10247" width="18" style="1" bestFit="1" customWidth="1"/>
    <col min="10248" max="10248" width="11" style="1" customWidth="1"/>
    <col min="10249" max="10249" width="14.42578125" style="1" bestFit="1" customWidth="1"/>
    <col min="10250" max="10250" width="20.28515625" style="1" customWidth="1"/>
    <col min="10251" max="10251" width="12.7109375" style="1" bestFit="1" customWidth="1"/>
    <col min="10252" max="10252" width="12.85546875" style="1" bestFit="1" customWidth="1"/>
    <col min="10253" max="10253" width="11" style="1" customWidth="1"/>
    <col min="10254" max="10254" width="10.7109375" style="1" bestFit="1" customWidth="1"/>
    <col min="10255" max="10255" width="17.28515625" style="1" bestFit="1" customWidth="1"/>
    <col min="10256" max="10501" width="9.140625" style="1"/>
    <col min="10502" max="10502" width="49.5703125" style="1" bestFit="1" customWidth="1"/>
    <col min="10503" max="10503" width="18" style="1" bestFit="1" customWidth="1"/>
    <col min="10504" max="10504" width="11" style="1" customWidth="1"/>
    <col min="10505" max="10505" width="14.42578125" style="1" bestFit="1" customWidth="1"/>
    <col min="10506" max="10506" width="20.28515625" style="1" customWidth="1"/>
    <col min="10507" max="10507" width="12.7109375" style="1" bestFit="1" customWidth="1"/>
    <col min="10508" max="10508" width="12.85546875" style="1" bestFit="1" customWidth="1"/>
    <col min="10509" max="10509" width="11" style="1" customWidth="1"/>
    <col min="10510" max="10510" width="10.7109375" style="1" bestFit="1" customWidth="1"/>
    <col min="10511" max="10511" width="17.28515625" style="1" bestFit="1" customWidth="1"/>
    <col min="10512" max="10757" width="9.140625" style="1"/>
    <col min="10758" max="10758" width="49.5703125" style="1" bestFit="1" customWidth="1"/>
    <col min="10759" max="10759" width="18" style="1" bestFit="1" customWidth="1"/>
    <col min="10760" max="10760" width="11" style="1" customWidth="1"/>
    <col min="10761" max="10761" width="14.42578125" style="1" bestFit="1" customWidth="1"/>
    <col min="10762" max="10762" width="20.28515625" style="1" customWidth="1"/>
    <col min="10763" max="10763" width="12.7109375" style="1" bestFit="1" customWidth="1"/>
    <col min="10764" max="10764" width="12.85546875" style="1" bestFit="1" customWidth="1"/>
    <col min="10765" max="10765" width="11" style="1" customWidth="1"/>
    <col min="10766" max="10766" width="10.7109375" style="1" bestFit="1" customWidth="1"/>
    <col min="10767" max="10767" width="17.28515625" style="1" bestFit="1" customWidth="1"/>
    <col min="10768" max="11013" width="9.140625" style="1"/>
    <col min="11014" max="11014" width="49.5703125" style="1" bestFit="1" customWidth="1"/>
    <col min="11015" max="11015" width="18" style="1" bestFit="1" customWidth="1"/>
    <col min="11016" max="11016" width="11" style="1" customWidth="1"/>
    <col min="11017" max="11017" width="14.42578125" style="1" bestFit="1" customWidth="1"/>
    <col min="11018" max="11018" width="20.28515625" style="1" customWidth="1"/>
    <col min="11019" max="11019" width="12.7109375" style="1" bestFit="1" customWidth="1"/>
    <col min="11020" max="11020" width="12.85546875" style="1" bestFit="1" customWidth="1"/>
    <col min="11021" max="11021" width="11" style="1" customWidth="1"/>
    <col min="11022" max="11022" width="10.7109375" style="1" bestFit="1" customWidth="1"/>
    <col min="11023" max="11023" width="17.28515625" style="1" bestFit="1" customWidth="1"/>
    <col min="11024" max="11269" width="9.140625" style="1"/>
    <col min="11270" max="11270" width="49.5703125" style="1" bestFit="1" customWidth="1"/>
    <col min="11271" max="11271" width="18" style="1" bestFit="1" customWidth="1"/>
    <col min="11272" max="11272" width="11" style="1" customWidth="1"/>
    <col min="11273" max="11273" width="14.42578125" style="1" bestFit="1" customWidth="1"/>
    <col min="11274" max="11274" width="20.28515625" style="1" customWidth="1"/>
    <col min="11275" max="11275" width="12.7109375" style="1" bestFit="1" customWidth="1"/>
    <col min="11276" max="11276" width="12.85546875" style="1" bestFit="1" customWidth="1"/>
    <col min="11277" max="11277" width="11" style="1" customWidth="1"/>
    <col min="11278" max="11278" width="10.7109375" style="1" bestFit="1" customWidth="1"/>
    <col min="11279" max="11279" width="17.28515625" style="1" bestFit="1" customWidth="1"/>
    <col min="11280" max="11525" width="9.140625" style="1"/>
    <col min="11526" max="11526" width="49.5703125" style="1" bestFit="1" customWidth="1"/>
    <col min="11527" max="11527" width="18" style="1" bestFit="1" customWidth="1"/>
    <col min="11528" max="11528" width="11" style="1" customWidth="1"/>
    <col min="11529" max="11529" width="14.42578125" style="1" bestFit="1" customWidth="1"/>
    <col min="11530" max="11530" width="20.28515625" style="1" customWidth="1"/>
    <col min="11531" max="11531" width="12.7109375" style="1" bestFit="1" customWidth="1"/>
    <col min="11532" max="11532" width="12.85546875" style="1" bestFit="1" customWidth="1"/>
    <col min="11533" max="11533" width="11" style="1" customWidth="1"/>
    <col min="11534" max="11534" width="10.7109375" style="1" bestFit="1" customWidth="1"/>
    <col min="11535" max="11535" width="17.28515625" style="1" bestFit="1" customWidth="1"/>
    <col min="11536" max="11781" width="9.140625" style="1"/>
    <col min="11782" max="11782" width="49.5703125" style="1" bestFit="1" customWidth="1"/>
    <col min="11783" max="11783" width="18" style="1" bestFit="1" customWidth="1"/>
    <col min="11784" max="11784" width="11" style="1" customWidth="1"/>
    <col min="11785" max="11785" width="14.42578125" style="1" bestFit="1" customWidth="1"/>
    <col min="11786" max="11786" width="20.28515625" style="1" customWidth="1"/>
    <col min="11787" max="11787" width="12.7109375" style="1" bestFit="1" customWidth="1"/>
    <col min="11788" max="11788" width="12.85546875" style="1" bestFit="1" customWidth="1"/>
    <col min="11789" max="11789" width="11" style="1" customWidth="1"/>
    <col min="11790" max="11790" width="10.7109375" style="1" bestFit="1" customWidth="1"/>
    <col min="11791" max="11791" width="17.28515625" style="1" bestFit="1" customWidth="1"/>
    <col min="11792" max="12037" width="9.140625" style="1"/>
    <col min="12038" max="12038" width="49.5703125" style="1" bestFit="1" customWidth="1"/>
    <col min="12039" max="12039" width="18" style="1" bestFit="1" customWidth="1"/>
    <col min="12040" max="12040" width="11" style="1" customWidth="1"/>
    <col min="12041" max="12041" width="14.42578125" style="1" bestFit="1" customWidth="1"/>
    <col min="12042" max="12042" width="20.28515625" style="1" customWidth="1"/>
    <col min="12043" max="12043" width="12.7109375" style="1" bestFit="1" customWidth="1"/>
    <col min="12044" max="12044" width="12.85546875" style="1" bestFit="1" customWidth="1"/>
    <col min="12045" max="12045" width="11" style="1" customWidth="1"/>
    <col min="12046" max="12046" width="10.7109375" style="1" bestFit="1" customWidth="1"/>
    <col min="12047" max="12047" width="17.28515625" style="1" bestFit="1" customWidth="1"/>
    <col min="12048" max="12293" width="9.140625" style="1"/>
    <col min="12294" max="12294" width="49.5703125" style="1" bestFit="1" customWidth="1"/>
    <col min="12295" max="12295" width="18" style="1" bestFit="1" customWidth="1"/>
    <col min="12296" max="12296" width="11" style="1" customWidth="1"/>
    <col min="12297" max="12297" width="14.42578125" style="1" bestFit="1" customWidth="1"/>
    <col min="12298" max="12298" width="20.28515625" style="1" customWidth="1"/>
    <col min="12299" max="12299" width="12.7109375" style="1" bestFit="1" customWidth="1"/>
    <col min="12300" max="12300" width="12.85546875" style="1" bestFit="1" customWidth="1"/>
    <col min="12301" max="12301" width="11" style="1" customWidth="1"/>
    <col min="12302" max="12302" width="10.7109375" style="1" bestFit="1" customWidth="1"/>
    <col min="12303" max="12303" width="17.28515625" style="1" bestFit="1" customWidth="1"/>
    <col min="12304" max="12549" width="9.140625" style="1"/>
    <col min="12550" max="12550" width="49.5703125" style="1" bestFit="1" customWidth="1"/>
    <col min="12551" max="12551" width="18" style="1" bestFit="1" customWidth="1"/>
    <col min="12552" max="12552" width="11" style="1" customWidth="1"/>
    <col min="12553" max="12553" width="14.42578125" style="1" bestFit="1" customWidth="1"/>
    <col min="12554" max="12554" width="20.28515625" style="1" customWidth="1"/>
    <col min="12555" max="12555" width="12.7109375" style="1" bestFit="1" customWidth="1"/>
    <col min="12556" max="12556" width="12.85546875" style="1" bestFit="1" customWidth="1"/>
    <col min="12557" max="12557" width="11" style="1" customWidth="1"/>
    <col min="12558" max="12558" width="10.7109375" style="1" bestFit="1" customWidth="1"/>
    <col min="12559" max="12559" width="17.28515625" style="1" bestFit="1" customWidth="1"/>
    <col min="12560" max="12805" width="9.140625" style="1"/>
    <col min="12806" max="12806" width="49.5703125" style="1" bestFit="1" customWidth="1"/>
    <col min="12807" max="12807" width="18" style="1" bestFit="1" customWidth="1"/>
    <col min="12808" max="12808" width="11" style="1" customWidth="1"/>
    <col min="12809" max="12809" width="14.42578125" style="1" bestFit="1" customWidth="1"/>
    <col min="12810" max="12810" width="20.28515625" style="1" customWidth="1"/>
    <col min="12811" max="12811" width="12.7109375" style="1" bestFit="1" customWidth="1"/>
    <col min="12812" max="12812" width="12.85546875" style="1" bestFit="1" customWidth="1"/>
    <col min="12813" max="12813" width="11" style="1" customWidth="1"/>
    <col min="12814" max="12814" width="10.7109375" style="1" bestFit="1" customWidth="1"/>
    <col min="12815" max="12815" width="17.28515625" style="1" bestFit="1" customWidth="1"/>
    <col min="12816" max="13061" width="9.140625" style="1"/>
    <col min="13062" max="13062" width="49.5703125" style="1" bestFit="1" customWidth="1"/>
    <col min="13063" max="13063" width="18" style="1" bestFit="1" customWidth="1"/>
    <col min="13064" max="13064" width="11" style="1" customWidth="1"/>
    <col min="13065" max="13065" width="14.42578125" style="1" bestFit="1" customWidth="1"/>
    <col min="13066" max="13066" width="20.28515625" style="1" customWidth="1"/>
    <col min="13067" max="13067" width="12.7109375" style="1" bestFit="1" customWidth="1"/>
    <col min="13068" max="13068" width="12.85546875" style="1" bestFit="1" customWidth="1"/>
    <col min="13069" max="13069" width="11" style="1" customWidth="1"/>
    <col min="13070" max="13070" width="10.7109375" style="1" bestFit="1" customWidth="1"/>
    <col min="13071" max="13071" width="17.28515625" style="1" bestFit="1" customWidth="1"/>
    <col min="13072" max="13317" width="9.140625" style="1"/>
    <col min="13318" max="13318" width="49.5703125" style="1" bestFit="1" customWidth="1"/>
    <col min="13319" max="13319" width="18" style="1" bestFit="1" customWidth="1"/>
    <col min="13320" max="13320" width="11" style="1" customWidth="1"/>
    <col min="13321" max="13321" width="14.42578125" style="1" bestFit="1" customWidth="1"/>
    <col min="13322" max="13322" width="20.28515625" style="1" customWidth="1"/>
    <col min="13323" max="13323" width="12.7109375" style="1" bestFit="1" customWidth="1"/>
    <col min="13324" max="13324" width="12.85546875" style="1" bestFit="1" customWidth="1"/>
    <col min="13325" max="13325" width="11" style="1" customWidth="1"/>
    <col min="13326" max="13326" width="10.7109375" style="1" bestFit="1" customWidth="1"/>
    <col min="13327" max="13327" width="17.28515625" style="1" bestFit="1" customWidth="1"/>
    <col min="13328" max="13573" width="9.140625" style="1"/>
    <col min="13574" max="13574" width="49.5703125" style="1" bestFit="1" customWidth="1"/>
    <col min="13575" max="13575" width="18" style="1" bestFit="1" customWidth="1"/>
    <col min="13576" max="13576" width="11" style="1" customWidth="1"/>
    <col min="13577" max="13577" width="14.42578125" style="1" bestFit="1" customWidth="1"/>
    <col min="13578" max="13578" width="20.28515625" style="1" customWidth="1"/>
    <col min="13579" max="13579" width="12.7109375" style="1" bestFit="1" customWidth="1"/>
    <col min="13580" max="13580" width="12.85546875" style="1" bestFit="1" customWidth="1"/>
    <col min="13581" max="13581" width="11" style="1" customWidth="1"/>
    <col min="13582" max="13582" width="10.7109375" style="1" bestFit="1" customWidth="1"/>
    <col min="13583" max="13583" width="17.28515625" style="1" bestFit="1" customWidth="1"/>
    <col min="13584" max="13829" width="9.140625" style="1"/>
    <col min="13830" max="13830" width="49.5703125" style="1" bestFit="1" customWidth="1"/>
    <col min="13831" max="13831" width="18" style="1" bestFit="1" customWidth="1"/>
    <col min="13832" max="13832" width="11" style="1" customWidth="1"/>
    <col min="13833" max="13833" width="14.42578125" style="1" bestFit="1" customWidth="1"/>
    <col min="13834" max="13834" width="20.28515625" style="1" customWidth="1"/>
    <col min="13835" max="13835" width="12.7109375" style="1" bestFit="1" customWidth="1"/>
    <col min="13836" max="13836" width="12.85546875" style="1" bestFit="1" customWidth="1"/>
    <col min="13837" max="13837" width="11" style="1" customWidth="1"/>
    <col min="13838" max="13838" width="10.7109375" style="1" bestFit="1" customWidth="1"/>
    <col min="13839" max="13839" width="17.28515625" style="1" bestFit="1" customWidth="1"/>
    <col min="13840" max="14085" width="9.140625" style="1"/>
    <col min="14086" max="14086" width="49.5703125" style="1" bestFit="1" customWidth="1"/>
    <col min="14087" max="14087" width="18" style="1" bestFit="1" customWidth="1"/>
    <col min="14088" max="14088" width="11" style="1" customWidth="1"/>
    <col min="14089" max="14089" width="14.42578125" style="1" bestFit="1" customWidth="1"/>
    <col min="14090" max="14090" width="20.28515625" style="1" customWidth="1"/>
    <col min="14091" max="14091" width="12.7109375" style="1" bestFit="1" customWidth="1"/>
    <col min="14092" max="14092" width="12.85546875" style="1" bestFit="1" customWidth="1"/>
    <col min="14093" max="14093" width="11" style="1" customWidth="1"/>
    <col min="14094" max="14094" width="10.7109375" style="1" bestFit="1" customWidth="1"/>
    <col min="14095" max="14095" width="17.28515625" style="1" bestFit="1" customWidth="1"/>
    <col min="14096" max="14341" width="9.140625" style="1"/>
    <col min="14342" max="14342" width="49.5703125" style="1" bestFit="1" customWidth="1"/>
    <col min="14343" max="14343" width="18" style="1" bestFit="1" customWidth="1"/>
    <col min="14344" max="14344" width="11" style="1" customWidth="1"/>
    <col min="14345" max="14345" width="14.42578125" style="1" bestFit="1" customWidth="1"/>
    <col min="14346" max="14346" width="20.28515625" style="1" customWidth="1"/>
    <col min="14347" max="14347" width="12.7109375" style="1" bestFit="1" customWidth="1"/>
    <col min="14348" max="14348" width="12.85546875" style="1" bestFit="1" customWidth="1"/>
    <col min="14349" max="14349" width="11" style="1" customWidth="1"/>
    <col min="14350" max="14350" width="10.7109375" style="1" bestFit="1" customWidth="1"/>
    <col min="14351" max="14351" width="17.28515625" style="1" bestFit="1" customWidth="1"/>
    <col min="14352" max="14597" width="9.140625" style="1"/>
    <col min="14598" max="14598" width="49.5703125" style="1" bestFit="1" customWidth="1"/>
    <col min="14599" max="14599" width="18" style="1" bestFit="1" customWidth="1"/>
    <col min="14600" max="14600" width="11" style="1" customWidth="1"/>
    <col min="14601" max="14601" width="14.42578125" style="1" bestFit="1" customWidth="1"/>
    <col min="14602" max="14602" width="20.28515625" style="1" customWidth="1"/>
    <col min="14603" max="14603" width="12.7109375" style="1" bestFit="1" customWidth="1"/>
    <col min="14604" max="14604" width="12.85546875" style="1" bestFit="1" customWidth="1"/>
    <col min="14605" max="14605" width="11" style="1" customWidth="1"/>
    <col min="14606" max="14606" width="10.7109375" style="1" bestFit="1" customWidth="1"/>
    <col min="14607" max="14607" width="17.28515625" style="1" bestFit="1" customWidth="1"/>
    <col min="14608" max="14853" width="9.140625" style="1"/>
    <col min="14854" max="14854" width="49.5703125" style="1" bestFit="1" customWidth="1"/>
    <col min="14855" max="14855" width="18" style="1" bestFit="1" customWidth="1"/>
    <col min="14856" max="14856" width="11" style="1" customWidth="1"/>
    <col min="14857" max="14857" width="14.42578125" style="1" bestFit="1" customWidth="1"/>
    <col min="14858" max="14858" width="20.28515625" style="1" customWidth="1"/>
    <col min="14859" max="14859" width="12.7109375" style="1" bestFit="1" customWidth="1"/>
    <col min="14860" max="14860" width="12.85546875" style="1" bestFit="1" customWidth="1"/>
    <col min="14861" max="14861" width="11" style="1" customWidth="1"/>
    <col min="14862" max="14862" width="10.7109375" style="1" bestFit="1" customWidth="1"/>
    <col min="14863" max="14863" width="17.28515625" style="1" bestFit="1" customWidth="1"/>
    <col min="14864" max="15109" width="9.140625" style="1"/>
    <col min="15110" max="15110" width="49.5703125" style="1" bestFit="1" customWidth="1"/>
    <col min="15111" max="15111" width="18" style="1" bestFit="1" customWidth="1"/>
    <col min="15112" max="15112" width="11" style="1" customWidth="1"/>
    <col min="15113" max="15113" width="14.42578125" style="1" bestFit="1" customWidth="1"/>
    <col min="15114" max="15114" width="20.28515625" style="1" customWidth="1"/>
    <col min="15115" max="15115" width="12.7109375" style="1" bestFit="1" customWidth="1"/>
    <col min="15116" max="15116" width="12.85546875" style="1" bestFit="1" customWidth="1"/>
    <col min="15117" max="15117" width="11" style="1" customWidth="1"/>
    <col min="15118" max="15118" width="10.7109375" style="1" bestFit="1" customWidth="1"/>
    <col min="15119" max="15119" width="17.28515625" style="1" bestFit="1" customWidth="1"/>
    <col min="15120" max="15365" width="9.140625" style="1"/>
    <col min="15366" max="15366" width="49.5703125" style="1" bestFit="1" customWidth="1"/>
    <col min="15367" max="15367" width="18" style="1" bestFit="1" customWidth="1"/>
    <col min="15368" max="15368" width="11" style="1" customWidth="1"/>
    <col min="15369" max="15369" width="14.42578125" style="1" bestFit="1" customWidth="1"/>
    <col min="15370" max="15370" width="20.28515625" style="1" customWidth="1"/>
    <col min="15371" max="15371" width="12.7109375" style="1" bestFit="1" customWidth="1"/>
    <col min="15372" max="15372" width="12.85546875" style="1" bestFit="1" customWidth="1"/>
    <col min="15373" max="15373" width="11" style="1" customWidth="1"/>
    <col min="15374" max="15374" width="10.7109375" style="1" bestFit="1" customWidth="1"/>
    <col min="15375" max="15375" width="17.28515625" style="1" bestFit="1" customWidth="1"/>
    <col min="15376" max="15621" width="9.140625" style="1"/>
    <col min="15622" max="15622" width="49.5703125" style="1" bestFit="1" customWidth="1"/>
    <col min="15623" max="15623" width="18" style="1" bestFit="1" customWidth="1"/>
    <col min="15624" max="15624" width="11" style="1" customWidth="1"/>
    <col min="15625" max="15625" width="14.42578125" style="1" bestFit="1" customWidth="1"/>
    <col min="15626" max="15626" width="20.28515625" style="1" customWidth="1"/>
    <col min="15627" max="15627" width="12.7109375" style="1" bestFit="1" customWidth="1"/>
    <col min="15628" max="15628" width="12.85546875" style="1" bestFit="1" customWidth="1"/>
    <col min="15629" max="15629" width="11" style="1" customWidth="1"/>
    <col min="15630" max="15630" width="10.7109375" style="1" bestFit="1" customWidth="1"/>
    <col min="15631" max="15631" width="17.28515625" style="1" bestFit="1" customWidth="1"/>
    <col min="15632" max="15877" width="9.140625" style="1"/>
    <col min="15878" max="15878" width="49.5703125" style="1" bestFit="1" customWidth="1"/>
    <col min="15879" max="15879" width="18" style="1" bestFit="1" customWidth="1"/>
    <col min="15880" max="15880" width="11" style="1" customWidth="1"/>
    <col min="15881" max="15881" width="14.42578125" style="1" bestFit="1" customWidth="1"/>
    <col min="15882" max="15882" width="20.28515625" style="1" customWidth="1"/>
    <col min="15883" max="15883" width="12.7109375" style="1" bestFit="1" customWidth="1"/>
    <col min="15884" max="15884" width="12.85546875" style="1" bestFit="1" customWidth="1"/>
    <col min="15885" max="15885" width="11" style="1" customWidth="1"/>
    <col min="15886" max="15886" width="10.7109375" style="1" bestFit="1" customWidth="1"/>
    <col min="15887" max="15887" width="17.28515625" style="1" bestFit="1" customWidth="1"/>
    <col min="15888" max="16133" width="9.140625" style="1"/>
    <col min="16134" max="16134" width="49.5703125" style="1" bestFit="1" customWidth="1"/>
    <col min="16135" max="16135" width="18" style="1" bestFit="1" customWidth="1"/>
    <col min="16136" max="16136" width="11" style="1" customWidth="1"/>
    <col min="16137" max="16137" width="14.42578125" style="1" bestFit="1" customWidth="1"/>
    <col min="16138" max="16138" width="20.28515625" style="1" customWidth="1"/>
    <col min="16139" max="16139" width="12.7109375" style="1" bestFit="1" customWidth="1"/>
    <col min="16140" max="16140" width="12.85546875" style="1" bestFit="1" customWidth="1"/>
    <col min="16141" max="16141" width="11" style="1" customWidth="1"/>
    <col min="16142" max="16142" width="10.7109375" style="1" bestFit="1" customWidth="1"/>
    <col min="16143" max="16143" width="17.28515625" style="1" bestFit="1" customWidth="1"/>
    <col min="16144" max="16384" width="9.140625" style="1"/>
  </cols>
  <sheetData>
    <row r="1" spans="2:16">
      <c r="B1" s="224" t="s">
        <v>100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</row>
    <row r="2" spans="2:16">
      <c r="B2" s="225" t="s">
        <v>9</v>
      </c>
      <c r="C2" s="226"/>
      <c r="D2" s="226"/>
      <c r="E2" s="226"/>
      <c r="F2" s="226"/>
      <c r="G2" s="226"/>
      <c r="H2" s="226"/>
      <c r="I2" s="226"/>
      <c r="J2" s="226"/>
      <c r="K2" s="226"/>
      <c r="L2" s="227"/>
      <c r="M2" s="224" t="s">
        <v>120</v>
      </c>
      <c r="N2" s="224"/>
      <c r="O2" s="224"/>
    </row>
    <row r="3" spans="2:16" s="3" customFormat="1" ht="15" customHeight="1">
      <c r="B3" s="228" t="s">
        <v>44</v>
      </c>
      <c r="C3" s="228"/>
      <c r="D3" s="215" t="s">
        <v>10</v>
      </c>
      <c r="E3" s="216"/>
      <c r="F3" s="216"/>
      <c r="G3" s="216"/>
      <c r="H3" s="231"/>
      <c r="I3" s="232" t="s">
        <v>11</v>
      </c>
      <c r="J3" s="233"/>
      <c r="K3" s="233"/>
      <c r="L3" s="234"/>
      <c r="M3" s="224" t="s">
        <v>13</v>
      </c>
      <c r="N3" s="224"/>
      <c r="O3" s="224"/>
    </row>
    <row r="4" spans="2:16" s="3" customFormat="1" ht="60">
      <c r="B4" s="229" t="s">
        <v>38</v>
      </c>
      <c r="C4" s="42"/>
      <c r="D4" s="4" t="s">
        <v>14</v>
      </c>
      <c r="E4" s="4" t="s">
        <v>15</v>
      </c>
      <c r="F4" s="4" t="s">
        <v>16</v>
      </c>
      <c r="G4" s="5" t="s">
        <v>48</v>
      </c>
      <c r="H4" s="56" t="s">
        <v>35</v>
      </c>
      <c r="I4" s="50" t="s">
        <v>17</v>
      </c>
      <c r="J4" s="5" t="s">
        <v>18</v>
      </c>
      <c r="K4" s="5" t="s">
        <v>36</v>
      </c>
      <c r="L4" s="5" t="s">
        <v>37</v>
      </c>
      <c r="M4" s="6" t="s">
        <v>19</v>
      </c>
      <c r="N4" s="6" t="s">
        <v>20</v>
      </c>
      <c r="O4" s="7" t="s">
        <v>21</v>
      </c>
    </row>
    <row r="5" spans="2:16" s="3" customFormat="1" ht="18" customHeight="1">
      <c r="B5" s="230"/>
      <c r="C5" s="2" t="s">
        <v>22</v>
      </c>
      <c r="D5" s="4">
        <f>SUM(D6:D20)</f>
        <v>95974</v>
      </c>
      <c r="E5" s="4">
        <f>SUM(E6:E21)</f>
        <v>233017</v>
      </c>
      <c r="F5" s="4">
        <f>SUM(F6:F20)</f>
        <v>62567</v>
      </c>
      <c r="G5" s="4">
        <f>SUM(G6:G20)</f>
        <v>167842</v>
      </c>
      <c r="H5" s="57">
        <f>SUM(D5:G5)</f>
        <v>559400</v>
      </c>
      <c r="I5" s="35">
        <f>SUM(I6:I21)</f>
        <v>384728</v>
      </c>
      <c r="J5" s="4">
        <f>SUM(J6:J21)</f>
        <v>146103</v>
      </c>
      <c r="K5" s="4">
        <f>SUM(K6:K21)</f>
        <v>15235</v>
      </c>
      <c r="L5" s="34">
        <f>SUM(I5:K5)</f>
        <v>546066</v>
      </c>
      <c r="M5" s="4">
        <v>5</v>
      </c>
      <c r="N5" s="9">
        <v>0</v>
      </c>
      <c r="O5" s="4">
        <v>177</v>
      </c>
      <c r="P5" s="45"/>
    </row>
    <row r="6" spans="2:16" s="14" customFormat="1">
      <c r="B6" s="36" t="s">
        <v>60</v>
      </c>
      <c r="C6" s="10" t="s">
        <v>39</v>
      </c>
      <c r="D6" s="11"/>
      <c r="E6" s="12">
        <v>10610</v>
      </c>
      <c r="F6" s="11"/>
      <c r="G6" s="11"/>
      <c r="H6" s="58">
        <f>SUM(D6:G6)</f>
        <v>10610</v>
      </c>
      <c r="I6" s="51">
        <v>0</v>
      </c>
      <c r="J6" s="43">
        <v>10610</v>
      </c>
      <c r="K6" s="11"/>
      <c r="L6" s="8">
        <f>SUM(I6:K6)</f>
        <v>10610</v>
      </c>
      <c r="M6" s="12"/>
      <c r="N6" s="13"/>
      <c r="O6" s="12"/>
      <c r="P6" s="62"/>
    </row>
    <row r="7" spans="2:16" s="16" customFormat="1">
      <c r="B7" s="37" t="s">
        <v>61</v>
      </c>
      <c r="C7" s="15" t="s">
        <v>40</v>
      </c>
      <c r="D7" s="11"/>
      <c r="E7" s="8">
        <v>356</v>
      </c>
      <c r="F7" s="11"/>
      <c r="G7" s="11"/>
      <c r="H7" s="58">
        <f t="shared" ref="H7:H21" si="0">SUM(D7:G7)</f>
        <v>356</v>
      </c>
      <c r="I7" s="52">
        <v>356</v>
      </c>
      <c r="J7" s="11"/>
      <c r="K7" s="11"/>
      <c r="L7" s="8">
        <f t="shared" ref="L7:L21" si="1">SUM(I7:K7)</f>
        <v>356</v>
      </c>
      <c r="M7" s="11">
        <v>0</v>
      </c>
      <c r="N7" s="11">
        <v>0</v>
      </c>
      <c r="O7" s="11">
        <v>0</v>
      </c>
    </row>
    <row r="8" spans="2:16" s="16" customFormat="1">
      <c r="B8" s="37" t="s">
        <v>61</v>
      </c>
      <c r="C8" s="15" t="s">
        <v>41</v>
      </c>
      <c r="D8" s="11"/>
      <c r="E8" s="11"/>
      <c r="F8" s="43">
        <v>8900</v>
      </c>
      <c r="G8" s="11"/>
      <c r="H8" s="58">
        <f t="shared" si="0"/>
        <v>8900</v>
      </c>
      <c r="I8" s="52">
        <v>9624</v>
      </c>
      <c r="J8" s="11"/>
      <c r="K8" s="11"/>
      <c r="L8" s="8">
        <f t="shared" si="1"/>
        <v>9624</v>
      </c>
      <c r="M8" s="11">
        <v>0</v>
      </c>
      <c r="N8" s="11">
        <v>0</v>
      </c>
      <c r="O8" s="11">
        <v>0</v>
      </c>
    </row>
    <row r="9" spans="2:16" s="16" customFormat="1">
      <c r="B9" s="37" t="s">
        <v>61</v>
      </c>
      <c r="C9" s="15" t="s">
        <v>42</v>
      </c>
      <c r="D9" s="11"/>
      <c r="E9" s="8">
        <v>5301</v>
      </c>
      <c r="F9" s="11"/>
      <c r="G9" s="11"/>
      <c r="H9" s="58">
        <f t="shared" si="0"/>
        <v>5301</v>
      </c>
      <c r="I9" s="53">
        <v>0</v>
      </c>
      <c r="J9" s="11"/>
      <c r="K9" s="11"/>
      <c r="L9" s="8">
        <f t="shared" si="1"/>
        <v>0</v>
      </c>
      <c r="M9" s="11">
        <v>0</v>
      </c>
      <c r="N9" s="11">
        <v>0</v>
      </c>
      <c r="O9" s="11">
        <v>0</v>
      </c>
    </row>
    <row r="10" spans="2:16" s="16" customFormat="1">
      <c r="B10" s="37" t="s">
        <v>60</v>
      </c>
      <c r="C10" s="15" t="s">
        <v>43</v>
      </c>
      <c r="D10" s="11"/>
      <c r="E10" s="8">
        <v>15810</v>
      </c>
      <c r="F10" s="11"/>
      <c r="G10" s="11"/>
      <c r="H10" s="58">
        <f t="shared" si="0"/>
        <v>15810</v>
      </c>
      <c r="I10" s="53">
        <v>0</v>
      </c>
      <c r="J10" s="8">
        <v>13820</v>
      </c>
      <c r="K10" s="11"/>
      <c r="L10" s="8">
        <f t="shared" si="1"/>
        <v>13820</v>
      </c>
      <c r="M10" s="11">
        <v>0</v>
      </c>
      <c r="N10" s="11">
        <v>0</v>
      </c>
      <c r="O10" s="11">
        <v>0</v>
      </c>
    </row>
    <row r="11" spans="2:16" s="16" customFormat="1" ht="33.75" customHeight="1">
      <c r="B11" s="37" t="s">
        <v>60</v>
      </c>
      <c r="C11" s="17" t="s">
        <v>47</v>
      </c>
      <c r="D11" s="11"/>
      <c r="E11" s="11"/>
      <c r="F11" s="11"/>
      <c r="G11" s="43">
        <v>65206</v>
      </c>
      <c r="H11" s="58">
        <f t="shared" si="0"/>
        <v>65206</v>
      </c>
      <c r="I11" s="52">
        <v>100034</v>
      </c>
      <c r="J11" s="8">
        <f>11862+65206+2617</f>
        <v>79685</v>
      </c>
      <c r="K11" s="11"/>
      <c r="L11" s="8">
        <f t="shared" si="1"/>
        <v>179719</v>
      </c>
      <c r="M11" s="11">
        <v>0</v>
      </c>
      <c r="N11" s="11">
        <v>0</v>
      </c>
      <c r="O11" s="11">
        <v>0</v>
      </c>
    </row>
    <row r="12" spans="2:16" s="16" customFormat="1">
      <c r="B12" s="37" t="s">
        <v>60</v>
      </c>
      <c r="C12" s="15" t="s">
        <v>45</v>
      </c>
      <c r="D12" s="11"/>
      <c r="E12" s="8">
        <v>4411</v>
      </c>
      <c r="F12" s="11"/>
      <c r="G12" s="11"/>
      <c r="H12" s="58">
        <f t="shared" si="0"/>
        <v>4411</v>
      </c>
      <c r="I12" s="53">
        <v>0</v>
      </c>
      <c r="J12" s="11"/>
      <c r="K12" s="11"/>
      <c r="L12" s="8">
        <f t="shared" si="1"/>
        <v>0</v>
      </c>
      <c r="M12" s="11">
        <v>0</v>
      </c>
      <c r="N12" s="11">
        <v>0</v>
      </c>
      <c r="O12" s="11">
        <v>0</v>
      </c>
    </row>
    <row r="13" spans="2:16" s="16" customFormat="1">
      <c r="B13" s="37" t="s">
        <v>60</v>
      </c>
      <c r="C13" s="15" t="s">
        <v>46</v>
      </c>
      <c r="D13" s="11"/>
      <c r="E13" s="11"/>
      <c r="F13" s="11"/>
      <c r="G13" s="43">
        <v>102636</v>
      </c>
      <c r="H13" s="58">
        <f t="shared" si="0"/>
        <v>102636</v>
      </c>
      <c r="I13" s="53"/>
      <c r="J13" s="11"/>
      <c r="K13" s="11"/>
      <c r="L13" s="8">
        <f t="shared" si="1"/>
        <v>0</v>
      </c>
      <c r="M13" s="11"/>
      <c r="N13" s="11"/>
      <c r="O13" s="11"/>
    </row>
    <row r="14" spans="2:16" s="16" customFormat="1">
      <c r="B14" s="37" t="s">
        <v>60</v>
      </c>
      <c r="C14" s="15" t="s">
        <v>49</v>
      </c>
      <c r="D14" s="11"/>
      <c r="E14" s="8">
        <v>3566</v>
      </c>
      <c r="F14" s="11"/>
      <c r="G14" s="11"/>
      <c r="H14" s="58">
        <f t="shared" si="0"/>
        <v>3566</v>
      </c>
      <c r="I14" s="53"/>
      <c r="J14" s="38"/>
      <c r="K14" s="38"/>
      <c r="L14" s="8">
        <f t="shared" si="1"/>
        <v>0</v>
      </c>
      <c r="M14" s="11">
        <v>0</v>
      </c>
      <c r="N14" s="11">
        <v>0</v>
      </c>
      <c r="O14" s="11">
        <v>0</v>
      </c>
    </row>
    <row r="15" spans="2:16" s="16" customFormat="1">
      <c r="B15" s="37" t="s">
        <v>61</v>
      </c>
      <c r="C15" s="15" t="s">
        <v>50</v>
      </c>
      <c r="D15" s="11"/>
      <c r="E15" s="8">
        <v>5262</v>
      </c>
      <c r="F15" s="11"/>
      <c r="G15" s="11"/>
      <c r="H15" s="58">
        <f t="shared" si="0"/>
        <v>5262</v>
      </c>
      <c r="I15" s="53">
        <v>0</v>
      </c>
      <c r="J15" s="11"/>
      <c r="K15" s="11"/>
      <c r="L15" s="8">
        <f t="shared" si="1"/>
        <v>0</v>
      </c>
      <c r="M15" s="11">
        <v>0</v>
      </c>
      <c r="N15" s="11">
        <v>0</v>
      </c>
      <c r="O15" s="11">
        <v>0</v>
      </c>
    </row>
    <row r="16" spans="2:16" s="16" customFormat="1">
      <c r="B16" s="37" t="s">
        <v>60</v>
      </c>
      <c r="C16" s="15" t="s">
        <v>23</v>
      </c>
      <c r="D16" s="11"/>
      <c r="E16" s="8">
        <v>125101</v>
      </c>
      <c r="F16" s="11"/>
      <c r="G16" s="11"/>
      <c r="H16" s="58">
        <f t="shared" si="0"/>
        <v>125101</v>
      </c>
      <c r="I16" s="52">
        <v>94928</v>
      </c>
      <c r="J16" s="43">
        <v>40188</v>
      </c>
      <c r="K16" s="11"/>
      <c r="L16" s="8">
        <f t="shared" si="1"/>
        <v>135116</v>
      </c>
      <c r="M16" s="11">
        <v>0</v>
      </c>
      <c r="N16" s="11">
        <v>0</v>
      </c>
      <c r="O16" s="11">
        <v>0</v>
      </c>
    </row>
    <row r="17" spans="2:15" s="16" customFormat="1">
      <c r="B17" s="37" t="s">
        <v>60</v>
      </c>
      <c r="C17" s="15" t="s">
        <v>24</v>
      </c>
      <c r="D17" s="8">
        <v>82337</v>
      </c>
      <c r="E17" s="8">
        <v>41910</v>
      </c>
      <c r="F17" s="11"/>
      <c r="G17" s="11"/>
      <c r="H17" s="58">
        <f t="shared" si="0"/>
        <v>124247</v>
      </c>
      <c r="I17" s="52">
        <v>115762</v>
      </c>
      <c r="J17" s="11"/>
      <c r="K17" s="11"/>
      <c r="L17" s="8">
        <f t="shared" si="1"/>
        <v>115762</v>
      </c>
      <c r="M17" s="11">
        <v>0</v>
      </c>
      <c r="N17" s="11">
        <v>0</v>
      </c>
      <c r="O17" s="8">
        <v>177</v>
      </c>
    </row>
    <row r="18" spans="2:15" s="16" customFormat="1">
      <c r="B18" s="37" t="s">
        <v>61</v>
      </c>
      <c r="C18" s="15" t="s">
        <v>25</v>
      </c>
      <c r="D18" s="11"/>
      <c r="E18" s="11"/>
      <c r="F18" s="8">
        <v>53417</v>
      </c>
      <c r="G18" s="8"/>
      <c r="H18" s="58">
        <f t="shared" si="0"/>
        <v>53417</v>
      </c>
      <c r="I18" s="52">
        <v>51132</v>
      </c>
      <c r="J18" s="11"/>
      <c r="K18" s="11"/>
      <c r="L18" s="8">
        <f t="shared" si="1"/>
        <v>51132</v>
      </c>
      <c r="M18" s="11">
        <v>0</v>
      </c>
      <c r="N18" s="11">
        <v>0</v>
      </c>
      <c r="O18" s="11">
        <v>0</v>
      </c>
    </row>
    <row r="19" spans="2:15">
      <c r="B19" s="39" t="s">
        <v>60</v>
      </c>
      <c r="C19" s="18" t="s">
        <v>51</v>
      </c>
      <c r="D19" s="19">
        <v>7033</v>
      </c>
      <c r="E19" s="19">
        <v>1462</v>
      </c>
      <c r="F19" s="43">
        <v>250</v>
      </c>
      <c r="G19" s="11"/>
      <c r="H19" s="58">
        <f t="shared" si="0"/>
        <v>8745</v>
      </c>
      <c r="I19" s="54">
        <v>4128</v>
      </c>
      <c r="J19" s="11">
        <v>0</v>
      </c>
      <c r="K19" s="11"/>
      <c r="L19" s="8">
        <f t="shared" si="1"/>
        <v>4128</v>
      </c>
      <c r="M19" s="19">
        <v>3</v>
      </c>
      <c r="N19" s="11">
        <v>0</v>
      </c>
      <c r="O19" s="11">
        <v>0</v>
      </c>
    </row>
    <row r="20" spans="2:15">
      <c r="B20" s="39" t="s">
        <v>60</v>
      </c>
      <c r="C20" s="18" t="s">
        <v>52</v>
      </c>
      <c r="D20" s="19">
        <v>6604</v>
      </c>
      <c r="E20" s="19">
        <v>1613</v>
      </c>
      <c r="F20" s="11"/>
      <c r="G20" s="11"/>
      <c r="H20" s="58">
        <f t="shared" si="0"/>
        <v>8217</v>
      </c>
      <c r="I20" s="54">
        <v>8184</v>
      </c>
      <c r="J20" s="11">
        <v>0</v>
      </c>
      <c r="K20" s="11"/>
      <c r="L20" s="8">
        <f t="shared" si="1"/>
        <v>8184</v>
      </c>
      <c r="M20" s="19">
        <v>2</v>
      </c>
      <c r="N20" s="11">
        <v>0</v>
      </c>
      <c r="O20" s="11">
        <v>0</v>
      </c>
    </row>
    <row r="21" spans="2:15">
      <c r="B21" s="39" t="s">
        <v>61</v>
      </c>
      <c r="C21" s="15" t="s">
        <v>62</v>
      </c>
      <c r="D21" s="19">
        <v>0</v>
      </c>
      <c r="E21" s="19">
        <v>17615</v>
      </c>
      <c r="F21" s="11"/>
      <c r="G21" s="11"/>
      <c r="H21" s="58">
        <f t="shared" si="0"/>
        <v>17615</v>
      </c>
      <c r="I21" s="54">
        <v>580</v>
      </c>
      <c r="J21" s="43">
        <v>1800</v>
      </c>
      <c r="K21" s="43">
        <v>15235</v>
      </c>
      <c r="L21" s="8">
        <f t="shared" si="1"/>
        <v>17615</v>
      </c>
      <c r="M21" s="11">
        <v>0</v>
      </c>
      <c r="N21" s="11">
        <v>0</v>
      </c>
      <c r="O21" s="11">
        <v>0</v>
      </c>
    </row>
    <row r="22" spans="2:15" s="25" customFormat="1">
      <c r="B22" s="41"/>
      <c r="C22" s="23" t="s">
        <v>53</v>
      </c>
      <c r="D22" s="24">
        <f>SUM(D23:D24)</f>
        <v>70053</v>
      </c>
      <c r="E22" s="24">
        <f>SUM(E23:E24)</f>
        <v>8500</v>
      </c>
      <c r="F22" s="21"/>
      <c r="G22" s="21"/>
      <c r="H22" s="59">
        <f>SUM(D22:G22)</f>
        <v>78553</v>
      </c>
      <c r="I22" s="55"/>
      <c r="J22" s="24">
        <f>SUM(J23:J24)</f>
        <v>60868</v>
      </c>
      <c r="K22" s="24">
        <f>SUM(K23:K24)</f>
        <v>17685</v>
      </c>
      <c r="L22" s="8">
        <f>SUM(I22:K22)</f>
        <v>78553</v>
      </c>
      <c r="M22" s="24">
        <v>21</v>
      </c>
      <c r="N22" s="21">
        <v>0</v>
      </c>
      <c r="O22" s="21">
        <v>0</v>
      </c>
    </row>
    <row r="23" spans="2:15" s="16" customFormat="1" ht="25.5">
      <c r="B23" s="37" t="s">
        <v>63</v>
      </c>
      <c r="C23" s="47" t="s">
        <v>54</v>
      </c>
      <c r="D23" s="8">
        <v>55879</v>
      </c>
      <c r="E23" s="8">
        <v>8500</v>
      </c>
      <c r="F23" s="11"/>
      <c r="G23" s="11"/>
      <c r="H23" s="58">
        <f>SUM(D23:G23)</f>
        <v>64379</v>
      </c>
      <c r="I23" s="53"/>
      <c r="J23" s="8">
        <v>60868</v>
      </c>
      <c r="K23" s="43">
        <f>3511+14174</f>
        <v>17685</v>
      </c>
      <c r="L23" s="8">
        <f>SUM(I23:K23)</f>
        <v>78553</v>
      </c>
      <c r="M23" s="8">
        <v>19</v>
      </c>
      <c r="N23" s="11">
        <v>0</v>
      </c>
      <c r="O23" s="11">
        <v>0</v>
      </c>
    </row>
    <row r="24" spans="2:15" s="16" customFormat="1">
      <c r="B24" s="37" t="s">
        <v>60</v>
      </c>
      <c r="C24" s="26" t="s">
        <v>26</v>
      </c>
      <c r="D24" s="8">
        <v>14174</v>
      </c>
      <c r="E24" s="11"/>
      <c r="F24" s="11"/>
      <c r="G24" s="11"/>
      <c r="H24" s="58">
        <f>SUM(D24:G24)</f>
        <v>14174</v>
      </c>
      <c r="I24" s="63"/>
      <c r="J24" s="44"/>
      <c r="K24" s="44"/>
      <c r="L24" s="44"/>
      <c r="M24" s="8">
        <v>2</v>
      </c>
      <c r="N24" s="11">
        <v>0</v>
      </c>
      <c r="O24" s="11">
        <v>0</v>
      </c>
    </row>
    <row r="25" spans="2:15" s="22" customFormat="1">
      <c r="B25" s="40"/>
      <c r="C25" s="2" t="s">
        <v>55</v>
      </c>
      <c r="D25" s="20">
        <f>SUM(D26:D29)</f>
        <v>68235</v>
      </c>
      <c r="E25" s="20">
        <f t="shared" ref="E25:G25" si="2">SUM(E26:E29)</f>
        <v>12863</v>
      </c>
      <c r="F25" s="20">
        <f t="shared" si="2"/>
        <v>1400</v>
      </c>
      <c r="G25" s="20">
        <f t="shared" si="2"/>
        <v>0</v>
      </c>
      <c r="H25" s="59">
        <f>SUM(D25:G25)</f>
        <v>82498</v>
      </c>
      <c r="I25" s="49">
        <f>SUM(I26,I29)</f>
        <v>16566</v>
      </c>
      <c r="J25" s="20">
        <f>SUM(J26:J29)</f>
        <v>63762</v>
      </c>
      <c r="K25" s="20">
        <f>SUM(K26:K29)</f>
        <v>2170</v>
      </c>
      <c r="L25" s="24">
        <f>SUM(I25:K25)</f>
        <v>82498</v>
      </c>
      <c r="M25" s="20">
        <f>SUM(M26:M27)</f>
        <v>20</v>
      </c>
      <c r="N25" s="21">
        <v>0</v>
      </c>
      <c r="O25" s="21">
        <v>0</v>
      </c>
    </row>
    <row r="26" spans="2:15">
      <c r="B26" s="39" t="s">
        <v>60</v>
      </c>
      <c r="C26" s="10" t="s">
        <v>56</v>
      </c>
      <c r="D26" s="19">
        <f>42491+11472</f>
        <v>53963</v>
      </c>
      <c r="E26" s="19">
        <v>0</v>
      </c>
      <c r="F26" s="19">
        <v>0</v>
      </c>
      <c r="G26" s="19"/>
      <c r="H26" s="58">
        <f t="shared" ref="H26:H29" si="3">SUM(D26:G26)</f>
        <v>53963</v>
      </c>
      <c r="I26" s="53"/>
      <c r="J26" s="19">
        <v>56706</v>
      </c>
      <c r="K26" s="44"/>
      <c r="L26" s="8">
        <f>SUM(I26:K26)</f>
        <v>56706</v>
      </c>
      <c r="M26" s="19">
        <v>18</v>
      </c>
      <c r="N26" s="11">
        <v>0</v>
      </c>
      <c r="O26" s="11">
        <v>0</v>
      </c>
    </row>
    <row r="27" spans="2:15">
      <c r="B27" s="39" t="s">
        <v>60</v>
      </c>
      <c r="C27" s="10" t="s">
        <v>57</v>
      </c>
      <c r="D27" s="19">
        <f>3168+855</f>
        <v>4023</v>
      </c>
      <c r="E27" s="19">
        <v>5301</v>
      </c>
      <c r="F27" s="43">
        <v>1400</v>
      </c>
      <c r="G27" s="43"/>
      <c r="H27" s="58">
        <f t="shared" si="3"/>
        <v>10724</v>
      </c>
      <c r="I27" s="53"/>
      <c r="J27" s="43">
        <v>7056</v>
      </c>
      <c r="K27" s="43">
        <v>2170</v>
      </c>
      <c r="L27" s="24">
        <f>SUM(I27:K27)</f>
        <v>9226</v>
      </c>
      <c r="M27" s="19">
        <v>2</v>
      </c>
      <c r="N27" s="11">
        <v>0</v>
      </c>
      <c r="O27" s="11">
        <v>0</v>
      </c>
    </row>
    <row r="28" spans="2:15">
      <c r="B28" s="39" t="s">
        <v>60</v>
      </c>
      <c r="C28" s="10" t="s">
        <v>58</v>
      </c>
      <c r="D28" s="19">
        <v>1245</v>
      </c>
      <c r="E28" s="11">
        <v>0</v>
      </c>
      <c r="F28" s="11"/>
      <c r="G28" s="11"/>
      <c r="H28" s="58">
        <f t="shared" si="3"/>
        <v>1245</v>
      </c>
      <c r="I28" s="53"/>
      <c r="J28" s="11"/>
      <c r="K28" s="11"/>
      <c r="L28" s="21"/>
      <c r="M28" s="11">
        <v>0</v>
      </c>
      <c r="N28" s="11">
        <v>0</v>
      </c>
      <c r="O28" s="11">
        <v>0</v>
      </c>
    </row>
    <row r="29" spans="2:15">
      <c r="B29" s="39" t="s">
        <v>61</v>
      </c>
      <c r="C29" s="27" t="s">
        <v>59</v>
      </c>
      <c r="D29" s="19">
        <f>7198+1806</f>
        <v>9004</v>
      </c>
      <c r="E29" s="19">
        <v>7562</v>
      </c>
      <c r="F29" s="11"/>
      <c r="G29" s="11"/>
      <c r="H29" s="58">
        <f t="shared" si="3"/>
        <v>16566</v>
      </c>
      <c r="I29" s="54">
        <v>16566</v>
      </c>
      <c r="J29" s="11"/>
      <c r="K29" s="11"/>
      <c r="L29" s="24">
        <f t="shared" ref="L29" si="4">SUM(I29:K29)</f>
        <v>16566</v>
      </c>
      <c r="M29" s="11"/>
      <c r="N29" s="11">
        <v>0</v>
      </c>
      <c r="O29" s="11">
        <v>0</v>
      </c>
    </row>
    <row r="30" spans="2:15" s="22" customFormat="1">
      <c r="B30" s="40" t="s">
        <v>60</v>
      </c>
      <c r="C30" s="2" t="s">
        <v>27</v>
      </c>
      <c r="D30" s="20">
        <v>5546</v>
      </c>
      <c r="E30" s="20">
        <v>1208</v>
      </c>
      <c r="F30" s="21"/>
      <c r="G30" s="21"/>
      <c r="H30" s="59">
        <f t="shared" ref="H30:H36" si="5">SUM(D30:G30)</f>
        <v>6754</v>
      </c>
      <c r="I30" s="49">
        <v>500</v>
      </c>
      <c r="J30" s="20">
        <v>2469</v>
      </c>
      <c r="K30" s="20">
        <v>3785</v>
      </c>
      <c r="L30" s="24">
        <f t="shared" ref="L30:L36" si="6">SUM(I30:K30)</f>
        <v>6754</v>
      </c>
      <c r="M30" s="20">
        <v>2</v>
      </c>
      <c r="N30" s="20">
        <v>0</v>
      </c>
      <c r="O30" s="21">
        <v>0</v>
      </c>
    </row>
    <row r="31" spans="2:15" s="22" customFormat="1">
      <c r="B31" s="40" t="s">
        <v>60</v>
      </c>
      <c r="C31" s="2" t="s">
        <v>28</v>
      </c>
      <c r="D31" s="20">
        <v>8863</v>
      </c>
      <c r="E31" s="20">
        <v>5510</v>
      </c>
      <c r="F31" s="20">
        <v>300</v>
      </c>
      <c r="G31" s="21"/>
      <c r="H31" s="61">
        <f t="shared" si="5"/>
        <v>14673</v>
      </c>
      <c r="I31" s="49">
        <v>1800</v>
      </c>
      <c r="J31" s="20">
        <v>2469</v>
      </c>
      <c r="K31" s="20">
        <v>10404</v>
      </c>
      <c r="L31" s="24">
        <f t="shared" si="6"/>
        <v>14673</v>
      </c>
      <c r="M31" s="20">
        <v>3</v>
      </c>
      <c r="N31" s="20">
        <v>1</v>
      </c>
      <c r="O31" s="21">
        <v>0</v>
      </c>
    </row>
    <row r="32" spans="2:15" s="22" customFormat="1">
      <c r="B32" s="40" t="s">
        <v>60</v>
      </c>
      <c r="C32" s="2" t="s">
        <v>29</v>
      </c>
      <c r="D32" s="20">
        <v>15636</v>
      </c>
      <c r="E32" s="20">
        <v>2597</v>
      </c>
      <c r="F32" s="46">
        <v>800</v>
      </c>
      <c r="G32" s="21"/>
      <c r="H32" s="61">
        <f t="shared" si="5"/>
        <v>19033</v>
      </c>
      <c r="I32" s="55">
        <v>0</v>
      </c>
      <c r="J32" s="20">
        <v>10820</v>
      </c>
      <c r="K32" s="20">
        <v>8213</v>
      </c>
      <c r="L32" s="24">
        <f t="shared" si="6"/>
        <v>19033</v>
      </c>
      <c r="M32" s="20">
        <v>6</v>
      </c>
      <c r="N32" s="20">
        <v>0</v>
      </c>
      <c r="O32" s="21">
        <v>0</v>
      </c>
    </row>
    <row r="33" spans="2:15" s="22" customFormat="1">
      <c r="B33" s="40" t="s">
        <v>61</v>
      </c>
      <c r="C33" s="2" t="s">
        <v>30</v>
      </c>
      <c r="D33" s="20">
        <v>18454</v>
      </c>
      <c r="E33" s="20">
        <v>2806</v>
      </c>
      <c r="F33" s="46">
        <v>250</v>
      </c>
      <c r="G33" s="21"/>
      <c r="H33" s="61">
        <f t="shared" si="5"/>
        <v>21510</v>
      </c>
      <c r="I33" s="55">
        <v>0</v>
      </c>
      <c r="J33" s="20">
        <v>11364</v>
      </c>
      <c r="K33" s="20">
        <f>21510-J33</f>
        <v>10146</v>
      </c>
      <c r="L33" s="24">
        <f t="shared" si="6"/>
        <v>21510</v>
      </c>
      <c r="M33" s="20">
        <v>8</v>
      </c>
      <c r="N33" s="20">
        <v>1</v>
      </c>
      <c r="O33" s="21">
        <v>0</v>
      </c>
    </row>
    <row r="34" spans="2:15" s="22" customFormat="1">
      <c r="B34" s="40" t="s">
        <v>60</v>
      </c>
      <c r="C34" s="2" t="s">
        <v>31</v>
      </c>
      <c r="D34" s="20">
        <v>41454</v>
      </c>
      <c r="E34" s="20">
        <v>47954</v>
      </c>
      <c r="F34" s="46">
        <v>1039</v>
      </c>
      <c r="G34" s="21"/>
      <c r="H34" s="61">
        <f t="shared" si="5"/>
        <v>90447</v>
      </c>
      <c r="I34" s="49">
        <v>20158</v>
      </c>
      <c r="J34" s="20">
        <f>38668-29</f>
        <v>38639</v>
      </c>
      <c r="K34" s="20">
        <f>31621+29</f>
        <v>31650</v>
      </c>
      <c r="L34" s="24">
        <f t="shared" si="6"/>
        <v>90447</v>
      </c>
      <c r="M34" s="20">
        <v>21</v>
      </c>
      <c r="N34" s="20">
        <v>1</v>
      </c>
      <c r="O34" s="21">
        <v>0</v>
      </c>
    </row>
    <row r="35" spans="2:15" s="22" customFormat="1">
      <c r="B35" s="40" t="s">
        <v>61</v>
      </c>
      <c r="C35" s="2" t="s">
        <v>32</v>
      </c>
      <c r="D35" s="20">
        <v>6051</v>
      </c>
      <c r="E35" s="20">
        <v>1837</v>
      </c>
      <c r="F35" s="20"/>
      <c r="G35" s="20"/>
      <c r="H35" s="61">
        <f t="shared" si="5"/>
        <v>7888</v>
      </c>
      <c r="I35" s="49">
        <v>4540</v>
      </c>
      <c r="J35" s="21"/>
      <c r="K35" s="46">
        <v>3348</v>
      </c>
      <c r="L35" s="24">
        <f t="shared" si="6"/>
        <v>7888</v>
      </c>
      <c r="M35" s="20">
        <v>2</v>
      </c>
      <c r="N35" s="21">
        <v>0</v>
      </c>
      <c r="O35" s="21">
        <v>0</v>
      </c>
    </row>
    <row r="36" spans="2:15">
      <c r="B36" s="39"/>
      <c r="C36" s="2" t="s">
        <v>33</v>
      </c>
      <c r="D36" s="20">
        <f>SUM(D5,D22,D21,D25,D30,D31,D32,D33,D34,D35)</f>
        <v>330266</v>
      </c>
      <c r="E36" s="20">
        <f>SUM(E5,E22,E25,E30,E31,E32,E33,E34,E35)</f>
        <v>316292</v>
      </c>
      <c r="F36" s="20">
        <f t="shared" ref="F36:G36" si="7">SUM(F5,F22,F21,F25,F30,F31,F32,F33,F34,F35)</f>
        <v>66356</v>
      </c>
      <c r="G36" s="20">
        <f t="shared" si="7"/>
        <v>167842</v>
      </c>
      <c r="H36" s="61">
        <f t="shared" si="5"/>
        <v>880756</v>
      </c>
      <c r="I36" s="49">
        <f>SUM(I5,I22,I25,I30,I31,I32,I33,I34,I35)</f>
        <v>428292</v>
      </c>
      <c r="J36" s="20">
        <f>SUM(J5,J22,J25,J30,J31,J32,J33,J34,J35)</f>
        <v>336494</v>
      </c>
      <c r="K36" s="20">
        <f>SUM(K5,K22,K25,K30,K31,K32,K33,K34,K35)</f>
        <v>102636</v>
      </c>
      <c r="L36" s="24">
        <f>SUM(I36:K36)</f>
        <v>867422</v>
      </c>
      <c r="M36" s="20">
        <f>M5+M21+M22+M25+M30+M31+M32+M33+M34+M35</f>
        <v>88</v>
      </c>
      <c r="N36" s="20">
        <f>N5+N21+N22+N25+N30+N31+N32+N33+N34+N35</f>
        <v>3</v>
      </c>
      <c r="O36" s="20">
        <f>O5+O21+O22+O25+O30+O31+O32+O33+O34+O35</f>
        <v>177</v>
      </c>
    </row>
    <row r="37" spans="2:15" s="67" customFormat="1" ht="15.75" customHeight="1">
      <c r="B37" s="20"/>
      <c r="C37" s="2" t="s">
        <v>12</v>
      </c>
      <c r="D37" s="215"/>
      <c r="E37" s="216"/>
      <c r="F37" s="216"/>
      <c r="G37" s="216"/>
      <c r="H37" s="216"/>
      <c r="I37" s="216"/>
      <c r="J37" s="216"/>
      <c r="K37" s="217"/>
      <c r="L37" s="46">
        <f>L36-H36</f>
        <v>-13334</v>
      </c>
      <c r="M37" s="218"/>
      <c r="N37" s="218"/>
      <c r="O37" s="219"/>
    </row>
    <row r="38" spans="2:15" s="22" customFormat="1">
      <c r="B38" s="40"/>
      <c r="C38" s="2" t="s">
        <v>116</v>
      </c>
      <c r="D38" s="235"/>
      <c r="E38" s="236"/>
      <c r="F38" s="236"/>
      <c r="G38" s="236"/>
      <c r="H38" s="236"/>
      <c r="I38" s="236"/>
      <c r="J38" s="236"/>
      <c r="K38" s="237"/>
      <c r="L38" s="46">
        <v>13334</v>
      </c>
      <c r="M38" s="220"/>
      <c r="N38" s="220"/>
      <c r="O38" s="221"/>
    </row>
    <row r="39" spans="2:15" s="22" customFormat="1">
      <c r="B39" s="40"/>
      <c r="C39" s="2" t="s">
        <v>34</v>
      </c>
      <c r="D39" s="215"/>
      <c r="E39" s="216"/>
      <c r="F39" s="216"/>
      <c r="G39" s="216"/>
      <c r="H39" s="216"/>
      <c r="I39" s="216"/>
      <c r="J39" s="216"/>
      <c r="K39" s="217"/>
      <c r="L39" s="46">
        <f>L36+L38</f>
        <v>880756</v>
      </c>
      <c r="M39" s="222"/>
      <c r="N39" s="222"/>
      <c r="O39" s="223"/>
    </row>
    <row r="40" spans="2:15">
      <c r="C40" s="29"/>
      <c r="D40" s="30"/>
      <c r="E40" s="30"/>
      <c r="F40" s="30"/>
      <c r="G40" s="30"/>
      <c r="H40" s="30"/>
      <c r="I40" s="30"/>
      <c r="J40" s="31"/>
      <c r="K40" s="31"/>
      <c r="L40" s="31"/>
      <c r="M40" s="31"/>
      <c r="N40" s="31"/>
      <c r="O40" s="31"/>
    </row>
    <row r="41" spans="2:15">
      <c r="C41" s="32" t="s">
        <v>119</v>
      </c>
      <c r="J41" s="31"/>
      <c r="K41" s="31"/>
      <c r="L41" s="31"/>
      <c r="M41" s="31"/>
      <c r="N41" s="31"/>
      <c r="O41" s="31"/>
    </row>
    <row r="42" spans="2:15">
      <c r="D42" s="28" t="s">
        <v>64</v>
      </c>
      <c r="E42" s="28" t="s">
        <v>65</v>
      </c>
      <c r="F42" s="28" t="s">
        <v>66</v>
      </c>
      <c r="G42" s="28" t="s">
        <v>67</v>
      </c>
      <c r="H42" s="28" t="s">
        <v>68</v>
      </c>
      <c r="I42" s="28" t="s">
        <v>69</v>
      </c>
      <c r="J42" s="28" t="s">
        <v>70</v>
      </c>
      <c r="K42" s="28" t="s">
        <v>71</v>
      </c>
      <c r="L42" s="28" t="s">
        <v>68</v>
      </c>
    </row>
    <row r="43" spans="2:15">
      <c r="C43" s="33" t="s">
        <v>60</v>
      </c>
      <c r="D43" s="28">
        <f>D6+D10+D11+D12+D13+D14+D16+D17+D19+D20+D24+D26+D27+D28+D30+D31+D32+D34</f>
        <v>240878</v>
      </c>
      <c r="E43" s="28">
        <f t="shared" ref="E43:L43" si="8">E6+E10+E11+E12+E13+E14+E16+E17+E19+E20+E24+E26+E27+E28+E30+E31+E32+E34</f>
        <v>267053</v>
      </c>
      <c r="F43" s="28">
        <f>F6+F10+F11+F12+F13+F14+F16+F17+F19+F20+F24+F26+F27+F28+F30+F31+F32+F34</f>
        <v>3789</v>
      </c>
      <c r="G43" s="28">
        <f t="shared" si="8"/>
        <v>167842</v>
      </c>
      <c r="H43" s="28">
        <f t="shared" si="8"/>
        <v>679562</v>
      </c>
      <c r="I43" s="28">
        <f t="shared" si="8"/>
        <v>345494</v>
      </c>
      <c r="J43" s="28">
        <f t="shared" si="8"/>
        <v>262462</v>
      </c>
      <c r="K43" s="28">
        <f t="shared" si="8"/>
        <v>56222</v>
      </c>
      <c r="L43" s="28">
        <f t="shared" si="8"/>
        <v>664178</v>
      </c>
    </row>
    <row r="44" spans="2:15">
      <c r="C44" s="33" t="s">
        <v>61</v>
      </c>
      <c r="D44" s="28">
        <f t="shared" ref="D44:L44" si="9">D7+D8+D9+D15+D18+D21+D29+D33+D35</f>
        <v>33509</v>
      </c>
      <c r="E44" s="28">
        <f t="shared" si="9"/>
        <v>40739</v>
      </c>
      <c r="F44" s="28">
        <f t="shared" si="9"/>
        <v>62567</v>
      </c>
      <c r="G44" s="28">
        <f t="shared" si="9"/>
        <v>0</v>
      </c>
      <c r="H44" s="28">
        <f t="shared" si="9"/>
        <v>136815</v>
      </c>
      <c r="I44" s="28">
        <f t="shared" si="9"/>
        <v>82798</v>
      </c>
      <c r="J44" s="28">
        <f t="shared" si="9"/>
        <v>13164</v>
      </c>
      <c r="K44" s="28">
        <f t="shared" si="9"/>
        <v>28729</v>
      </c>
      <c r="L44" s="28">
        <f t="shared" si="9"/>
        <v>124691</v>
      </c>
    </row>
    <row r="45" spans="2:15">
      <c r="C45" s="33" t="s">
        <v>63</v>
      </c>
      <c r="D45" s="28">
        <f>D23</f>
        <v>55879</v>
      </c>
      <c r="E45" s="28">
        <f t="shared" ref="E45:L45" si="10">E23</f>
        <v>8500</v>
      </c>
      <c r="F45" s="28">
        <f t="shared" si="10"/>
        <v>0</v>
      </c>
      <c r="G45" s="28">
        <f t="shared" si="10"/>
        <v>0</v>
      </c>
      <c r="H45" s="28">
        <f t="shared" si="10"/>
        <v>64379</v>
      </c>
      <c r="I45" s="28">
        <f t="shared" si="10"/>
        <v>0</v>
      </c>
      <c r="J45" s="28">
        <f t="shared" si="10"/>
        <v>60868</v>
      </c>
      <c r="K45" s="28">
        <f t="shared" si="10"/>
        <v>17685</v>
      </c>
      <c r="L45" s="28">
        <f t="shared" si="10"/>
        <v>78553</v>
      </c>
    </row>
    <row r="46" spans="2:15">
      <c r="D46" s="28">
        <f>SUM(D43:D45)</f>
        <v>330266</v>
      </c>
      <c r="E46" s="28">
        <f t="shared" ref="E46:L46" si="11">SUM(E43:E45)</f>
        <v>316292</v>
      </c>
      <c r="F46" s="28">
        <f t="shared" si="11"/>
        <v>66356</v>
      </c>
      <c r="G46" s="28">
        <f t="shared" si="11"/>
        <v>167842</v>
      </c>
      <c r="H46" s="28">
        <f t="shared" si="11"/>
        <v>880756</v>
      </c>
      <c r="I46" s="28">
        <f t="shared" si="11"/>
        <v>428292</v>
      </c>
      <c r="J46" s="28">
        <f t="shared" si="11"/>
        <v>336494</v>
      </c>
      <c r="K46" s="28">
        <f t="shared" si="11"/>
        <v>102636</v>
      </c>
      <c r="L46" s="28">
        <f t="shared" si="11"/>
        <v>867422</v>
      </c>
    </row>
    <row r="48" spans="2:15">
      <c r="C48" s="33" t="s">
        <v>257</v>
      </c>
      <c r="D48" s="28">
        <f>'3.sz.Önkormányzat'!C22+'4.sz.Cházi Közös Önk.Hiv.'!C8+'5.sz.Óvoda'!C10+'6.sz.Könyvtár'!C6+'7.sz.Műv.Ház'!C6+'8.sz.CSSK'!C8+'9.sz.Bölcsőde'!C6+'10.sz.KSZKI'!C13+'11.sz.Vízmű'!C6</f>
        <v>330266</v>
      </c>
      <c r="E48" s="28">
        <f>'3.sz.Önkormányzat'!D22+'4.sz.Cházi Közös Önk.Hiv.'!D8+'5.sz.Óvoda'!D10+'6.sz.Könyvtár'!D6+'7.sz.Műv.Ház'!D6+'8.sz.CSSK'!D8+'9.sz.Bölcsőde'!D6+'10.sz.KSZKI'!D13+'11.sz.Vízmű'!D6</f>
        <v>316292</v>
      </c>
      <c r="F48" s="28">
        <f>'3.sz.Önkormányzat'!E22+'4.sz.Cházi Közös Önk.Hiv.'!E8+'5.sz.Óvoda'!E10+'6.sz.Könyvtár'!E6+'7.sz.Műv.Ház'!E6+'8.sz.CSSK'!E8+'9.sz.Bölcsőde'!E6+'10.sz.KSZKI'!E13+'11.sz.Vízmű'!E6</f>
        <v>66356</v>
      </c>
      <c r="G48" s="28">
        <f>'3.sz.Önkormányzat'!F22+'4.sz.Cházi Közös Önk.Hiv.'!F8+'5.sz.Óvoda'!F10+'6.sz.Könyvtár'!F6+'7.sz.Műv.Ház'!F6+'8.sz.CSSK'!F8+'9.sz.Bölcsőde'!F6+'10.sz.KSZKI'!F13+'11.sz.Vízmű'!F6</f>
        <v>167842</v>
      </c>
      <c r="H48" s="28">
        <f>'3.sz.Önkormányzat'!G22+'4.sz.Cházi Közös Önk.Hiv.'!G8+'5.sz.Óvoda'!G10+'6.sz.Könyvtár'!G6+'7.sz.Műv.Ház'!G6+'8.sz.CSSK'!G8+'9.sz.Bölcsőde'!G6+'10.sz.KSZKI'!G13+'11.sz.Vízmű'!G6</f>
        <v>880756</v>
      </c>
      <c r="I48" s="28">
        <f>'3.sz.Önkormányzat'!H22+'4.sz.Cházi Közös Önk.Hiv.'!H8+'5.sz.Óvoda'!H10+'6.sz.Könyvtár'!H6+'7.sz.Műv.Ház'!H6+'8.sz.CSSK'!H8+'9.sz.Bölcsőde'!H6+'10.sz.KSZKI'!H13+'11.sz.Vízmű'!H6</f>
        <v>428292</v>
      </c>
      <c r="J48" s="28">
        <f>'3.sz.Önkormányzat'!I22+'4.sz.Cházi Közös Önk.Hiv.'!I8+'5.sz.Óvoda'!I10+'6.sz.Könyvtár'!I6+'7.sz.Műv.Ház'!I6+'8.sz.CSSK'!I8+'9.sz.Bölcsőde'!I6+'10.sz.KSZKI'!I13+'11.sz.Vízmű'!I6</f>
        <v>336494</v>
      </c>
      <c r="K48" s="28">
        <f>'3.sz.Önkormányzat'!J22+'4.sz.Cházi Közös Önk.Hiv.'!J8+'5.sz.Óvoda'!J10+'6.sz.Könyvtár'!J6+'7.sz.Műv.Ház'!J6+'8.sz.CSSK'!J8+'9.sz.Bölcsőde'!J6+'10.sz.KSZKI'!J13+'11.sz.Vízmű'!J6</f>
        <v>102636</v>
      </c>
      <c r="L48" s="28">
        <f>'3.sz.Önkormányzat'!K22+'4.sz.Cházi Közös Önk.Hiv.'!K8+'5.sz.Óvoda'!K10+'6.sz.Könyvtár'!K6+'7.sz.Műv.Ház'!K6+'8.sz.CSSK'!K8+'9.sz.Bölcsőde'!K6+'10.sz.KSZKI'!K13+'11.sz.Vízmű'!K6</f>
        <v>867422</v>
      </c>
    </row>
  </sheetData>
  <mergeCells count="12">
    <mergeCell ref="D39:K39"/>
    <mergeCell ref="M37:O39"/>
    <mergeCell ref="B1:O1"/>
    <mergeCell ref="B2:L2"/>
    <mergeCell ref="B3:C3"/>
    <mergeCell ref="B4:B5"/>
    <mergeCell ref="D3:H3"/>
    <mergeCell ref="I3:L3"/>
    <mergeCell ref="D37:K37"/>
    <mergeCell ref="D38:K38"/>
    <mergeCell ref="M2:O2"/>
    <mergeCell ref="M3:O3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72" orientation="landscape" r:id="rId1"/>
  <headerFooter>
    <oddHeader>&amp;R&amp;"-,Félkövér"1. számú melléklet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31"/>
  <sheetViews>
    <sheetView topLeftCell="A2" workbookViewId="0">
      <selection activeCell="B25" sqref="B25"/>
    </sheetView>
  </sheetViews>
  <sheetFormatPr defaultRowHeight="15"/>
  <cols>
    <col min="1" max="1" width="4.85546875" customWidth="1"/>
    <col min="2" max="2" width="57.5703125" bestFit="1" customWidth="1"/>
    <col min="3" max="3" width="17" customWidth="1"/>
    <col min="4" max="4" width="11" bestFit="1" customWidth="1"/>
    <col min="5" max="5" width="13.28515625" customWidth="1"/>
    <col min="6" max="6" width="13.85546875" bestFit="1" customWidth="1"/>
    <col min="7" max="7" width="11" bestFit="1" customWidth="1"/>
    <col min="8" max="8" width="13.140625" customWidth="1"/>
    <col min="9" max="9" width="12.28515625" customWidth="1"/>
    <col min="10" max="10" width="10" bestFit="1" customWidth="1"/>
    <col min="11" max="11" width="11" bestFit="1" customWidth="1"/>
    <col min="12" max="12" width="11.42578125" customWidth="1"/>
    <col min="13" max="13" width="10.7109375" customWidth="1"/>
    <col min="14" max="14" width="17.28515625" bestFit="1" customWidth="1"/>
  </cols>
  <sheetData>
    <row r="1" spans="1:15" s="1" customFormat="1">
      <c r="A1" s="224" t="s">
        <v>242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</row>
    <row r="2" spans="1:15" s="1" customFormat="1">
      <c r="A2" s="225" t="s">
        <v>9</v>
      </c>
      <c r="B2" s="226"/>
      <c r="C2" s="226"/>
      <c r="D2" s="226"/>
      <c r="E2" s="226"/>
      <c r="F2" s="226"/>
      <c r="G2" s="226"/>
      <c r="H2" s="226"/>
      <c r="I2" s="226"/>
      <c r="J2" s="226"/>
      <c r="K2" s="227"/>
      <c r="L2" s="224" t="s">
        <v>122</v>
      </c>
      <c r="M2" s="224"/>
      <c r="N2" s="224"/>
    </row>
    <row r="3" spans="1:15" s="3" customFormat="1" ht="15" customHeight="1">
      <c r="A3" s="228" t="s">
        <v>44</v>
      </c>
      <c r="B3" s="228"/>
      <c r="C3" s="215" t="s">
        <v>10</v>
      </c>
      <c r="D3" s="216"/>
      <c r="E3" s="216"/>
      <c r="F3" s="216"/>
      <c r="G3" s="231"/>
      <c r="H3" s="232" t="s">
        <v>11</v>
      </c>
      <c r="I3" s="233"/>
      <c r="J3" s="233"/>
      <c r="K3" s="234"/>
      <c r="L3" s="224" t="s">
        <v>13</v>
      </c>
      <c r="M3" s="224"/>
      <c r="N3" s="224"/>
    </row>
    <row r="4" spans="1:15" s="3" customFormat="1" ht="60">
      <c r="A4" s="229" t="s">
        <v>38</v>
      </c>
      <c r="B4" s="238" t="s">
        <v>73</v>
      </c>
      <c r="C4" s="4" t="s">
        <v>14</v>
      </c>
      <c r="D4" s="4" t="s">
        <v>15</v>
      </c>
      <c r="E4" s="4" t="s">
        <v>16</v>
      </c>
      <c r="F4" s="5" t="s">
        <v>48</v>
      </c>
      <c r="G4" s="56" t="s">
        <v>35</v>
      </c>
      <c r="H4" s="50" t="s">
        <v>17</v>
      </c>
      <c r="I4" s="5" t="s">
        <v>18</v>
      </c>
      <c r="J4" s="5" t="s">
        <v>36</v>
      </c>
      <c r="K4" s="5" t="s">
        <v>37</v>
      </c>
      <c r="L4" s="6" t="s">
        <v>19</v>
      </c>
      <c r="M4" s="6" t="s">
        <v>20</v>
      </c>
      <c r="N4" s="7" t="s">
        <v>21</v>
      </c>
    </row>
    <row r="5" spans="1:15" s="3" customFormat="1" ht="18" customHeight="1">
      <c r="A5" s="230"/>
      <c r="B5" s="239"/>
      <c r="C5" s="4">
        <f>SUM(C6:C20)</f>
        <v>95974</v>
      </c>
      <c r="D5" s="4">
        <f>SUM(D6:D21)</f>
        <v>233017</v>
      </c>
      <c r="E5" s="4">
        <f>SUM(E6:E20)</f>
        <v>62567</v>
      </c>
      <c r="F5" s="4">
        <f>SUM(F6:F20)</f>
        <v>167842</v>
      </c>
      <c r="G5" s="57">
        <f>SUM(C5:F5)</f>
        <v>559400</v>
      </c>
      <c r="H5" s="35">
        <f>SUM(H6:H21)</f>
        <v>384728</v>
      </c>
      <c r="I5" s="4">
        <f>SUM(I6:I21)</f>
        <v>146103</v>
      </c>
      <c r="J5" s="4">
        <f>SUM(J6:J21)</f>
        <v>15235</v>
      </c>
      <c r="K5" s="34">
        <f>SUM(H5:J5)</f>
        <v>546066</v>
      </c>
      <c r="L5" s="4">
        <v>5</v>
      </c>
      <c r="M5" s="9">
        <v>0</v>
      </c>
      <c r="N5" s="4">
        <v>177</v>
      </c>
      <c r="O5" s="45"/>
    </row>
    <row r="6" spans="1:15" s="14" customFormat="1">
      <c r="A6" s="36" t="s">
        <v>60</v>
      </c>
      <c r="B6" s="10" t="s">
        <v>39</v>
      </c>
      <c r="C6" s="11"/>
      <c r="D6" s="12">
        <v>10610</v>
      </c>
      <c r="E6" s="11"/>
      <c r="F6" s="11"/>
      <c r="G6" s="58">
        <f>SUM(C6:F6)</f>
        <v>10610</v>
      </c>
      <c r="H6" s="51">
        <v>0</v>
      </c>
      <c r="I6" s="43">
        <v>10610</v>
      </c>
      <c r="J6" s="11"/>
      <c r="K6" s="8">
        <f>SUM(H6:J6)</f>
        <v>10610</v>
      </c>
      <c r="L6" s="12"/>
      <c r="M6" s="13"/>
      <c r="N6" s="12"/>
      <c r="O6" s="62"/>
    </row>
    <row r="7" spans="1:15" s="16" customFormat="1">
      <c r="A7" s="37" t="s">
        <v>61</v>
      </c>
      <c r="B7" s="15" t="s">
        <v>40</v>
      </c>
      <c r="C7" s="11"/>
      <c r="D7" s="8">
        <v>356</v>
      </c>
      <c r="E7" s="11"/>
      <c r="F7" s="11"/>
      <c r="G7" s="58">
        <f t="shared" ref="G7:G21" si="0">SUM(C7:F7)</f>
        <v>356</v>
      </c>
      <c r="H7" s="52">
        <v>356</v>
      </c>
      <c r="I7" s="11"/>
      <c r="J7" s="11"/>
      <c r="K7" s="8">
        <f t="shared" ref="K7:K21" si="1">SUM(H7:J7)</f>
        <v>356</v>
      </c>
      <c r="L7" s="11">
        <v>0</v>
      </c>
      <c r="M7" s="11">
        <v>0</v>
      </c>
      <c r="N7" s="11">
        <v>0</v>
      </c>
    </row>
    <row r="8" spans="1:15" s="16" customFormat="1">
      <c r="A8" s="37" t="s">
        <v>61</v>
      </c>
      <c r="B8" s="15" t="s">
        <v>41</v>
      </c>
      <c r="C8" s="11"/>
      <c r="D8" s="11"/>
      <c r="E8" s="43">
        <v>8900</v>
      </c>
      <c r="F8" s="11"/>
      <c r="G8" s="58">
        <f t="shared" si="0"/>
        <v>8900</v>
      </c>
      <c r="H8" s="52">
        <v>9624</v>
      </c>
      <c r="I8" s="11"/>
      <c r="J8" s="11"/>
      <c r="K8" s="8">
        <f t="shared" si="1"/>
        <v>9624</v>
      </c>
      <c r="L8" s="11">
        <v>0</v>
      </c>
      <c r="M8" s="11">
        <v>0</v>
      </c>
      <c r="N8" s="11">
        <v>0</v>
      </c>
    </row>
    <row r="9" spans="1:15" s="16" customFormat="1">
      <c r="A9" s="37" t="s">
        <v>61</v>
      </c>
      <c r="B9" s="15" t="s">
        <v>42</v>
      </c>
      <c r="C9" s="11"/>
      <c r="D9" s="8">
        <v>5301</v>
      </c>
      <c r="E9" s="11"/>
      <c r="F9" s="11"/>
      <c r="G9" s="58">
        <f t="shared" si="0"/>
        <v>5301</v>
      </c>
      <c r="H9" s="53">
        <v>0</v>
      </c>
      <c r="I9" s="11"/>
      <c r="J9" s="11"/>
      <c r="K9" s="8">
        <f t="shared" si="1"/>
        <v>0</v>
      </c>
      <c r="L9" s="11">
        <v>0</v>
      </c>
      <c r="M9" s="11">
        <v>0</v>
      </c>
      <c r="N9" s="11">
        <v>0</v>
      </c>
    </row>
    <row r="10" spans="1:15" s="16" customFormat="1">
      <c r="A10" s="37" t="s">
        <v>60</v>
      </c>
      <c r="B10" s="15" t="s">
        <v>43</v>
      </c>
      <c r="C10" s="11"/>
      <c r="D10" s="8">
        <v>15810</v>
      </c>
      <c r="E10" s="11"/>
      <c r="F10" s="11"/>
      <c r="G10" s="58">
        <f t="shared" si="0"/>
        <v>15810</v>
      </c>
      <c r="H10" s="53">
        <v>0</v>
      </c>
      <c r="I10" s="8">
        <v>13820</v>
      </c>
      <c r="J10" s="11"/>
      <c r="K10" s="8">
        <f t="shared" si="1"/>
        <v>13820</v>
      </c>
      <c r="L10" s="11">
        <v>0</v>
      </c>
      <c r="M10" s="11">
        <v>0</v>
      </c>
      <c r="N10" s="11">
        <v>0</v>
      </c>
    </row>
    <row r="11" spans="1:15" s="16" customFormat="1" ht="33.75" customHeight="1">
      <c r="A11" s="37" t="s">
        <v>60</v>
      </c>
      <c r="B11" s="17" t="s">
        <v>47</v>
      </c>
      <c r="C11" s="11"/>
      <c r="D11" s="11"/>
      <c r="E11" s="11"/>
      <c r="F11" s="11"/>
      <c r="G11" s="58">
        <f t="shared" si="0"/>
        <v>0</v>
      </c>
      <c r="H11" s="52">
        <v>100034</v>
      </c>
      <c r="I11" s="8">
        <f>11862+65206+2617</f>
        <v>79685</v>
      </c>
      <c r="J11" s="11"/>
      <c r="K11" s="8">
        <f t="shared" si="1"/>
        <v>179719</v>
      </c>
      <c r="L11" s="11">
        <v>0</v>
      </c>
      <c r="M11" s="11">
        <v>0</v>
      </c>
      <c r="N11" s="11">
        <v>0</v>
      </c>
    </row>
    <row r="12" spans="1:15" s="16" customFormat="1">
      <c r="A12" s="37" t="s">
        <v>60</v>
      </c>
      <c r="B12" s="15" t="s">
        <v>45</v>
      </c>
      <c r="C12" s="11"/>
      <c r="D12" s="8">
        <v>4411</v>
      </c>
      <c r="E12" s="11"/>
      <c r="F12" s="11"/>
      <c r="G12" s="58">
        <f t="shared" si="0"/>
        <v>4411</v>
      </c>
      <c r="H12" s="53">
        <v>0</v>
      </c>
      <c r="I12" s="11"/>
      <c r="J12" s="11"/>
      <c r="K12" s="8">
        <f t="shared" si="1"/>
        <v>0</v>
      </c>
      <c r="L12" s="11">
        <v>0</v>
      </c>
      <c r="M12" s="11">
        <v>0</v>
      </c>
      <c r="N12" s="11">
        <v>0</v>
      </c>
    </row>
    <row r="13" spans="1:15" s="16" customFormat="1">
      <c r="A13" s="37" t="s">
        <v>60</v>
      </c>
      <c r="B13" s="15" t="s">
        <v>46</v>
      </c>
      <c r="C13" s="11"/>
      <c r="D13" s="11"/>
      <c r="E13" s="11"/>
      <c r="F13" s="43">
        <f>102636+65206</f>
        <v>167842</v>
      </c>
      <c r="G13" s="58">
        <f t="shared" si="0"/>
        <v>167842</v>
      </c>
      <c r="H13" s="53"/>
      <c r="I13" s="11"/>
      <c r="J13" s="11"/>
      <c r="K13" s="8">
        <f t="shared" si="1"/>
        <v>0</v>
      </c>
      <c r="L13" s="11"/>
      <c r="M13" s="11"/>
      <c r="N13" s="11"/>
    </row>
    <row r="14" spans="1:15" s="16" customFormat="1">
      <c r="A14" s="37" t="s">
        <v>60</v>
      </c>
      <c r="B14" s="15" t="s">
        <v>49</v>
      </c>
      <c r="C14" s="11"/>
      <c r="D14" s="8">
        <v>3566</v>
      </c>
      <c r="E14" s="11"/>
      <c r="F14" s="11"/>
      <c r="G14" s="58">
        <f t="shared" si="0"/>
        <v>3566</v>
      </c>
      <c r="H14" s="53"/>
      <c r="I14" s="38"/>
      <c r="J14" s="38"/>
      <c r="K14" s="8">
        <f t="shared" si="1"/>
        <v>0</v>
      </c>
      <c r="L14" s="11">
        <v>0</v>
      </c>
      <c r="M14" s="11">
        <v>0</v>
      </c>
      <c r="N14" s="11">
        <v>0</v>
      </c>
    </row>
    <row r="15" spans="1:15" s="16" customFormat="1">
      <c r="A15" s="37" t="s">
        <v>61</v>
      </c>
      <c r="B15" s="15" t="s">
        <v>50</v>
      </c>
      <c r="C15" s="11"/>
      <c r="D15" s="8">
        <v>5262</v>
      </c>
      <c r="E15" s="11"/>
      <c r="F15" s="11"/>
      <c r="G15" s="58">
        <f t="shared" si="0"/>
        <v>5262</v>
      </c>
      <c r="H15" s="53">
        <v>0</v>
      </c>
      <c r="I15" s="11"/>
      <c r="J15" s="11"/>
      <c r="K15" s="8">
        <f t="shared" si="1"/>
        <v>0</v>
      </c>
      <c r="L15" s="11">
        <v>0</v>
      </c>
      <c r="M15" s="11">
        <v>0</v>
      </c>
      <c r="N15" s="11">
        <v>0</v>
      </c>
    </row>
    <row r="16" spans="1:15" s="16" customFormat="1">
      <c r="A16" s="37" t="s">
        <v>60</v>
      </c>
      <c r="B16" s="15" t="s">
        <v>23</v>
      </c>
      <c r="C16" s="11"/>
      <c r="D16" s="8">
        <v>125101</v>
      </c>
      <c r="E16" s="11"/>
      <c r="F16" s="11"/>
      <c r="G16" s="58">
        <f t="shared" si="0"/>
        <v>125101</v>
      </c>
      <c r="H16" s="52">
        <v>94928</v>
      </c>
      <c r="I16" s="43">
        <v>40188</v>
      </c>
      <c r="J16" s="11"/>
      <c r="K16" s="8">
        <f t="shared" si="1"/>
        <v>135116</v>
      </c>
      <c r="L16" s="11">
        <v>0</v>
      </c>
      <c r="M16" s="11">
        <v>0</v>
      </c>
      <c r="N16" s="11">
        <v>0</v>
      </c>
    </row>
    <row r="17" spans="1:14" s="16" customFormat="1">
      <c r="A17" s="37" t="s">
        <v>60</v>
      </c>
      <c r="B17" s="15" t="s">
        <v>24</v>
      </c>
      <c r="C17" s="8">
        <v>82337</v>
      </c>
      <c r="D17" s="8">
        <v>41910</v>
      </c>
      <c r="E17" s="11"/>
      <c r="F17" s="11"/>
      <c r="G17" s="58">
        <f t="shared" si="0"/>
        <v>124247</v>
      </c>
      <c r="H17" s="52">
        <v>115762</v>
      </c>
      <c r="I17" s="11"/>
      <c r="J17" s="11"/>
      <c r="K17" s="8">
        <f t="shared" si="1"/>
        <v>115762</v>
      </c>
      <c r="L17" s="11">
        <v>0</v>
      </c>
      <c r="M17" s="11">
        <v>0</v>
      </c>
      <c r="N17" s="8">
        <v>177</v>
      </c>
    </row>
    <row r="18" spans="1:14" s="16" customFormat="1">
      <c r="A18" s="37" t="s">
        <v>61</v>
      </c>
      <c r="B18" s="15" t="s">
        <v>25</v>
      </c>
      <c r="C18" s="11"/>
      <c r="D18" s="11"/>
      <c r="E18" s="8">
        <v>53417</v>
      </c>
      <c r="F18" s="8"/>
      <c r="G18" s="58">
        <f t="shared" si="0"/>
        <v>53417</v>
      </c>
      <c r="H18" s="52">
        <v>51132</v>
      </c>
      <c r="I18" s="11"/>
      <c r="J18" s="11"/>
      <c r="K18" s="8">
        <v>51132</v>
      </c>
      <c r="L18" s="11">
        <v>0</v>
      </c>
      <c r="M18" s="11">
        <v>0</v>
      </c>
      <c r="N18" s="11">
        <v>0</v>
      </c>
    </row>
    <row r="19" spans="1:14" s="1" customFormat="1">
      <c r="A19" s="39" t="s">
        <v>60</v>
      </c>
      <c r="B19" s="18" t="s">
        <v>51</v>
      </c>
      <c r="C19" s="19">
        <v>7033</v>
      </c>
      <c r="D19" s="19">
        <v>1462</v>
      </c>
      <c r="E19" s="43">
        <v>250</v>
      </c>
      <c r="F19" s="11"/>
      <c r="G19" s="58">
        <f t="shared" si="0"/>
        <v>8745</v>
      </c>
      <c r="H19" s="54">
        <v>4128</v>
      </c>
      <c r="I19" s="11">
        <v>0</v>
      </c>
      <c r="J19" s="11"/>
      <c r="K19" s="8">
        <f t="shared" si="1"/>
        <v>4128</v>
      </c>
      <c r="L19" s="19">
        <v>3</v>
      </c>
      <c r="M19" s="11">
        <v>0</v>
      </c>
      <c r="N19" s="11">
        <v>0</v>
      </c>
    </row>
    <row r="20" spans="1:14" s="1" customFormat="1">
      <c r="A20" s="39" t="s">
        <v>60</v>
      </c>
      <c r="B20" s="18" t="s">
        <v>52</v>
      </c>
      <c r="C20" s="19">
        <v>6604</v>
      </c>
      <c r="D20" s="19">
        <v>1613</v>
      </c>
      <c r="E20" s="11"/>
      <c r="F20" s="11"/>
      <c r="G20" s="58">
        <f t="shared" si="0"/>
        <v>8217</v>
      </c>
      <c r="H20" s="54">
        <v>8184</v>
      </c>
      <c r="I20" s="11">
        <v>0</v>
      </c>
      <c r="J20" s="11"/>
      <c r="K20" s="8">
        <f t="shared" si="1"/>
        <v>8184</v>
      </c>
      <c r="L20" s="19">
        <v>2</v>
      </c>
      <c r="M20" s="11">
        <v>0</v>
      </c>
      <c r="N20" s="11">
        <v>0</v>
      </c>
    </row>
    <row r="21" spans="1:14" s="1" customFormat="1">
      <c r="A21" s="39" t="s">
        <v>61</v>
      </c>
      <c r="B21" s="15" t="s">
        <v>62</v>
      </c>
      <c r="C21" s="19">
        <v>0</v>
      </c>
      <c r="D21" s="19">
        <v>17615</v>
      </c>
      <c r="E21" s="11"/>
      <c r="F21" s="11"/>
      <c r="G21" s="58">
        <f t="shared" si="0"/>
        <v>17615</v>
      </c>
      <c r="H21" s="54">
        <v>580</v>
      </c>
      <c r="I21" s="43">
        <v>1800</v>
      </c>
      <c r="J21" s="43">
        <v>15235</v>
      </c>
      <c r="K21" s="8">
        <f t="shared" si="1"/>
        <v>17615</v>
      </c>
      <c r="L21" s="11">
        <v>0</v>
      </c>
      <c r="M21" s="11">
        <v>0</v>
      </c>
      <c r="N21" s="11">
        <v>0</v>
      </c>
    </row>
    <row r="22" spans="1:14">
      <c r="A22" s="211" t="s">
        <v>74</v>
      </c>
      <c r="B22" s="211"/>
      <c r="C22" s="64">
        <f>SUM(C6:C21)</f>
        <v>95974</v>
      </c>
      <c r="D22" s="64">
        <f t="shared" ref="D22:F22" si="2">SUM(D6:D21)</f>
        <v>233017</v>
      </c>
      <c r="E22" s="64">
        <f t="shared" si="2"/>
        <v>62567</v>
      </c>
      <c r="F22" s="64">
        <f t="shared" si="2"/>
        <v>167842</v>
      </c>
      <c r="G22" s="64">
        <f>SUM(C22:F22)</f>
        <v>559400</v>
      </c>
      <c r="H22" s="64">
        <f>SUM(H6:H21)</f>
        <v>384728</v>
      </c>
      <c r="I22" s="64">
        <f t="shared" ref="I22:J22" si="3">SUM(I6:I21)</f>
        <v>146103</v>
      </c>
      <c r="J22" s="64">
        <f t="shared" si="3"/>
        <v>15235</v>
      </c>
      <c r="K22" s="64">
        <f>SUM(H22:J22)</f>
        <v>546066</v>
      </c>
      <c r="L22" s="65"/>
      <c r="M22" s="65"/>
      <c r="N22" s="65"/>
    </row>
    <row r="23" spans="1:14">
      <c r="K23" s="297"/>
    </row>
    <row r="31" spans="1:14">
      <c r="B31" s="32" t="s">
        <v>119</v>
      </c>
    </row>
  </sheetData>
  <mergeCells count="10">
    <mergeCell ref="A4:A5"/>
    <mergeCell ref="A22:B22"/>
    <mergeCell ref="B4:B5"/>
    <mergeCell ref="A1:N1"/>
    <mergeCell ref="A2:K2"/>
    <mergeCell ref="L2:N2"/>
    <mergeCell ref="A3:B3"/>
    <mergeCell ref="C3:G3"/>
    <mergeCell ref="H3:K3"/>
    <mergeCell ref="L3:N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11"/>
  <sheetViews>
    <sheetView workbookViewId="0">
      <selection activeCell="C29" sqref="C29"/>
    </sheetView>
  </sheetViews>
  <sheetFormatPr defaultRowHeight="15"/>
  <cols>
    <col min="1" max="1" width="5.140625" customWidth="1"/>
    <col min="2" max="2" width="48.140625" bestFit="1" customWidth="1"/>
    <col min="3" max="3" width="17.85546875" bestFit="1" customWidth="1"/>
    <col min="5" max="5" width="14.140625" bestFit="1" customWidth="1"/>
    <col min="6" max="6" width="13.85546875" customWidth="1"/>
    <col min="7" max="7" width="10" bestFit="1" customWidth="1"/>
    <col min="8" max="8" width="11.42578125" customWidth="1"/>
    <col min="9" max="9" width="10" bestFit="1" customWidth="1"/>
    <col min="10" max="10" width="11.85546875" customWidth="1"/>
    <col min="11" max="11" width="10" bestFit="1" customWidth="1"/>
    <col min="12" max="12" width="12" customWidth="1"/>
    <col min="13" max="13" width="13.5703125" customWidth="1"/>
    <col min="14" max="14" width="16.5703125" customWidth="1"/>
  </cols>
  <sheetData>
    <row r="1" spans="1:14" s="1" customFormat="1">
      <c r="A1" s="224" t="s">
        <v>72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</row>
    <row r="2" spans="1:14" s="1" customFormat="1">
      <c r="A2" s="225" t="s">
        <v>9</v>
      </c>
      <c r="B2" s="226"/>
      <c r="C2" s="226"/>
      <c r="D2" s="226"/>
      <c r="E2" s="226"/>
      <c r="F2" s="226"/>
      <c r="G2" s="226"/>
      <c r="H2" s="226"/>
      <c r="I2" s="226"/>
      <c r="J2" s="226"/>
      <c r="K2" s="227"/>
      <c r="L2" s="224" t="s">
        <v>123</v>
      </c>
      <c r="M2" s="224"/>
      <c r="N2" s="224"/>
    </row>
    <row r="3" spans="1:14" s="3" customFormat="1" ht="15" customHeight="1">
      <c r="A3" s="228" t="s">
        <v>44</v>
      </c>
      <c r="B3" s="228"/>
      <c r="C3" s="215" t="s">
        <v>10</v>
      </c>
      <c r="D3" s="216"/>
      <c r="E3" s="216"/>
      <c r="F3" s="216"/>
      <c r="G3" s="231"/>
      <c r="H3" s="232" t="s">
        <v>11</v>
      </c>
      <c r="I3" s="233"/>
      <c r="J3" s="233"/>
      <c r="K3" s="234"/>
      <c r="L3" s="224" t="s">
        <v>13</v>
      </c>
      <c r="M3" s="224"/>
      <c r="N3" s="224"/>
    </row>
    <row r="4" spans="1:14" s="3" customFormat="1" ht="61.5" customHeight="1">
      <c r="A4" s="240" t="s">
        <v>38</v>
      </c>
      <c r="B4" s="241" t="s">
        <v>53</v>
      </c>
      <c r="C4" s="4" t="s">
        <v>14</v>
      </c>
      <c r="D4" s="4" t="s">
        <v>15</v>
      </c>
      <c r="E4" s="4" t="s">
        <v>16</v>
      </c>
      <c r="F4" s="5" t="s">
        <v>48</v>
      </c>
      <c r="G4" s="56" t="s">
        <v>35</v>
      </c>
      <c r="H4" s="50" t="s">
        <v>17</v>
      </c>
      <c r="I4" s="5" t="s">
        <v>18</v>
      </c>
      <c r="J4" s="5" t="s">
        <v>36</v>
      </c>
      <c r="K4" s="5" t="s">
        <v>37</v>
      </c>
      <c r="L4" s="6" t="s">
        <v>19</v>
      </c>
      <c r="M4" s="6" t="s">
        <v>20</v>
      </c>
      <c r="N4" s="7" t="s">
        <v>21</v>
      </c>
    </row>
    <row r="5" spans="1:14" s="25" customFormat="1">
      <c r="A5" s="240"/>
      <c r="B5" s="242"/>
      <c r="C5" s="24">
        <f>SUM(C6:C7)</f>
        <v>70053</v>
      </c>
      <c r="D5" s="24">
        <f>SUM(D6:D7)</f>
        <v>8500</v>
      </c>
      <c r="E5" s="21"/>
      <c r="F5" s="21"/>
      <c r="G5" s="59">
        <f>SUM(C5:F5)</f>
        <v>78553</v>
      </c>
      <c r="H5" s="55"/>
      <c r="I5" s="24">
        <f>SUM(I6:I7)</f>
        <v>60868</v>
      </c>
      <c r="J5" s="24">
        <f>SUM(J6:J7)</f>
        <v>17685</v>
      </c>
      <c r="K5" s="8">
        <f>SUM(H5:J5)</f>
        <v>78553</v>
      </c>
      <c r="L5" s="24">
        <v>20</v>
      </c>
      <c r="M5" s="21">
        <v>0</v>
      </c>
      <c r="N5" s="21">
        <v>0</v>
      </c>
    </row>
    <row r="6" spans="1:14" s="16" customFormat="1" ht="25.5">
      <c r="A6" s="37" t="s">
        <v>63</v>
      </c>
      <c r="B6" s="47" t="s">
        <v>54</v>
      </c>
      <c r="C6" s="8">
        <v>55879</v>
      </c>
      <c r="D6" s="8">
        <v>8500</v>
      </c>
      <c r="E6" s="11"/>
      <c r="F6" s="11"/>
      <c r="G6" s="58">
        <f>SUM(C6:F6)</f>
        <v>64379</v>
      </c>
      <c r="H6" s="53"/>
      <c r="I6" s="8">
        <v>60868</v>
      </c>
      <c r="J6" s="43">
        <f>3511+14174</f>
        <v>17685</v>
      </c>
      <c r="K6" s="8">
        <f>SUM(H6:J6)</f>
        <v>78553</v>
      </c>
      <c r="L6" s="8">
        <v>18</v>
      </c>
      <c r="M6" s="11">
        <v>0</v>
      </c>
      <c r="N6" s="11">
        <v>0</v>
      </c>
    </row>
    <row r="7" spans="1:14" s="16" customFormat="1" ht="15.75" thickBot="1">
      <c r="A7" s="105" t="s">
        <v>60</v>
      </c>
      <c r="B7" s="106" t="s">
        <v>26</v>
      </c>
      <c r="C7" s="107">
        <v>14174</v>
      </c>
      <c r="D7" s="108"/>
      <c r="E7" s="108"/>
      <c r="F7" s="108"/>
      <c r="G7" s="109">
        <f>SUM(C7:F7)</f>
        <v>14174</v>
      </c>
      <c r="H7" s="110"/>
      <c r="I7" s="111"/>
      <c r="J7" s="111"/>
      <c r="K7" s="111"/>
      <c r="L7" s="107">
        <v>2</v>
      </c>
      <c r="M7" s="108">
        <v>0</v>
      </c>
      <c r="N7" s="108">
        <v>0</v>
      </c>
    </row>
    <row r="8" spans="1:14" s="68" customFormat="1" ht="15.75" thickBot="1">
      <c r="A8" s="243" t="s">
        <v>33</v>
      </c>
      <c r="B8" s="244"/>
      <c r="C8" s="91">
        <f>SUM(C6:C7)</f>
        <v>70053</v>
      </c>
      <c r="D8" s="91">
        <f t="shared" ref="D8:N8" si="0">SUM(D6:D7)</f>
        <v>8500</v>
      </c>
      <c r="E8" s="92"/>
      <c r="F8" s="92"/>
      <c r="G8" s="91">
        <f t="shared" si="0"/>
        <v>78553</v>
      </c>
      <c r="H8" s="92"/>
      <c r="I8" s="91">
        <f t="shared" si="0"/>
        <v>60868</v>
      </c>
      <c r="J8" s="91">
        <f t="shared" si="0"/>
        <v>17685</v>
      </c>
      <c r="K8" s="91">
        <f t="shared" si="0"/>
        <v>78553</v>
      </c>
      <c r="L8" s="91">
        <f t="shared" si="0"/>
        <v>20</v>
      </c>
      <c r="M8" s="91">
        <f t="shared" si="0"/>
        <v>0</v>
      </c>
      <c r="N8" s="93">
        <f t="shared" si="0"/>
        <v>0</v>
      </c>
    </row>
    <row r="11" spans="1:14">
      <c r="B11" s="32" t="s">
        <v>119</v>
      </c>
    </row>
  </sheetData>
  <mergeCells count="10">
    <mergeCell ref="A4:A5"/>
    <mergeCell ref="B4:B5"/>
    <mergeCell ref="A8:B8"/>
    <mergeCell ref="A1:N1"/>
    <mergeCell ref="A2:K2"/>
    <mergeCell ref="L2:N2"/>
    <mergeCell ref="A3:B3"/>
    <mergeCell ref="C3:G3"/>
    <mergeCell ref="H3:K3"/>
    <mergeCell ref="L3:N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N13"/>
  <sheetViews>
    <sheetView workbookViewId="0">
      <selection activeCell="L8" sqref="L8"/>
    </sheetView>
  </sheetViews>
  <sheetFormatPr defaultRowHeight="15"/>
  <cols>
    <col min="1" max="1" width="5.140625" style="82" customWidth="1"/>
    <col min="2" max="2" width="56" style="82" bestFit="1" customWidth="1"/>
    <col min="3" max="3" width="16.5703125" style="82" customWidth="1"/>
    <col min="4" max="4" width="11.42578125" style="82" customWidth="1"/>
    <col min="5" max="6" width="14.42578125" style="82" customWidth="1"/>
    <col min="7" max="7" width="10" style="82" bestFit="1" customWidth="1"/>
    <col min="8" max="8" width="12.42578125" style="82" customWidth="1"/>
    <col min="9" max="9" width="10" style="82" bestFit="1" customWidth="1"/>
    <col min="10" max="10" width="12.42578125" style="82" customWidth="1"/>
    <col min="11" max="11" width="10" style="82" bestFit="1" customWidth="1"/>
    <col min="12" max="12" width="10.42578125" style="82" customWidth="1"/>
    <col min="13" max="13" width="11.140625" style="82" customWidth="1"/>
    <col min="14" max="14" width="17.42578125" style="82" customWidth="1"/>
    <col min="15" max="16384" width="9.140625" style="82"/>
  </cols>
  <sheetData>
    <row r="1" spans="1:14" s="1" customFormat="1">
      <c r="A1" s="224" t="s">
        <v>75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</row>
    <row r="2" spans="1:14" s="1" customFormat="1">
      <c r="A2" s="225" t="s">
        <v>9</v>
      </c>
      <c r="B2" s="226"/>
      <c r="C2" s="226"/>
      <c r="D2" s="226"/>
      <c r="E2" s="226"/>
      <c r="F2" s="226"/>
      <c r="G2" s="226"/>
      <c r="H2" s="226"/>
      <c r="I2" s="226"/>
      <c r="J2" s="226"/>
      <c r="K2" s="227"/>
      <c r="L2" s="224" t="s">
        <v>124</v>
      </c>
      <c r="M2" s="224"/>
      <c r="N2" s="224"/>
    </row>
    <row r="3" spans="1:14" s="3" customFormat="1" ht="15" customHeight="1">
      <c r="A3" s="224" t="s">
        <v>44</v>
      </c>
      <c r="B3" s="224"/>
      <c r="C3" s="215" t="s">
        <v>10</v>
      </c>
      <c r="D3" s="216"/>
      <c r="E3" s="216"/>
      <c r="F3" s="216"/>
      <c r="G3" s="231"/>
      <c r="H3" s="232" t="s">
        <v>11</v>
      </c>
      <c r="I3" s="233"/>
      <c r="J3" s="233"/>
      <c r="K3" s="251"/>
      <c r="L3" s="234" t="s">
        <v>13</v>
      </c>
      <c r="M3" s="224"/>
      <c r="N3" s="224"/>
    </row>
    <row r="4" spans="1:14" s="3" customFormat="1" ht="61.5" customHeight="1">
      <c r="A4" s="247" t="s">
        <v>38</v>
      </c>
      <c r="B4" s="249" t="s">
        <v>55</v>
      </c>
      <c r="C4" s="4" t="s">
        <v>14</v>
      </c>
      <c r="D4" s="4" t="s">
        <v>15</v>
      </c>
      <c r="E4" s="4" t="s">
        <v>16</v>
      </c>
      <c r="F4" s="5" t="s">
        <v>48</v>
      </c>
      <c r="G4" s="56" t="s">
        <v>35</v>
      </c>
      <c r="H4" s="70" t="s">
        <v>17</v>
      </c>
      <c r="I4" s="5" t="s">
        <v>18</v>
      </c>
      <c r="J4" s="5" t="s">
        <v>36</v>
      </c>
      <c r="K4" s="56" t="s">
        <v>37</v>
      </c>
      <c r="L4" s="69" t="s">
        <v>19</v>
      </c>
      <c r="M4" s="6" t="s">
        <v>20</v>
      </c>
      <c r="N4" s="7" t="s">
        <v>21</v>
      </c>
    </row>
    <row r="5" spans="1:14" s="22" customFormat="1">
      <c r="A5" s="248"/>
      <c r="B5" s="250"/>
      <c r="C5" s="20">
        <f>SUM(C6:C9)</f>
        <v>68235</v>
      </c>
      <c r="D5" s="20">
        <f t="shared" ref="D5:E5" si="0">SUM(D6:D9)</f>
        <v>12863</v>
      </c>
      <c r="E5" s="20">
        <f t="shared" si="0"/>
        <v>1400</v>
      </c>
      <c r="F5" s="21"/>
      <c r="G5" s="59">
        <f>SUM(C5:F5)</f>
        <v>82498</v>
      </c>
      <c r="H5" s="71">
        <f>SUM(H6,H9)</f>
        <v>16566</v>
      </c>
      <c r="I5" s="20">
        <f>SUM(I6:I9)</f>
        <v>63762</v>
      </c>
      <c r="J5" s="20">
        <f>SUM(J6:J9)</f>
        <v>2170</v>
      </c>
      <c r="K5" s="72">
        <f>SUM(H5:J5)</f>
        <v>82498</v>
      </c>
      <c r="L5" s="49">
        <v>20</v>
      </c>
      <c r="M5" s="21"/>
      <c r="N5" s="21">
        <v>0</v>
      </c>
    </row>
    <row r="6" spans="1:14" s="1" customFormat="1">
      <c r="A6" s="39" t="s">
        <v>60</v>
      </c>
      <c r="B6" s="36" t="s">
        <v>56</v>
      </c>
      <c r="C6" s="19">
        <f>42491+11472</f>
        <v>53963</v>
      </c>
      <c r="D6" s="11"/>
      <c r="E6" s="11"/>
      <c r="F6" s="11"/>
      <c r="G6" s="58">
        <f t="shared" ref="G6:G9" si="1">SUM(C6:F6)</f>
        <v>53963</v>
      </c>
      <c r="H6" s="73"/>
      <c r="I6" s="19">
        <v>56706</v>
      </c>
      <c r="J6" s="44"/>
      <c r="K6" s="74">
        <f>SUM(H6:J6)</f>
        <v>56706</v>
      </c>
      <c r="L6" s="54">
        <v>18</v>
      </c>
      <c r="M6" s="11"/>
      <c r="N6" s="11">
        <v>0</v>
      </c>
    </row>
    <row r="7" spans="1:14" s="1" customFormat="1">
      <c r="A7" s="39" t="s">
        <v>60</v>
      </c>
      <c r="B7" s="36" t="s">
        <v>57</v>
      </c>
      <c r="C7" s="19">
        <f>3168+855</f>
        <v>4023</v>
      </c>
      <c r="D7" s="19">
        <v>5301</v>
      </c>
      <c r="E7" s="43">
        <v>1400</v>
      </c>
      <c r="F7" s="11"/>
      <c r="G7" s="58">
        <f t="shared" si="1"/>
        <v>10724</v>
      </c>
      <c r="H7" s="73"/>
      <c r="I7" s="43">
        <v>7056</v>
      </c>
      <c r="J7" s="43">
        <v>2170</v>
      </c>
      <c r="K7" s="72">
        <f>SUM(H7:J7)</f>
        <v>9226</v>
      </c>
      <c r="L7" s="54">
        <v>2</v>
      </c>
      <c r="M7" s="11"/>
      <c r="N7" s="11">
        <v>0</v>
      </c>
    </row>
    <row r="8" spans="1:14" s="1" customFormat="1">
      <c r="A8" s="39" t="s">
        <v>60</v>
      </c>
      <c r="B8" s="36" t="s">
        <v>58</v>
      </c>
      <c r="C8" s="19">
        <v>1245</v>
      </c>
      <c r="D8" s="11"/>
      <c r="E8" s="11"/>
      <c r="F8" s="11"/>
      <c r="G8" s="58">
        <f t="shared" si="1"/>
        <v>1245</v>
      </c>
      <c r="H8" s="73"/>
      <c r="I8" s="11"/>
      <c r="J8" s="11"/>
      <c r="K8" s="60"/>
      <c r="L8" s="53"/>
      <c r="M8" s="11"/>
      <c r="N8" s="11">
        <v>0</v>
      </c>
    </row>
    <row r="9" spans="1:14" s="1" customFormat="1" ht="15.75" thickBot="1">
      <c r="A9" s="119" t="s">
        <v>61</v>
      </c>
      <c r="B9" s="125" t="s">
        <v>59</v>
      </c>
      <c r="C9" s="121">
        <f>7198+1806</f>
        <v>9004</v>
      </c>
      <c r="D9" s="121">
        <v>7562</v>
      </c>
      <c r="E9" s="108"/>
      <c r="F9" s="108"/>
      <c r="G9" s="109">
        <f t="shared" si="1"/>
        <v>16566</v>
      </c>
      <c r="H9" s="126">
        <v>16566</v>
      </c>
      <c r="I9" s="108"/>
      <c r="J9" s="108"/>
      <c r="K9" s="127">
        <f t="shared" ref="K9" si="2">SUM(H9:J9)</f>
        <v>16566</v>
      </c>
      <c r="L9" s="66"/>
      <c r="M9" s="108"/>
      <c r="N9" s="108">
        <v>0</v>
      </c>
    </row>
    <row r="10" spans="1:14" s="68" customFormat="1" ht="15.75" thickBot="1">
      <c r="A10" s="245" t="s">
        <v>33</v>
      </c>
      <c r="B10" s="246"/>
      <c r="C10" s="91">
        <f>SUM(C6:C9)</f>
        <v>68235</v>
      </c>
      <c r="D10" s="91">
        <f t="shared" ref="D10:K10" si="3">SUM(D6:D9)</f>
        <v>12863</v>
      </c>
      <c r="E10" s="91">
        <f t="shared" si="3"/>
        <v>1400</v>
      </c>
      <c r="F10" s="91">
        <f t="shared" si="3"/>
        <v>0</v>
      </c>
      <c r="G10" s="91">
        <f t="shared" si="3"/>
        <v>82498</v>
      </c>
      <c r="H10" s="91">
        <f t="shared" si="3"/>
        <v>16566</v>
      </c>
      <c r="I10" s="91">
        <f t="shared" si="3"/>
        <v>63762</v>
      </c>
      <c r="J10" s="91">
        <f t="shared" si="3"/>
        <v>2170</v>
      </c>
      <c r="K10" s="91">
        <f t="shared" si="3"/>
        <v>82498</v>
      </c>
      <c r="L10" s="92"/>
      <c r="M10" s="92"/>
      <c r="N10" s="117"/>
    </row>
    <row r="13" spans="1:14">
      <c r="B13" s="32" t="s">
        <v>119</v>
      </c>
    </row>
  </sheetData>
  <mergeCells count="10">
    <mergeCell ref="A10:B10"/>
    <mergeCell ref="A4:A5"/>
    <mergeCell ref="B4:B5"/>
    <mergeCell ref="A1:N1"/>
    <mergeCell ref="A2:K2"/>
    <mergeCell ref="L2:N2"/>
    <mergeCell ref="A3:B3"/>
    <mergeCell ref="C3:G3"/>
    <mergeCell ref="H3:K3"/>
    <mergeCell ref="L3:N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N9"/>
  <sheetViews>
    <sheetView workbookViewId="0">
      <selection activeCell="E16" sqref="E16"/>
    </sheetView>
  </sheetViews>
  <sheetFormatPr defaultRowHeight="15"/>
  <cols>
    <col min="1" max="1" width="7.7109375" style="82" customWidth="1"/>
    <col min="2" max="2" width="35.140625" style="82" customWidth="1"/>
    <col min="3" max="3" width="12.7109375" style="82" customWidth="1"/>
    <col min="4" max="4" width="13" style="82" customWidth="1"/>
    <col min="5" max="5" width="14.140625" style="82" bestFit="1" customWidth="1"/>
    <col min="6" max="6" width="13.85546875" style="82" bestFit="1" customWidth="1"/>
    <col min="7" max="7" width="13.85546875" style="82" customWidth="1"/>
    <col min="8" max="8" width="11.42578125" style="82" bestFit="1" customWidth="1"/>
    <col min="9" max="9" width="11.42578125" style="82" customWidth="1"/>
    <col min="10" max="10" width="12" style="82" customWidth="1"/>
    <col min="11" max="11" width="9.140625" style="82"/>
    <col min="12" max="12" width="10.85546875" style="82" customWidth="1"/>
    <col min="13" max="13" width="10.42578125" style="82" customWidth="1"/>
    <col min="14" max="14" width="17.28515625" style="82" bestFit="1" customWidth="1"/>
    <col min="15" max="16384" width="9.140625" style="82"/>
  </cols>
  <sheetData>
    <row r="1" spans="1:14" s="1" customFormat="1">
      <c r="A1" s="224" t="s">
        <v>85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</row>
    <row r="2" spans="1:14" s="1" customFormat="1">
      <c r="A2" s="225" t="s">
        <v>9</v>
      </c>
      <c r="B2" s="226"/>
      <c r="C2" s="226"/>
      <c r="D2" s="226"/>
      <c r="E2" s="226"/>
      <c r="F2" s="226"/>
      <c r="G2" s="226"/>
      <c r="H2" s="226"/>
      <c r="I2" s="226"/>
      <c r="J2" s="226"/>
      <c r="K2" s="227"/>
      <c r="L2" s="224" t="s">
        <v>125</v>
      </c>
      <c r="M2" s="224"/>
      <c r="N2" s="224"/>
    </row>
    <row r="3" spans="1:14" s="3" customFormat="1" ht="15" customHeight="1">
      <c r="A3" s="224" t="s">
        <v>44</v>
      </c>
      <c r="B3" s="224"/>
      <c r="C3" s="215" t="s">
        <v>10</v>
      </c>
      <c r="D3" s="216"/>
      <c r="E3" s="216"/>
      <c r="F3" s="216"/>
      <c r="G3" s="231"/>
      <c r="H3" s="232" t="s">
        <v>11</v>
      </c>
      <c r="I3" s="233"/>
      <c r="J3" s="233"/>
      <c r="K3" s="234"/>
      <c r="L3" s="224" t="s">
        <v>13</v>
      </c>
      <c r="M3" s="224"/>
      <c r="N3" s="224"/>
    </row>
    <row r="4" spans="1:14" s="3" customFormat="1" ht="66.75" customHeight="1">
      <c r="A4" s="76" t="s">
        <v>38</v>
      </c>
      <c r="B4" s="104" t="s">
        <v>86</v>
      </c>
      <c r="C4" s="5" t="s">
        <v>77</v>
      </c>
      <c r="D4" s="4" t="s">
        <v>15</v>
      </c>
      <c r="E4" s="4" t="s">
        <v>16</v>
      </c>
      <c r="F4" s="5" t="s">
        <v>48</v>
      </c>
      <c r="G4" s="56" t="s">
        <v>35</v>
      </c>
      <c r="H4" s="50" t="s">
        <v>17</v>
      </c>
      <c r="I4" s="5" t="s">
        <v>18</v>
      </c>
      <c r="J4" s="5" t="s">
        <v>36</v>
      </c>
      <c r="K4" s="5" t="s">
        <v>37</v>
      </c>
      <c r="L4" s="6" t="s">
        <v>19</v>
      </c>
      <c r="M4" s="6" t="s">
        <v>20</v>
      </c>
      <c r="N4" s="7" t="s">
        <v>21</v>
      </c>
    </row>
    <row r="5" spans="1:14" s="22" customFormat="1" ht="15.75" thickBot="1">
      <c r="A5" s="112" t="s">
        <v>60</v>
      </c>
      <c r="B5" s="124" t="s">
        <v>76</v>
      </c>
      <c r="C5" s="48">
        <v>5546</v>
      </c>
      <c r="D5" s="48">
        <v>1208</v>
      </c>
      <c r="E5" s="113"/>
      <c r="F5" s="113"/>
      <c r="G5" s="114">
        <f>SUM(C5:F5)</f>
        <v>6754</v>
      </c>
      <c r="H5" s="115">
        <v>500</v>
      </c>
      <c r="I5" s="48">
        <v>2469</v>
      </c>
      <c r="J5" s="48">
        <v>3785</v>
      </c>
      <c r="K5" s="116">
        <f>SUM(H5:J5)</f>
        <v>6754</v>
      </c>
      <c r="L5" s="48">
        <v>2</v>
      </c>
      <c r="M5" s="113"/>
      <c r="N5" s="113"/>
    </row>
    <row r="6" spans="1:14" s="68" customFormat="1" ht="15.75" thickBot="1">
      <c r="A6" s="243" t="s">
        <v>33</v>
      </c>
      <c r="B6" s="244"/>
      <c r="C6" s="91">
        <f>SUM(C5)</f>
        <v>5546</v>
      </c>
      <c r="D6" s="91">
        <f t="shared" ref="D6:L6" si="0">SUM(D5)</f>
        <v>1208</v>
      </c>
      <c r="E6" s="92"/>
      <c r="F6" s="92"/>
      <c r="G6" s="91">
        <f t="shared" si="0"/>
        <v>6754</v>
      </c>
      <c r="H6" s="91">
        <f t="shared" si="0"/>
        <v>500</v>
      </c>
      <c r="I6" s="91">
        <f t="shared" si="0"/>
        <v>2469</v>
      </c>
      <c r="J6" s="91">
        <f t="shared" si="0"/>
        <v>3785</v>
      </c>
      <c r="K6" s="91">
        <f t="shared" si="0"/>
        <v>6754</v>
      </c>
      <c r="L6" s="91">
        <f t="shared" si="0"/>
        <v>2</v>
      </c>
      <c r="M6" s="92"/>
      <c r="N6" s="117"/>
    </row>
    <row r="9" spans="1:14">
      <c r="B9" s="32" t="s">
        <v>119</v>
      </c>
    </row>
  </sheetData>
  <mergeCells count="8">
    <mergeCell ref="A6:B6"/>
    <mergeCell ref="A1:N1"/>
    <mergeCell ref="A2:K2"/>
    <mergeCell ref="L2:N2"/>
    <mergeCell ref="A3:B3"/>
    <mergeCell ref="C3:G3"/>
    <mergeCell ref="H3:K3"/>
    <mergeCell ref="L3:N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N9"/>
  <sheetViews>
    <sheetView workbookViewId="0">
      <selection activeCell="F27" sqref="F27"/>
    </sheetView>
  </sheetViews>
  <sheetFormatPr defaultRowHeight="15"/>
  <cols>
    <col min="1" max="1" width="3.7109375" style="82" customWidth="1"/>
    <col min="2" max="2" width="63.85546875" style="82" bestFit="1" customWidth="1"/>
    <col min="3" max="3" width="10.5703125" style="82" customWidth="1"/>
    <col min="4" max="4" width="9.140625" style="82"/>
    <col min="5" max="5" width="13.140625" style="82" customWidth="1"/>
    <col min="6" max="6" width="13.85546875" style="82" bestFit="1" customWidth="1"/>
    <col min="7" max="7" width="10" style="82" bestFit="1" customWidth="1"/>
    <col min="8" max="8" width="11.42578125" style="82" bestFit="1" customWidth="1"/>
    <col min="9" max="9" width="12" style="82" customWidth="1"/>
    <col min="10" max="10" width="13.7109375" style="82" customWidth="1"/>
    <col min="11" max="11" width="10" style="82" bestFit="1" customWidth="1"/>
    <col min="12" max="13" width="9.140625" style="82"/>
    <col min="14" max="14" width="17.28515625" style="82" bestFit="1" customWidth="1"/>
    <col min="15" max="16384" width="9.140625" style="82"/>
  </cols>
  <sheetData>
    <row r="1" spans="1:14" s="1" customFormat="1">
      <c r="A1" s="224" t="s">
        <v>84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</row>
    <row r="2" spans="1:14" s="1" customFormat="1">
      <c r="A2" s="225" t="s">
        <v>9</v>
      </c>
      <c r="B2" s="226"/>
      <c r="C2" s="226"/>
      <c r="D2" s="226"/>
      <c r="E2" s="226"/>
      <c r="F2" s="226"/>
      <c r="G2" s="226"/>
      <c r="H2" s="226"/>
      <c r="I2" s="226"/>
      <c r="J2" s="226"/>
      <c r="K2" s="227"/>
      <c r="L2" s="224" t="s">
        <v>126</v>
      </c>
      <c r="M2" s="224"/>
      <c r="N2" s="224"/>
    </row>
    <row r="3" spans="1:14" s="3" customFormat="1" ht="15" customHeight="1">
      <c r="A3" s="224" t="s">
        <v>44</v>
      </c>
      <c r="B3" s="224"/>
      <c r="C3" s="215" t="s">
        <v>10</v>
      </c>
      <c r="D3" s="216"/>
      <c r="E3" s="216"/>
      <c r="F3" s="216"/>
      <c r="G3" s="231"/>
      <c r="H3" s="232" t="s">
        <v>11</v>
      </c>
      <c r="I3" s="233"/>
      <c r="J3" s="233"/>
      <c r="K3" s="234"/>
      <c r="L3" s="224" t="s">
        <v>13</v>
      </c>
      <c r="M3" s="224"/>
      <c r="N3" s="224"/>
    </row>
    <row r="4" spans="1:14" s="3" customFormat="1" ht="66.75" customHeight="1">
      <c r="A4" s="76" t="s">
        <v>38</v>
      </c>
      <c r="B4" s="104" t="s">
        <v>28</v>
      </c>
      <c r="C4" s="5" t="s">
        <v>77</v>
      </c>
      <c r="D4" s="4" t="s">
        <v>15</v>
      </c>
      <c r="E4" s="4" t="s">
        <v>16</v>
      </c>
      <c r="F4" s="5" t="s">
        <v>48</v>
      </c>
      <c r="G4" s="56" t="s">
        <v>35</v>
      </c>
      <c r="H4" s="50" t="s">
        <v>17</v>
      </c>
      <c r="I4" s="5" t="s">
        <v>18</v>
      </c>
      <c r="J4" s="5" t="s">
        <v>36</v>
      </c>
      <c r="K4" s="5" t="s">
        <v>37</v>
      </c>
      <c r="L4" s="6" t="s">
        <v>19</v>
      </c>
      <c r="M4" s="6" t="s">
        <v>20</v>
      </c>
      <c r="N4" s="7" t="s">
        <v>21</v>
      </c>
    </row>
    <row r="5" spans="1:14" s="1" customFormat="1" ht="15.75" thickBot="1">
      <c r="A5" s="119" t="s">
        <v>60</v>
      </c>
      <c r="B5" s="120" t="s">
        <v>78</v>
      </c>
      <c r="C5" s="121">
        <v>8863</v>
      </c>
      <c r="D5" s="121">
        <v>5510</v>
      </c>
      <c r="E5" s="121">
        <v>300</v>
      </c>
      <c r="F5" s="108"/>
      <c r="G5" s="122">
        <f>SUM(C5:F5)</f>
        <v>14673</v>
      </c>
      <c r="H5" s="123">
        <v>1800</v>
      </c>
      <c r="I5" s="121">
        <v>2469</v>
      </c>
      <c r="J5" s="121">
        <v>10404</v>
      </c>
      <c r="K5" s="107">
        <f>SUM(H5:J5)</f>
        <v>14673</v>
      </c>
      <c r="L5" s="121">
        <v>3</v>
      </c>
      <c r="M5" s="121">
        <v>1</v>
      </c>
      <c r="N5" s="108">
        <v>0</v>
      </c>
    </row>
    <row r="6" spans="1:14" s="68" customFormat="1" ht="15.75" thickBot="1">
      <c r="A6" s="243" t="s">
        <v>33</v>
      </c>
      <c r="B6" s="244"/>
      <c r="C6" s="91">
        <f>SUM(C5)</f>
        <v>8863</v>
      </c>
      <c r="D6" s="91">
        <f t="shared" ref="D6:N6" si="0">SUM(D5)</f>
        <v>5510</v>
      </c>
      <c r="E6" s="91">
        <f t="shared" si="0"/>
        <v>300</v>
      </c>
      <c r="F6" s="91">
        <f t="shared" si="0"/>
        <v>0</v>
      </c>
      <c r="G6" s="91">
        <f t="shared" si="0"/>
        <v>14673</v>
      </c>
      <c r="H6" s="91">
        <f t="shared" si="0"/>
        <v>1800</v>
      </c>
      <c r="I6" s="91">
        <f t="shared" si="0"/>
        <v>2469</v>
      </c>
      <c r="J6" s="91">
        <f t="shared" si="0"/>
        <v>10404</v>
      </c>
      <c r="K6" s="91">
        <f t="shared" si="0"/>
        <v>14673</v>
      </c>
      <c r="L6" s="91">
        <f t="shared" si="0"/>
        <v>3</v>
      </c>
      <c r="M6" s="91">
        <f t="shared" si="0"/>
        <v>1</v>
      </c>
      <c r="N6" s="93">
        <f t="shared" si="0"/>
        <v>0</v>
      </c>
    </row>
    <row r="9" spans="1:14">
      <c r="B9" s="32" t="s">
        <v>119</v>
      </c>
    </row>
  </sheetData>
  <mergeCells count="8">
    <mergeCell ref="A6:B6"/>
    <mergeCell ref="A1:N1"/>
    <mergeCell ref="A2:K2"/>
    <mergeCell ref="L2:N2"/>
    <mergeCell ref="A3:B3"/>
    <mergeCell ref="C3:G3"/>
    <mergeCell ref="H3:K3"/>
    <mergeCell ref="L3:N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N11"/>
  <sheetViews>
    <sheetView workbookViewId="0">
      <selection activeCell="H28" sqref="H28"/>
    </sheetView>
  </sheetViews>
  <sheetFormatPr defaultRowHeight="15"/>
  <cols>
    <col min="1" max="1" width="4" style="82" customWidth="1"/>
    <col min="2" max="2" width="45.28515625" style="82" bestFit="1" customWidth="1"/>
    <col min="3" max="3" width="13.140625" style="82" customWidth="1"/>
    <col min="4" max="4" width="11.140625" style="82" customWidth="1"/>
    <col min="5" max="5" width="14.28515625" style="82" bestFit="1" customWidth="1"/>
    <col min="6" max="6" width="13.85546875" style="82" bestFit="1" customWidth="1"/>
    <col min="7" max="7" width="11.5703125" style="82" bestFit="1" customWidth="1"/>
    <col min="8" max="8" width="11.42578125" style="82" bestFit="1" customWidth="1"/>
    <col min="9" max="9" width="10" style="82" bestFit="1" customWidth="1"/>
    <col min="10" max="10" width="12" style="82" customWidth="1"/>
    <col min="11" max="11" width="10" style="82" bestFit="1" customWidth="1"/>
    <col min="12" max="12" width="11.28515625" style="82" customWidth="1"/>
    <col min="13" max="13" width="11.5703125" style="82" customWidth="1"/>
    <col min="14" max="14" width="17.28515625" style="82" bestFit="1" customWidth="1"/>
    <col min="15" max="16384" width="9.140625" style="82"/>
  </cols>
  <sheetData>
    <row r="1" spans="1:14" s="1" customFormat="1">
      <c r="A1" s="224" t="s">
        <v>83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</row>
    <row r="2" spans="1:14" s="1" customFormat="1">
      <c r="A2" s="225" t="s">
        <v>9</v>
      </c>
      <c r="B2" s="226"/>
      <c r="C2" s="226"/>
      <c r="D2" s="226"/>
      <c r="E2" s="226"/>
      <c r="F2" s="226"/>
      <c r="G2" s="226"/>
      <c r="H2" s="226"/>
      <c r="I2" s="226"/>
      <c r="J2" s="226"/>
      <c r="K2" s="227"/>
      <c r="L2" s="224" t="s">
        <v>127</v>
      </c>
      <c r="M2" s="224"/>
      <c r="N2" s="224"/>
    </row>
    <row r="3" spans="1:14" s="3" customFormat="1" ht="15" customHeight="1">
      <c r="A3" s="224" t="s">
        <v>44</v>
      </c>
      <c r="B3" s="224"/>
      <c r="C3" s="215" t="s">
        <v>10</v>
      </c>
      <c r="D3" s="216"/>
      <c r="E3" s="216"/>
      <c r="F3" s="216"/>
      <c r="G3" s="231"/>
      <c r="H3" s="232" t="s">
        <v>11</v>
      </c>
      <c r="I3" s="233"/>
      <c r="J3" s="233"/>
      <c r="K3" s="251"/>
      <c r="L3" s="234" t="s">
        <v>13</v>
      </c>
      <c r="M3" s="224"/>
      <c r="N3" s="224"/>
    </row>
    <row r="4" spans="1:14" s="3" customFormat="1" ht="66.75" customHeight="1">
      <c r="A4" s="76" t="s">
        <v>38</v>
      </c>
      <c r="B4" s="104" t="s">
        <v>82</v>
      </c>
      <c r="C4" s="5" t="s">
        <v>77</v>
      </c>
      <c r="D4" s="4" t="s">
        <v>15</v>
      </c>
      <c r="E4" s="4" t="s">
        <v>16</v>
      </c>
      <c r="F4" s="5" t="s">
        <v>48</v>
      </c>
      <c r="G4" s="56" t="s">
        <v>35</v>
      </c>
      <c r="H4" s="70" t="s">
        <v>17</v>
      </c>
      <c r="I4" s="5" t="s">
        <v>18</v>
      </c>
      <c r="J4" s="5" t="s">
        <v>36</v>
      </c>
      <c r="K4" s="56" t="s">
        <v>37</v>
      </c>
      <c r="L4" s="69" t="s">
        <v>19</v>
      </c>
      <c r="M4" s="6" t="s">
        <v>20</v>
      </c>
      <c r="N4" s="7" t="s">
        <v>21</v>
      </c>
    </row>
    <row r="5" spans="1:14" s="3" customFormat="1" ht="19.5" customHeight="1">
      <c r="A5" s="77" t="s">
        <v>60</v>
      </c>
      <c r="B5" s="77" t="s">
        <v>79</v>
      </c>
      <c r="C5" s="83">
        <f>3906+1054</f>
        <v>4960</v>
      </c>
      <c r="D5" s="83">
        <v>1489</v>
      </c>
      <c r="E5" s="84"/>
      <c r="F5" s="84"/>
      <c r="G5" s="85">
        <f>SUM(C5:F5)</f>
        <v>6449</v>
      </c>
      <c r="H5" s="101"/>
      <c r="I5" s="87">
        <v>5000</v>
      </c>
      <c r="J5" s="87">
        <v>1449</v>
      </c>
      <c r="K5" s="89">
        <f>SUM(H5:J5)</f>
        <v>6449</v>
      </c>
      <c r="L5" s="98">
        <v>2</v>
      </c>
      <c r="M5" s="78"/>
      <c r="N5" s="79"/>
    </row>
    <row r="6" spans="1:14" s="22" customFormat="1" ht="18" customHeight="1">
      <c r="A6" s="39" t="s">
        <v>60</v>
      </c>
      <c r="B6" s="36" t="s">
        <v>80</v>
      </c>
      <c r="C6" s="83">
        <f>1749+472</f>
        <v>2221</v>
      </c>
      <c r="D6" s="83">
        <v>424</v>
      </c>
      <c r="E6" s="83">
        <v>250</v>
      </c>
      <c r="F6" s="84"/>
      <c r="G6" s="85">
        <f t="shared" ref="G6:G7" si="0">SUM(C6:F6)</f>
        <v>2895</v>
      </c>
      <c r="H6" s="101"/>
      <c r="I6" s="87">
        <v>2810</v>
      </c>
      <c r="J6" s="87">
        <v>85</v>
      </c>
      <c r="K6" s="89">
        <f t="shared" ref="K6:K7" si="1">SUM(H6:J6)</f>
        <v>2895</v>
      </c>
      <c r="L6" s="98">
        <v>1</v>
      </c>
      <c r="M6" s="21"/>
      <c r="N6" s="21"/>
    </row>
    <row r="7" spans="1:14" ht="18" customHeight="1" thickBot="1">
      <c r="A7" s="86" t="s">
        <v>60</v>
      </c>
      <c r="B7" s="86" t="s">
        <v>81</v>
      </c>
      <c r="C7" s="87">
        <f>6657+1798</f>
        <v>8455</v>
      </c>
      <c r="D7" s="87">
        <v>684</v>
      </c>
      <c r="E7" s="87">
        <v>550</v>
      </c>
      <c r="F7" s="88"/>
      <c r="G7" s="89">
        <f t="shared" si="0"/>
        <v>9689</v>
      </c>
      <c r="H7" s="102"/>
      <c r="I7" s="87">
        <v>3010</v>
      </c>
      <c r="J7" s="87">
        <f>9689-3010</f>
        <v>6679</v>
      </c>
      <c r="K7" s="89">
        <f t="shared" si="1"/>
        <v>9689</v>
      </c>
      <c r="L7" s="99">
        <v>3</v>
      </c>
      <c r="M7" s="90"/>
      <c r="N7" s="90"/>
    </row>
    <row r="8" spans="1:14" s="68" customFormat="1" ht="15.75" thickBot="1">
      <c r="A8" s="243" t="s">
        <v>33</v>
      </c>
      <c r="B8" s="244"/>
      <c r="C8" s="91">
        <f>SUM(C5:C7)</f>
        <v>15636</v>
      </c>
      <c r="D8" s="91">
        <f t="shared" ref="D8:G8" si="2">SUM(D5:D7)</f>
        <v>2597</v>
      </c>
      <c r="E8" s="91">
        <f t="shared" si="2"/>
        <v>800</v>
      </c>
      <c r="F8" s="92"/>
      <c r="G8" s="93">
        <f t="shared" si="2"/>
        <v>19033</v>
      </c>
      <c r="H8" s="103"/>
      <c r="I8" s="91">
        <f t="shared" ref="I8:J8" si="3">SUM(I5:I7)</f>
        <v>10820</v>
      </c>
      <c r="J8" s="91">
        <f t="shared" si="3"/>
        <v>8213</v>
      </c>
      <c r="K8" s="93">
        <f>SUM(K5:K7)</f>
        <v>19033</v>
      </c>
      <c r="L8" s="100">
        <f>SUM(L5:L7)</f>
        <v>6</v>
      </c>
      <c r="M8" s="95"/>
      <c r="N8" s="96"/>
    </row>
    <row r="11" spans="1:14">
      <c r="B11" s="32" t="s">
        <v>119</v>
      </c>
    </row>
  </sheetData>
  <mergeCells count="8">
    <mergeCell ref="A8:B8"/>
    <mergeCell ref="A1:N1"/>
    <mergeCell ref="A2:K2"/>
    <mergeCell ref="L2:N2"/>
    <mergeCell ref="A3:B3"/>
    <mergeCell ref="C3:G3"/>
    <mergeCell ref="H3:K3"/>
    <mergeCell ref="L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</vt:i4>
      </vt:variant>
    </vt:vector>
  </HeadingPairs>
  <TitlesOfParts>
    <vt:vector size="16" baseType="lpstr">
      <vt:lpstr>Tartalomjegyzék</vt:lpstr>
      <vt:lpstr>1.sz.Mérleg</vt:lpstr>
      <vt:lpstr>2.sz.Összesítő</vt:lpstr>
      <vt:lpstr>3.sz.Önkormányzat</vt:lpstr>
      <vt:lpstr>4.sz.Cházi Közös Önk.Hiv.</vt:lpstr>
      <vt:lpstr>5.sz.Óvoda</vt:lpstr>
      <vt:lpstr>6.sz.Könyvtár</vt:lpstr>
      <vt:lpstr>7.sz.Műv.Ház</vt:lpstr>
      <vt:lpstr>8.sz.CSSK</vt:lpstr>
      <vt:lpstr>9.sz.Bölcsőde</vt:lpstr>
      <vt:lpstr>10.sz.KSZKI</vt:lpstr>
      <vt:lpstr>11.sz.Vízmű</vt:lpstr>
      <vt:lpstr>12.sz.Pályázatok</vt:lpstr>
      <vt:lpstr>13.sz.Kedvezmény</vt:lpstr>
      <vt:lpstr>14.sz.Ei.felhasználás</vt:lpstr>
      <vt:lpstr>'2.sz.Összesítő'!Nyomtatási_terület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2014-01-27T07:36:46Z</dcterms:created>
  <dcterms:modified xsi:type="dcterms:W3CDTF">2014-01-28T14:47:14Z</dcterms:modified>
</cp:coreProperties>
</file>