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5" i="1" l="1"/>
  <c r="B613" i="1" s="1"/>
  <c r="B610" i="1"/>
  <c r="B608" i="1"/>
  <c r="B604" i="1"/>
  <c r="B603" i="1"/>
  <c r="B602" i="1"/>
  <c r="B601" i="1"/>
  <c r="B595" i="1"/>
  <c r="B594" i="1"/>
  <c r="B596" i="1" s="1"/>
  <c r="B590" i="1"/>
  <c r="B589" i="1"/>
  <c r="B586" i="1"/>
  <c r="B585" i="1"/>
  <c r="B584" i="1"/>
  <c r="B583" i="1"/>
  <c r="B581" i="1"/>
  <c r="B587" i="1" s="1"/>
  <c r="B597" i="1" s="1"/>
  <c r="B572" i="1"/>
  <c r="B567" i="1"/>
  <c r="B560" i="1"/>
  <c r="B562" i="1" s="1"/>
  <c r="B556" i="1"/>
  <c r="B555" i="1"/>
  <c r="B553" i="1"/>
  <c r="B557" i="1" s="1"/>
  <c r="B544" i="1"/>
  <c r="B546" i="1" s="1"/>
  <c r="B547" i="1" s="1"/>
  <c r="B549" i="1" s="1"/>
  <c r="B538" i="1"/>
  <c r="B536" i="1"/>
  <c r="B533" i="1"/>
  <c r="B532" i="1"/>
  <c r="B534" i="1" s="1"/>
  <c r="B540" i="1" s="1"/>
  <c r="B506" i="1"/>
  <c r="B499" i="1"/>
  <c r="B501" i="1" s="1"/>
  <c r="B496" i="1"/>
  <c r="B495" i="1"/>
  <c r="B494" i="1"/>
  <c r="B493" i="1"/>
  <c r="B492" i="1"/>
  <c r="B491" i="1"/>
  <c r="B497" i="1" s="1"/>
  <c r="B484" i="1"/>
  <c r="B485" i="1" s="1"/>
  <c r="B478" i="1"/>
  <c r="B480" i="1" s="1"/>
  <c r="B475" i="1"/>
  <c r="B474" i="1"/>
  <c r="B473" i="1"/>
  <c r="B476" i="1" s="1"/>
  <c r="B487" i="1" s="1"/>
  <c r="B464" i="1"/>
  <c r="B458" i="1"/>
  <c r="B455" i="1"/>
  <c r="B465" i="1" s="1"/>
  <c r="B467" i="1" s="1"/>
  <c r="B452" i="1"/>
  <c r="B450" i="1"/>
  <c r="B447" i="1"/>
  <c r="B446" i="1"/>
  <c r="B445" i="1"/>
  <c r="B444" i="1"/>
  <c r="B448" i="1" s="1"/>
  <c r="B440" i="1"/>
  <c r="B438" i="1"/>
  <c r="B437" i="1"/>
  <c r="B422" i="1"/>
  <c r="B429" i="1" s="1"/>
  <c r="B430" i="1" s="1"/>
  <c r="B414" i="1"/>
  <c r="B416" i="1" s="1"/>
  <c r="B411" i="1"/>
  <c r="B410" i="1"/>
  <c r="B407" i="1"/>
  <c r="B412" i="1" s="1"/>
  <c r="B432" i="1" s="1"/>
  <c r="B391" i="1"/>
  <c r="B383" i="1"/>
  <c r="B385" i="1" s="1"/>
  <c r="B380" i="1"/>
  <c r="B379" i="1"/>
  <c r="B378" i="1"/>
  <c r="B376" i="1"/>
  <c r="B381" i="1" s="1"/>
  <c r="B369" i="1"/>
  <c r="B370" i="1" s="1"/>
  <c r="B364" i="1"/>
  <c r="B366" i="1" s="1"/>
  <c r="B361" i="1"/>
  <c r="B360" i="1"/>
  <c r="B359" i="1"/>
  <c r="B358" i="1"/>
  <c r="B362" i="1" s="1"/>
  <c r="B351" i="1"/>
  <c r="B352" i="1" s="1"/>
  <c r="B350" i="1"/>
  <c r="B341" i="1"/>
  <c r="B334" i="1"/>
  <c r="B335" i="1" s="1"/>
  <c r="B331" i="1"/>
  <c r="B330" i="1"/>
  <c r="B327" i="1"/>
  <c r="B332" i="1" s="1"/>
  <c r="B319" i="1"/>
  <c r="B321" i="1" s="1"/>
  <c r="B317" i="1"/>
  <c r="B316" i="1"/>
  <c r="B298" i="1"/>
  <c r="B299" i="1" s="1"/>
  <c r="B295" i="1"/>
  <c r="B294" i="1"/>
  <c r="B296" i="1" s="1"/>
  <c r="B289" i="1"/>
  <c r="B286" i="1"/>
  <c r="B287" i="1" s="1"/>
  <c r="B290" i="1" s="1"/>
  <c r="B281" i="1"/>
  <c r="B278" i="1"/>
  <c r="B279" i="1" s="1"/>
  <c r="B283" i="1" s="1"/>
  <c r="B272" i="1"/>
  <c r="B269" i="1"/>
  <c r="B270" i="1" s="1"/>
  <c r="B274" i="1" s="1"/>
  <c r="B262" i="1"/>
  <c r="B260" i="1"/>
  <c r="B258" i="1"/>
  <c r="B251" i="1"/>
  <c r="B263" i="1" s="1"/>
  <c r="B265" i="1" s="1"/>
  <c r="B241" i="1"/>
  <c r="B245" i="1" s="1"/>
  <c r="B238" i="1"/>
  <c r="B236" i="1"/>
  <c r="B235" i="1"/>
  <c r="B234" i="1"/>
  <c r="B239" i="1" s="1"/>
  <c r="B233" i="1"/>
  <c r="B232" i="1"/>
  <c r="B230" i="1"/>
  <c r="B215" i="1"/>
  <c r="B204" i="1"/>
  <c r="B198" i="1"/>
  <c r="B190" i="1"/>
  <c r="B192" i="1" s="1"/>
  <c r="B181" i="1"/>
  <c r="B179" i="1"/>
  <c r="B178" i="1"/>
  <c r="B177" i="1"/>
  <c r="B182" i="1" s="1"/>
  <c r="B172" i="1"/>
  <c r="B170" i="1"/>
  <c r="B173" i="1" s="1"/>
  <c r="B167" i="1"/>
  <c r="B166" i="1"/>
  <c r="B165" i="1"/>
  <c r="B164" i="1"/>
  <c r="B168" i="1" s="1"/>
  <c r="B155" i="1"/>
  <c r="B148" i="1"/>
  <c r="B146" i="1"/>
  <c r="B144" i="1"/>
  <c r="B154" i="1" s="1"/>
  <c r="B141" i="1"/>
  <c r="B136" i="1"/>
  <c r="B135" i="1"/>
  <c r="B134" i="1"/>
  <c r="B133" i="1"/>
  <c r="B137" i="1" s="1"/>
  <c r="B128" i="1"/>
  <c r="B129" i="1" s="1"/>
  <c r="B113" i="1"/>
  <c r="B120" i="1" s="1"/>
  <c r="B109" i="1"/>
  <c r="B104" i="1"/>
  <c r="B105" i="1" s="1"/>
  <c r="B102" i="1"/>
  <c r="B101" i="1"/>
  <c r="B92" i="1"/>
  <c r="B93" i="1" s="1"/>
  <c r="B95" i="1" s="1"/>
  <c r="B84" i="1"/>
  <c r="B81" i="1"/>
  <c r="B85" i="1" s="1"/>
  <c r="B79" i="1"/>
  <c r="B74" i="1"/>
  <c r="B73" i="1"/>
  <c r="B75" i="1" s="1"/>
  <c r="B61" i="1"/>
  <c r="B48" i="1"/>
  <c r="B41" i="1"/>
  <c r="B40" i="1"/>
  <c r="B33" i="1"/>
  <c r="B42" i="1" s="1"/>
  <c r="B26" i="1"/>
  <c r="B27" i="1" s="1"/>
  <c r="B24" i="1"/>
  <c r="B23" i="1"/>
  <c r="B15" i="1"/>
  <c r="B16" i="1" s="1"/>
  <c r="B13" i="1"/>
  <c r="B518" i="1" l="1"/>
  <c r="B354" i="1"/>
  <c r="B513" i="1"/>
  <c r="B622" i="1"/>
  <c r="B515" i="1"/>
  <c r="B625" i="1"/>
  <c r="B44" i="1"/>
  <c r="B122" i="1"/>
  <c r="B124" i="1" s="1"/>
  <c r="B184" i="1"/>
  <c r="B301" i="1"/>
  <c r="B323" i="1"/>
  <c r="B576" i="1"/>
  <c r="B577" i="1" s="1"/>
  <c r="B620" i="1"/>
  <c r="B18" i="1"/>
  <c r="B67" i="1"/>
  <c r="B69" i="1" s="1"/>
  <c r="B87" i="1"/>
  <c r="B202" i="1"/>
  <c r="B53" i="1"/>
  <c r="B55" i="1" s="1"/>
  <c r="B304" i="1"/>
  <c r="B305" i="1"/>
  <c r="B519" i="1"/>
  <c r="B372" i="1"/>
  <c r="B469" i="1"/>
  <c r="B512" i="1"/>
  <c r="B201" i="1"/>
  <c r="B624" i="1"/>
  <c r="B52" i="1"/>
  <c r="B66" i="1"/>
  <c r="B398" i="1"/>
  <c r="B399" i="1" s="1"/>
  <c r="B401" i="1" s="1"/>
  <c r="B221" i="1"/>
  <c r="B222" i="1" s="1"/>
  <c r="B574" i="1"/>
  <c r="B621" i="1"/>
  <c r="B156" i="1"/>
  <c r="B157" i="1" s="1"/>
  <c r="B306" i="1" l="1"/>
  <c r="B307" i="1" s="1"/>
  <c r="B223" i="1"/>
  <c r="B520" i="1"/>
  <c r="B626" i="1"/>
  <c r="B627" i="1" s="1"/>
  <c r="B203" i="1"/>
  <c r="B205" i="1" s="1"/>
  <c r="B521" i="1"/>
</calcChain>
</file>

<file path=xl/sharedStrings.xml><?xml version="1.0" encoding="utf-8"?>
<sst xmlns="http://schemas.openxmlformats.org/spreadsheetml/2006/main" count="475" uniqueCount="113">
  <si>
    <t>4. melléklet a 2/2021. (II. 10.) önkormányzati rendelethez</t>
  </si>
  <si>
    <t>"5. melléklet az 1/2020. (II.12.) önkormányzati rendelethez</t>
  </si>
  <si>
    <t>2020. évi működési kiadások (adatok Ft-ban)</t>
  </si>
  <si>
    <t>NAGYSZÉNÁS NAGYKÖZSÉG ÖNKORMÁNYZATA</t>
  </si>
  <si>
    <t>Kötelező önkormányzati feladatok</t>
  </si>
  <si>
    <t>064010 Közvilágítás</t>
  </si>
  <si>
    <t>Közüzemi díjak</t>
  </si>
  <si>
    <t xml:space="preserve"> ebből: villamosenergia díjak</t>
  </si>
  <si>
    <t>Működési célú előzetesen felszámított általános forgalmi adó</t>
  </si>
  <si>
    <t>DOLOGI  KIADÁSOK ÖSSZESEN:</t>
  </si>
  <si>
    <t>KORMÁNYFUNKCIÓ ÖSSZESEN:</t>
  </si>
  <si>
    <t>072111 Házi orvosi alapellátás</t>
  </si>
  <si>
    <t>Törvény szerinti illetmények</t>
  </si>
  <si>
    <t>Nem saját foglalkoztatottak juttatásai</t>
  </si>
  <si>
    <t>SZEMÉLYI JUTTATÁSOK ÖSSZESEN:</t>
  </si>
  <si>
    <t>Szociális hozzájárulási adó</t>
  </si>
  <si>
    <t>MUNKAADÓKAT TERHELŐ JÁRULÉKOK ÖSSZESEN: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</si>
  <si>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</si>
  <si>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</si>
  <si>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</si>
  <si>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</si>
  <si>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</si>
  <si>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</si>
  <si>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</si>
  <si>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</si>
  <si>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Szakmai tevékenységet segítő szolgáltatások</t>
  </si>
  <si>
    <t>Egyéb szolgáltatások</t>
  </si>
  <si>
    <t>Egyéb dologi kiadások</t>
  </si>
  <si>
    <t>072311 Fogorvosi alapellátás</t>
  </si>
  <si>
    <t>041233  Hosszabb időtartamú közfoglalkoztatás</t>
  </si>
  <si>
    <t xml:space="preserve">         vízdíj</t>
  </si>
  <si>
    <t>041237  Startmunka program</t>
  </si>
  <si>
    <t>Törvény szerinti illetmények (30 fő támogatott foglalkoztatott)</t>
  </si>
  <si>
    <t>Foglalkoztatottak egyéb személyi juttatásai</t>
  </si>
  <si>
    <t>Táppénzhozzájárulás</t>
  </si>
  <si>
    <t>Vásárolt élelmezés</t>
  </si>
  <si>
    <t>104037 Intézményen kívüli gyermekétkeztetés</t>
  </si>
  <si>
    <t xml:space="preserve">066020 Város-, és községgazdálkodási egyéb szolgáltatások </t>
  </si>
  <si>
    <t>Törvény szerinti illetmények (6 fő.)</t>
  </si>
  <si>
    <t>Üzemeltetési anyagok növénytermesztéshez</t>
  </si>
  <si>
    <t xml:space="preserve">Szakmai tevékenységet segítő szolgáltatások </t>
  </si>
  <si>
    <t>Szakmai tevékenységet segítő szolgáltatások növénytermesztéshez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</si>
  <si>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</si>
  <si>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</si>
  <si>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</si>
  <si>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(15 fő + 2 fő szezonális alk.)</t>
  </si>
  <si>
    <t>Közlekedési költségtérítés</t>
  </si>
  <si>
    <t>Reklám és propaganda kiadások</t>
  </si>
  <si>
    <t>Egyéb dologi kiadás</t>
  </si>
  <si>
    <t>Államigazgatási feladatok</t>
  </si>
  <si>
    <t>011130 Önkormányzatok és  önkormányzati hivatalok jogalkotó és általános igazgatási tevékenysége</t>
  </si>
  <si>
    <t>Törvény szerinti illetmények (diákmunkások.)</t>
  </si>
  <si>
    <t>Jutalmak</t>
  </si>
  <si>
    <t>Egyéb költségtérítések</t>
  </si>
  <si>
    <t>Választott tisztségviselők juttatásai</t>
  </si>
  <si>
    <t>Egyéb külső személyi juttatások</t>
  </si>
  <si>
    <t>Egészségügyi hozzájárulás</t>
  </si>
  <si>
    <t>Munkadókat terhelő egyéb járulék kötelezettségek</t>
  </si>
  <si>
    <t>Kamatkiadás fejlesztési hitel</t>
  </si>
  <si>
    <t>Kamatkiadás folyószámla hitel</t>
  </si>
  <si>
    <t>051040  Nem veszélyes hulladék kezelése ártalmatlanítása</t>
  </si>
  <si>
    <t>091140  Óvodai nevelés, ellátás működtetési feladatai</t>
  </si>
  <si>
    <t>DOLOGI KIADÁSOK ÖSSZESEN:</t>
  </si>
  <si>
    <t>PÉNZESZKÖZ ÁTADÁS, EGYÉB TÁMOGATÁS:</t>
  </si>
  <si>
    <r>
      <t xml:space="preserve">NAGYSZÉNÁS NAGYKÖZSÉG ÖNKORMÁNYZATA ÖSSZESEN:      (polgármester, 21 fő MT szerinti alkalmazott,  2 fő alkalmazozott 4 hónapra,   30  </t>
    </r>
    <r>
      <rPr>
        <b/>
        <u/>
        <sz val="8"/>
        <rFont val="Arial CE"/>
        <charset val="238"/>
      </rPr>
      <t xml:space="preserve">fő támogatott fogl.) </t>
    </r>
  </si>
  <si>
    <t>POLGÁRMESTERI HIVATAL</t>
  </si>
  <si>
    <t>066020 Város- és községgazdálkodási egyéb szolgáltatások</t>
  </si>
  <si>
    <t>Törvény szerinti illetmények (20 fő)</t>
  </si>
  <si>
    <t>Jubileumi jutalom</t>
  </si>
  <si>
    <t>Béren kívüli juttatások</t>
  </si>
  <si>
    <t>Reprezentáció</t>
  </si>
  <si>
    <t>ebből: termálhő díja</t>
  </si>
  <si>
    <t>Bérleti és lízingdíjak</t>
  </si>
  <si>
    <t>Közvetített szolgáltatások</t>
  </si>
  <si>
    <t>Fizetendő általános forgalmi adó</t>
  </si>
  <si>
    <t>013360 Iskola működtetés (nyári napközi)</t>
  </si>
  <si>
    <t xml:space="preserve">104031 Gyermekek bölcsődei ellátása </t>
  </si>
  <si>
    <t>096015 Gyermekétkeztetés köznevelési intézményekben</t>
  </si>
  <si>
    <t xml:space="preserve">041233  Hosszabb időtartamú közfoglalkoztatás </t>
  </si>
  <si>
    <t>Törvény szerinti illetmények (1 fő támogatott foglalkoztatott időszakosan)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</si>
  <si>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 MT</t>
    </r>
    <r>
      <rPr>
        <b/>
        <u/>
        <sz val="8"/>
        <rFont val="Arial CE"/>
        <family val="2"/>
        <charset val="238"/>
      </rPr>
      <t>. szerinti alkalmazott, 1 fő közcélú foglalkoztatott időszakosan)</t>
    </r>
  </si>
  <si>
    <t>GONDOZÁSI KÖZPONT</t>
  </si>
  <si>
    <t>Törvény szerinti illetmények (21 fő támogatott foglalkoztatott időszakosan)</t>
  </si>
  <si>
    <t>074031 Család és nővédelmi egészségügyi gondozás</t>
  </si>
  <si>
    <t>Törvény szerinti illetmények (2 fő)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</si>
  <si>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</si>
  <si>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</si>
  <si>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</si>
  <si>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</si>
  <si>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Törvény szerinti illetmények (6 fő)</t>
  </si>
  <si>
    <t>Szociális gondozó</t>
  </si>
  <si>
    <t>Kiküldetések költsége</t>
  </si>
  <si>
    <t>Törvény szerinti illetmények (9 fő)</t>
  </si>
  <si>
    <t>104035 Gyermekétkeztetés bölcsődében</t>
  </si>
  <si>
    <t>104042 Család- és gyermekjóléti szolgáltatások</t>
  </si>
  <si>
    <t xml:space="preserve">          távhő</t>
  </si>
  <si>
    <t>Kiküldetések kiadásai</t>
  </si>
  <si>
    <t>107051 Szociális étkeztetés</t>
  </si>
  <si>
    <t>107052 Házi segítségnyújtás</t>
  </si>
  <si>
    <t>Törvény szerinti illetmények (13 fő)</t>
  </si>
  <si>
    <t>Készenléti díj</t>
  </si>
  <si>
    <r>
      <t xml:space="preserve">GONDOZÁSI KÖZPONT ÖSSZESEN: ( 33 fő közalk. + 2 fő félmunkaidős MT. szerinti alk. + 21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</si>
  <si>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</si>
  <si>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(5 fő támogatott foglalkoztatott időszakosan)</t>
  </si>
  <si>
    <t>Vásárolt élelmezés-Óvoda</t>
  </si>
  <si>
    <t>Vásárolt élelmezés-Iskola</t>
  </si>
  <si>
    <t xml:space="preserve">         termálhő díja</t>
  </si>
  <si>
    <t>091110  Óvodai nevelés, ellátás szakmai feladatai</t>
  </si>
  <si>
    <t>Törvény szerinti illetmények  (12 fő)</t>
  </si>
  <si>
    <t>082042 Könyvtári állomány gyarapítása, nyilvántartása</t>
  </si>
  <si>
    <t>Törvény szerinti illetmények (1 fő + 1 fő részmunkaidős)</t>
  </si>
  <si>
    <r>
      <t xml:space="preserve">NAGYSZÉNÁSI ÖNKORMÁNYZATI ÓVODA ÉS KÖNYVTÁR  ÖSSZESEN: (19 fő közalk. + 1 fő részm. közalk.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</si>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</sst>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Fill="1" applyBorder="1"/>
    <xf numFmtId="3" fontId="7" fillId="0" borderId="0" xfId="0" applyNumberFormat="1" applyFont="1"/>
    <xf numFmtId="0" fontId="6" fillId="0" borderId="0" xfId="0" applyFont="1" applyBorder="1"/>
    <xf numFmtId="0" fontId="5" fillId="0" borderId="0" xfId="0" applyFont="1" applyFill="1" applyBorder="1" applyAlignment="1"/>
    <xf numFmtId="3" fontId="8" fillId="0" borderId="0" xfId="0" applyNumberFormat="1" applyFont="1"/>
    <xf numFmtId="0" fontId="9" fillId="0" borderId="0" xfId="0" applyFont="1" applyFill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/>
    <xf numFmtId="3" fontId="0" fillId="0" borderId="0" xfId="0" applyNumberFormat="1" applyFont="1" applyBorder="1" applyAlignment="1"/>
    <xf numFmtId="3" fontId="10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3" fontId="7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/>
    </xf>
    <xf numFmtId="0" fontId="10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6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/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6" fillId="0" borderId="0" xfId="0" applyFont="1" applyBorder="1"/>
    <xf numFmtId="3" fontId="17" fillId="0" borderId="0" xfId="0" applyNumberFormat="1" applyFont="1"/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wrapText="1"/>
    </xf>
    <xf numFmtId="3" fontId="11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3" fontId="8" fillId="0" borderId="0" xfId="1" applyNumberFormat="1" applyFont="1" applyAlignment="1">
      <alignment horizontal="right"/>
    </xf>
    <xf numFmtId="0" fontId="5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Fill="1" applyBorder="1" applyAlignment="1"/>
    <xf numFmtId="0" fontId="20" fillId="0" borderId="0" xfId="0" applyFont="1" applyFill="1" applyBorder="1" applyAlignme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" fontId="7" fillId="0" borderId="0" xfId="0" applyNumberFormat="1" applyFont="1"/>
    <xf numFmtId="4" fontId="8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7" fillId="0" borderId="0" xfId="2" applyFont="1" applyBorder="1"/>
    <xf numFmtId="3" fontId="7" fillId="0" borderId="0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right"/>
    </xf>
    <xf numFmtId="3" fontId="7" fillId="0" borderId="0" xfId="2" applyNumberFormat="1" applyFont="1" applyFill="1" applyBorder="1"/>
    <xf numFmtId="3" fontId="8" fillId="0" borderId="0" xfId="2" applyNumberFormat="1" applyFont="1" applyFill="1" applyBorder="1"/>
    <xf numFmtId="3" fontId="0" fillId="0" borderId="0" xfId="0" applyNumberFormat="1" applyFont="1"/>
    <xf numFmtId="0" fontId="8" fillId="0" borderId="0" xfId="0" applyFont="1"/>
    <xf numFmtId="0" fontId="1" fillId="0" borderId="0" xfId="0" applyFont="1"/>
  </cellXfs>
  <cellStyles count="3">
    <cellStyle name="Ezres" xfId="1" builtinId="3"/>
    <cellStyle name="Normál" xfId="0" builtinId="0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/2020.%20&#233;vi%20k&#246;lts&#233;gvet&#233;s/B&#233;rek/2020%20&#233;vi%20%20B&#201;R%20k&#246;lts&#233;gvet&#233;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/2020.%20&#233;vi%20k&#246;lts&#233;gvet&#233;s%20m&#243;dos&#237;t&#225;sa_k&#233;s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  önk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96015 Gyerekétk. Hivatal "/>
      <sheetName val="013360 Iskola működtetés"/>
      <sheetName val="074031 Védőnők"/>
      <sheetName val="074032 Ifjúság eü"/>
      <sheetName val="102030 Idősek nappali ellátása"/>
      <sheetName val="107051 Szoc. étk"/>
      <sheetName val="GINOP  107052HSNY"/>
      <sheetName val="107052 HSNY"/>
      <sheetName val="GINOP 104031"/>
      <sheetName val="104042 Családsegítők"/>
      <sheetName val="104031 Gyermekek napk ellát"/>
      <sheetName val="041233 Gond HOSSZÚ KÖZFOGL"/>
      <sheetName val="Megvált MK HSNY"/>
      <sheetName val="Megvált MK klub"/>
      <sheetName val="Óvoda 041233 Hosszú közfogl"/>
      <sheetName val="091110 Óvodai nevelés"/>
      <sheetName val="091140 Óvoda műk"/>
      <sheetName val="082042 Könyvtár"/>
      <sheetName val="ÖSSZESÍTÉS"/>
      <sheetName val="Bölcsőde valós"/>
      <sheetName val="elemi ktgvetéshez"/>
      <sheetName val="Munka1"/>
      <sheetName val="GINOP Hivata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C3">
            <v>59419360</v>
          </cell>
          <cell r="E3">
            <v>643680</v>
          </cell>
          <cell r="F3">
            <v>309665</v>
          </cell>
          <cell r="G3">
            <v>1506960</v>
          </cell>
          <cell r="I3">
            <v>16896600</v>
          </cell>
          <cell r="K3">
            <v>40153400</v>
          </cell>
          <cell r="M3">
            <v>26531095</v>
          </cell>
          <cell r="N3">
            <v>11272366</v>
          </cell>
          <cell r="O3">
            <v>4613183</v>
          </cell>
          <cell r="P3">
            <v>17193528</v>
          </cell>
          <cell r="R3">
            <v>34942722</v>
          </cell>
          <cell r="S3">
            <v>6997449</v>
          </cell>
          <cell r="V3">
            <v>28742732</v>
          </cell>
          <cell r="Y3">
            <v>5211465</v>
          </cell>
          <cell r="Z3">
            <v>1353100</v>
          </cell>
          <cell r="AA3">
            <v>46424485</v>
          </cell>
          <cell r="AB3">
            <v>16579200.000000002</v>
          </cell>
          <cell r="AC3">
            <v>3930000</v>
          </cell>
        </row>
        <row r="6">
          <cell r="R6">
            <v>20000</v>
          </cell>
        </row>
        <row r="8">
          <cell r="C8">
            <v>1320000</v>
          </cell>
        </row>
        <row r="9">
          <cell r="C9">
            <v>2716974</v>
          </cell>
        </row>
        <row r="10">
          <cell r="C10">
            <v>120000</v>
          </cell>
          <cell r="K10">
            <v>500000</v>
          </cell>
          <cell r="O10">
            <v>10000</v>
          </cell>
          <cell r="R10">
            <v>10000</v>
          </cell>
          <cell r="S10">
            <v>8000</v>
          </cell>
          <cell r="AA10">
            <v>30000</v>
          </cell>
        </row>
        <row r="11">
          <cell r="C11">
            <v>200000</v>
          </cell>
          <cell r="H11">
            <v>9022</v>
          </cell>
          <cell r="N11">
            <v>18044</v>
          </cell>
          <cell r="O11">
            <v>9022</v>
          </cell>
          <cell r="P11">
            <v>54132</v>
          </cell>
          <cell r="Q11">
            <v>9022</v>
          </cell>
          <cell r="R11">
            <v>117286</v>
          </cell>
          <cell r="S11">
            <v>18044</v>
          </cell>
          <cell r="V11">
            <v>81198</v>
          </cell>
          <cell r="AA11">
            <v>108264</v>
          </cell>
          <cell r="AB11">
            <v>54132</v>
          </cell>
          <cell r="AC11">
            <v>18044</v>
          </cell>
        </row>
        <row r="12">
          <cell r="C12">
            <v>390000</v>
          </cell>
          <cell r="F12">
            <v>10000</v>
          </cell>
          <cell r="K12">
            <v>2000000</v>
          </cell>
          <cell r="M12">
            <v>800000</v>
          </cell>
          <cell r="N12">
            <v>328368</v>
          </cell>
          <cell r="O12">
            <v>164184</v>
          </cell>
          <cell r="P12">
            <v>25000</v>
          </cell>
          <cell r="Q12">
            <v>50000</v>
          </cell>
          <cell r="R12">
            <v>30000</v>
          </cell>
          <cell r="S12">
            <v>30000</v>
          </cell>
          <cell r="V12">
            <v>30000</v>
          </cell>
          <cell r="Z12">
            <v>20000</v>
          </cell>
          <cell r="AA12">
            <v>40000</v>
          </cell>
          <cell r="AB12">
            <v>20000</v>
          </cell>
          <cell r="AC12">
            <v>60000</v>
          </cell>
        </row>
        <row r="13">
          <cell r="H13">
            <v>13718864</v>
          </cell>
        </row>
        <row r="14">
          <cell r="H14">
            <v>612000</v>
          </cell>
        </row>
        <row r="15">
          <cell r="D15">
            <v>700000</v>
          </cell>
          <cell r="J15">
            <v>1407528</v>
          </cell>
          <cell r="K15">
            <v>1100000</v>
          </cell>
          <cell r="AA15">
            <v>1000000</v>
          </cell>
        </row>
        <row r="16">
          <cell r="P16">
            <v>686000</v>
          </cell>
        </row>
        <row r="17">
          <cell r="C17">
            <v>2000000</v>
          </cell>
        </row>
      </sheetData>
      <sheetData sheetId="28" refreshError="1"/>
      <sheetData sheetId="29" refreshError="1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>
        <row r="8">
          <cell r="B8">
            <v>54290323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6"/>
  <sheetViews>
    <sheetView tabSelected="1" workbookViewId="0">
      <selection sqref="A1:B1"/>
    </sheetView>
  </sheetViews>
  <sheetFormatPr defaultRowHeight="12.75" x14ac:dyDescent="0.2"/>
  <cols>
    <col min="1" max="1" width="65.28515625" customWidth="1"/>
    <col min="2" max="2" width="17.5703125" customWidth="1"/>
    <col min="3" max="3" width="3" customWidth="1"/>
  </cols>
  <sheetData>
    <row r="1" spans="1:2" x14ac:dyDescent="0.2">
      <c r="A1" s="1" t="s">
        <v>0</v>
      </c>
      <c r="B1" s="1"/>
    </row>
    <row r="2" spans="1:2" x14ac:dyDescent="0.2">
      <c r="A2" s="2"/>
      <c r="B2" s="2"/>
    </row>
    <row r="3" spans="1:2" x14ac:dyDescent="0.2">
      <c r="A3" s="3" t="s">
        <v>1</v>
      </c>
      <c r="B3" s="3"/>
    </row>
    <row r="4" spans="1:2" x14ac:dyDescent="0.2">
      <c r="A4" s="4"/>
      <c r="B4" s="4"/>
    </row>
    <row r="5" spans="1:2" x14ac:dyDescent="0.2">
      <c r="A5" s="5" t="s">
        <v>2</v>
      </c>
      <c r="B5" s="5"/>
    </row>
    <row r="6" spans="1:2" x14ac:dyDescent="0.2">
      <c r="A6" s="6"/>
      <c r="B6" s="6"/>
    </row>
    <row r="7" spans="1:2" x14ac:dyDescent="0.2">
      <c r="A7" s="5" t="s">
        <v>3</v>
      </c>
      <c r="B7" s="5"/>
    </row>
    <row r="8" spans="1:2" x14ac:dyDescent="0.2">
      <c r="A8" s="7"/>
      <c r="B8" s="6"/>
    </row>
    <row r="9" spans="1:2" x14ac:dyDescent="0.2">
      <c r="A9" s="8" t="s">
        <v>4</v>
      </c>
      <c r="B9" s="8"/>
    </row>
    <row r="10" spans="1:2" x14ac:dyDescent="0.2">
      <c r="A10" s="9"/>
      <c r="B10" s="6"/>
    </row>
    <row r="11" spans="1:2" x14ac:dyDescent="0.2">
      <c r="A11" s="10" t="s">
        <v>5</v>
      </c>
      <c r="B11" s="11"/>
    </row>
    <row r="12" spans="1:2" x14ac:dyDescent="0.2">
      <c r="A12" s="12"/>
      <c r="B12" s="13"/>
    </row>
    <row r="13" spans="1:2" x14ac:dyDescent="0.2">
      <c r="A13" s="14" t="s">
        <v>6</v>
      </c>
      <c r="B13" s="15">
        <f>B14</f>
        <v>8100000</v>
      </c>
    </row>
    <row r="14" spans="1:2" x14ac:dyDescent="0.2">
      <c r="A14" s="16" t="s">
        <v>7</v>
      </c>
      <c r="B14" s="15">
        <v>8100000</v>
      </c>
    </row>
    <row r="15" spans="1:2" x14ac:dyDescent="0.2">
      <c r="A15" s="14" t="s">
        <v>8</v>
      </c>
      <c r="B15" s="15">
        <f>B14*0.27</f>
        <v>2187000</v>
      </c>
    </row>
    <row r="16" spans="1:2" x14ac:dyDescent="0.2">
      <c r="A16" s="17" t="s">
        <v>9</v>
      </c>
      <c r="B16" s="18">
        <f>SUM(B13:B15)-B14</f>
        <v>10287000</v>
      </c>
    </row>
    <row r="17" spans="1:2" x14ac:dyDescent="0.2">
      <c r="A17" s="12"/>
      <c r="B17" s="13"/>
    </row>
    <row r="18" spans="1:2" x14ac:dyDescent="0.2">
      <c r="A18" s="19" t="s">
        <v>10</v>
      </c>
      <c r="B18" s="20">
        <f>B16</f>
        <v>10287000</v>
      </c>
    </row>
    <row r="19" spans="1:2" x14ac:dyDescent="0.2">
      <c r="A19" s="19"/>
      <c r="B19" s="20"/>
    </row>
    <row r="20" spans="1:2" x14ac:dyDescent="0.2">
      <c r="A20" s="10" t="s">
        <v>11</v>
      </c>
      <c r="B20" s="11"/>
    </row>
    <row r="21" spans="1:2" x14ac:dyDescent="0.2">
      <c r="A21" s="12"/>
      <c r="B21" s="21"/>
    </row>
    <row r="22" spans="1:2" x14ac:dyDescent="0.2">
      <c r="A22" s="22" t="s">
        <v>12</v>
      </c>
      <c r="B22" s="15">
        <v>500000</v>
      </c>
    </row>
    <row r="23" spans="1:2" x14ac:dyDescent="0.2">
      <c r="A23" s="22" t="s">
        <v>13</v>
      </c>
      <c r="B23" s="15">
        <f>[1]ÖSSZESÍTÉS!$J$15</f>
        <v>1407528</v>
      </c>
    </row>
    <row r="24" spans="1:2" x14ac:dyDescent="0.2">
      <c r="A24" s="23" t="s">
        <v>14</v>
      </c>
      <c r="B24" s="18">
        <f>SUM(B22:B23)</f>
        <v>1907528</v>
      </c>
    </row>
    <row r="25" spans="1:2" x14ac:dyDescent="0.2">
      <c r="A25" s="22"/>
      <c r="B25" s="15"/>
    </row>
    <row r="26" spans="1:2" x14ac:dyDescent="0.2">
      <c r="A26" s="22" t="s">
        <v>15</v>
      </c>
      <c r="B26" s="15">
        <f>221686+87500</f>
        <v>309186</v>
      </c>
    </row>
    <row r="27" spans="1:2" x14ac:dyDescent="0.2">
      <c r="A27" s="23" t="s">
        <v>16</v>
      </c>
      <c r="B27" s="18">
        <f>SUM(B26:B26)</f>
        <v>309186</v>
      </c>
    </row>
    <row r="28" spans="1:2" x14ac:dyDescent="0.2">
      <c r="A28" s="6"/>
      <c r="B28" s="15"/>
    </row>
    <row r="29" spans="1:2" x14ac:dyDescent="0.2">
      <c r="A29" s="22" t="s">
        <v>17</v>
      </c>
      <c r="B29" s="15">
        <v>100000</v>
      </c>
    </row>
    <row r="30" spans="1:2" x14ac:dyDescent="0.2">
      <c r="A30" s="22" t="s">
        <v>18</v>
      </c>
      <c r="B30" s="15">
        <v>500000</v>
      </c>
    </row>
    <row r="31" spans="1:2" x14ac:dyDescent="0.2">
      <c r="A31" s="22" t="s">
        <v>19</v>
      </c>
      <c r="B31" s="15">
        <v>170000</v>
      </c>
    </row>
    <row r="32" spans="1:2" x14ac:dyDescent="0.2">
      <c r="A32" s="16" t="s">
        <v>20</v>
      </c>
      <c r="B32" s="15">
        <v>20000</v>
      </c>
    </row>
    <row r="33" spans="1:2" x14ac:dyDescent="0.2">
      <c r="A33" s="14" t="s">
        <v>6</v>
      </c>
      <c r="B33" s="15">
        <f>SUM(B34:B36)</f>
        <v>405000</v>
      </c>
    </row>
    <row r="34" spans="1:2" x14ac:dyDescent="0.2">
      <c r="A34" s="16" t="s">
        <v>21</v>
      </c>
      <c r="B34" s="15">
        <v>115000</v>
      </c>
    </row>
    <row r="35" spans="1:2" x14ac:dyDescent="0.2">
      <c r="A35" s="16" t="s">
        <v>22</v>
      </c>
      <c r="B35" s="15">
        <v>240000</v>
      </c>
    </row>
    <row r="36" spans="1:2" x14ac:dyDescent="0.2">
      <c r="A36" s="16" t="s">
        <v>23</v>
      </c>
      <c r="B36" s="15">
        <v>50000</v>
      </c>
    </row>
    <row r="37" spans="1:2" x14ac:dyDescent="0.2">
      <c r="A37" s="14" t="s">
        <v>24</v>
      </c>
      <c r="B37" s="15">
        <v>50000</v>
      </c>
    </row>
    <row r="38" spans="1:2" x14ac:dyDescent="0.2">
      <c r="A38" s="14" t="s">
        <v>25</v>
      </c>
      <c r="B38" s="15">
        <v>8385000</v>
      </c>
    </row>
    <row r="39" spans="1:2" x14ac:dyDescent="0.2">
      <c r="A39" s="14" t="s">
        <v>26</v>
      </c>
      <c r="B39" s="15">
        <v>40000</v>
      </c>
    </row>
    <row r="40" spans="1:2" x14ac:dyDescent="0.2">
      <c r="A40" s="14" t="s">
        <v>8</v>
      </c>
      <c r="B40" s="15">
        <f>(B29+B30+B31+B32+B33+B37+B39)*0.27</f>
        <v>346950</v>
      </c>
    </row>
    <row r="41" spans="1:2" x14ac:dyDescent="0.2">
      <c r="A41" s="14" t="s">
        <v>27</v>
      </c>
      <c r="B41" s="15">
        <f>100000-198</f>
        <v>99802</v>
      </c>
    </row>
    <row r="42" spans="1:2" x14ac:dyDescent="0.2">
      <c r="A42" s="17" t="s">
        <v>9</v>
      </c>
      <c r="B42" s="18">
        <f>SUM(B29:B41)-B34-B35-B36</f>
        <v>10116752</v>
      </c>
    </row>
    <row r="43" spans="1:2" x14ac:dyDescent="0.2">
      <c r="A43" s="12"/>
      <c r="B43" s="24"/>
    </row>
    <row r="44" spans="1:2" x14ac:dyDescent="0.2">
      <c r="A44" s="19" t="s">
        <v>10</v>
      </c>
      <c r="B44" s="20">
        <f>B24+B27+B42</f>
        <v>12333466</v>
      </c>
    </row>
    <row r="45" spans="1:2" x14ac:dyDescent="0.2">
      <c r="A45" s="16"/>
      <c r="B45" s="25"/>
    </row>
    <row r="46" spans="1:2" x14ac:dyDescent="0.2">
      <c r="A46" s="26" t="s">
        <v>28</v>
      </c>
      <c r="B46" s="11"/>
    </row>
    <row r="47" spans="1:2" x14ac:dyDescent="0.2">
      <c r="A47" s="6"/>
      <c r="B47" s="15"/>
    </row>
    <row r="48" spans="1:2" x14ac:dyDescent="0.2">
      <c r="A48" s="14" t="s">
        <v>6</v>
      </c>
      <c r="B48" s="15">
        <f>SUM(B49:B51)</f>
        <v>115000</v>
      </c>
    </row>
    <row r="49" spans="1:2" x14ac:dyDescent="0.2">
      <c r="A49" s="16" t="s">
        <v>21</v>
      </c>
      <c r="B49" s="15">
        <v>30000</v>
      </c>
    </row>
    <row r="50" spans="1:2" x14ac:dyDescent="0.2">
      <c r="A50" s="16" t="s">
        <v>22</v>
      </c>
      <c r="B50" s="15">
        <v>60000</v>
      </c>
    </row>
    <row r="51" spans="1:2" x14ac:dyDescent="0.2">
      <c r="A51" s="16" t="s">
        <v>23</v>
      </c>
      <c r="B51" s="15">
        <v>25000</v>
      </c>
    </row>
    <row r="52" spans="1:2" x14ac:dyDescent="0.2">
      <c r="A52" s="14" t="s">
        <v>8</v>
      </c>
      <c r="B52" s="15">
        <f>(B48)*0.27</f>
        <v>31050.000000000004</v>
      </c>
    </row>
    <row r="53" spans="1:2" x14ac:dyDescent="0.2">
      <c r="A53" s="17" t="s">
        <v>9</v>
      </c>
      <c r="B53" s="18">
        <f>SUM(B48:B52)-B49-B50-B51</f>
        <v>146050</v>
      </c>
    </row>
    <row r="54" spans="1:2" x14ac:dyDescent="0.2">
      <c r="A54" s="12"/>
      <c r="B54" s="24"/>
    </row>
    <row r="55" spans="1:2" x14ac:dyDescent="0.2">
      <c r="A55" s="19" t="s">
        <v>10</v>
      </c>
      <c r="B55" s="20">
        <f>B53</f>
        <v>146050</v>
      </c>
    </row>
    <row r="56" spans="1:2" x14ac:dyDescent="0.2">
      <c r="A56" s="19"/>
      <c r="B56" s="20"/>
    </row>
    <row r="57" spans="1:2" x14ac:dyDescent="0.2">
      <c r="A57" s="16"/>
      <c r="B57" s="25"/>
    </row>
    <row r="58" spans="1:2" x14ac:dyDescent="0.2">
      <c r="A58" s="27" t="s">
        <v>29</v>
      </c>
      <c r="B58" s="11"/>
    </row>
    <row r="59" spans="1:2" x14ac:dyDescent="0.2">
      <c r="A59" s="28"/>
      <c r="B59" s="13"/>
    </row>
    <row r="60" spans="1:2" x14ac:dyDescent="0.2">
      <c r="A60" s="22" t="s">
        <v>18</v>
      </c>
      <c r="B60" s="15">
        <v>100000</v>
      </c>
    </row>
    <row r="61" spans="1:2" x14ac:dyDescent="0.2">
      <c r="A61" s="14" t="s">
        <v>6</v>
      </c>
      <c r="B61" s="15">
        <f>SUM(B62:B64)</f>
        <v>267000</v>
      </c>
    </row>
    <row r="62" spans="1:2" x14ac:dyDescent="0.2">
      <c r="A62" s="16" t="s">
        <v>21</v>
      </c>
      <c r="B62" s="15">
        <v>150000</v>
      </c>
    </row>
    <row r="63" spans="1:2" x14ac:dyDescent="0.2">
      <c r="A63" s="16" t="s">
        <v>22</v>
      </c>
      <c r="B63" s="15">
        <v>105000</v>
      </c>
    </row>
    <row r="64" spans="1:2" x14ac:dyDescent="0.2">
      <c r="A64" s="16" t="s">
        <v>30</v>
      </c>
      <c r="B64" s="15">
        <v>12000</v>
      </c>
    </row>
    <row r="65" spans="1:2" x14ac:dyDescent="0.2">
      <c r="A65" s="14" t="s">
        <v>26</v>
      </c>
      <c r="B65" s="15">
        <v>140000</v>
      </c>
    </row>
    <row r="66" spans="1:2" x14ac:dyDescent="0.2">
      <c r="A66" s="14" t="s">
        <v>8</v>
      </c>
      <c r="B66" s="15">
        <f>(B61+B65+B60)*0.27</f>
        <v>136890</v>
      </c>
    </row>
    <row r="67" spans="1:2" x14ac:dyDescent="0.2">
      <c r="A67" s="17" t="s">
        <v>9</v>
      </c>
      <c r="B67" s="18">
        <f>B61+B65+B66+B60</f>
        <v>643890</v>
      </c>
    </row>
    <row r="68" spans="1:2" x14ac:dyDescent="0.2">
      <c r="A68" s="12"/>
      <c r="B68" s="13"/>
    </row>
    <row r="69" spans="1:2" x14ac:dyDescent="0.2">
      <c r="A69" s="19" t="s">
        <v>10</v>
      </c>
      <c r="B69" s="20">
        <f>B67</f>
        <v>643890</v>
      </c>
    </row>
    <row r="70" spans="1:2" x14ac:dyDescent="0.2">
      <c r="A70" s="28"/>
      <c r="B70" s="13"/>
    </row>
    <row r="71" spans="1:2" x14ac:dyDescent="0.2">
      <c r="A71" s="27" t="s">
        <v>31</v>
      </c>
      <c r="B71" s="11"/>
    </row>
    <row r="72" spans="1:2" x14ac:dyDescent="0.2">
      <c r="A72" s="28"/>
      <c r="B72" s="13"/>
    </row>
    <row r="73" spans="1:2" x14ac:dyDescent="0.2">
      <c r="A73" s="22" t="s">
        <v>32</v>
      </c>
      <c r="B73" s="15">
        <f>[1]ÖSSZESÍTÉS!$M$3</f>
        <v>26531095</v>
      </c>
    </row>
    <row r="74" spans="1:2" x14ac:dyDescent="0.2">
      <c r="A74" s="22" t="s">
        <v>33</v>
      </c>
      <c r="B74" s="15">
        <f>[1]ÖSSZESÍTÉS!$M$12</f>
        <v>800000</v>
      </c>
    </row>
    <row r="75" spans="1:2" x14ac:dyDescent="0.2">
      <c r="A75" s="23" t="s">
        <v>14</v>
      </c>
      <c r="B75" s="18">
        <f>SUM(B73:B74)</f>
        <v>27331095</v>
      </c>
    </row>
    <row r="76" spans="1:2" x14ac:dyDescent="0.2">
      <c r="A76" s="22"/>
      <c r="B76" s="15"/>
    </row>
    <row r="77" spans="1:2" x14ac:dyDescent="0.2">
      <c r="A77" s="22" t="s">
        <v>15</v>
      </c>
      <c r="B77" s="15">
        <v>2391471</v>
      </c>
    </row>
    <row r="78" spans="1:2" x14ac:dyDescent="0.2">
      <c r="A78" s="22" t="s">
        <v>34</v>
      </c>
      <c r="B78" s="15">
        <v>150000</v>
      </c>
    </row>
    <row r="79" spans="1:2" x14ac:dyDescent="0.2">
      <c r="A79" s="23" t="s">
        <v>16</v>
      </c>
      <c r="B79" s="18">
        <f>SUM(B77:B78)</f>
        <v>2541471</v>
      </c>
    </row>
    <row r="80" spans="1:2" x14ac:dyDescent="0.2">
      <c r="A80" s="6"/>
      <c r="B80" s="15"/>
    </row>
    <row r="81" spans="1:2" x14ac:dyDescent="0.2">
      <c r="A81" s="22" t="s">
        <v>18</v>
      </c>
      <c r="B81" s="15">
        <f>4803399-689287-15621</f>
        <v>4098491</v>
      </c>
    </row>
    <row r="82" spans="1:2" x14ac:dyDescent="0.2">
      <c r="A82" s="14" t="s">
        <v>35</v>
      </c>
      <c r="B82" s="15">
        <v>252314</v>
      </c>
    </row>
    <row r="83" spans="1:2" x14ac:dyDescent="0.2">
      <c r="A83" s="14" t="s">
        <v>25</v>
      </c>
      <c r="B83" s="15">
        <v>900000</v>
      </c>
    </row>
    <row r="84" spans="1:2" x14ac:dyDescent="0.2">
      <c r="A84" s="14" t="s">
        <v>8</v>
      </c>
      <c r="B84" s="15">
        <f>1608044-166172-4217-306449-18</f>
        <v>1131188</v>
      </c>
    </row>
    <row r="85" spans="1:2" x14ac:dyDescent="0.2">
      <c r="A85" s="17" t="s">
        <v>9</v>
      </c>
      <c r="B85" s="18">
        <f>SUM(B81:B84)</f>
        <v>6381993</v>
      </c>
    </row>
    <row r="86" spans="1:2" x14ac:dyDescent="0.2">
      <c r="A86" s="12"/>
      <c r="B86" s="24"/>
    </row>
    <row r="87" spans="1:2" x14ac:dyDescent="0.2">
      <c r="A87" s="19" t="s">
        <v>10</v>
      </c>
      <c r="B87" s="20">
        <f>B75+B79+B85</f>
        <v>36254559</v>
      </c>
    </row>
    <row r="88" spans="1:2" x14ac:dyDescent="0.2">
      <c r="A88" s="28"/>
      <c r="B88" s="13"/>
    </row>
    <row r="89" spans="1:2" x14ac:dyDescent="0.2">
      <c r="A89" s="10" t="s">
        <v>36</v>
      </c>
      <c r="B89" s="29"/>
    </row>
    <row r="90" spans="1:2" x14ac:dyDescent="0.2">
      <c r="A90" s="19"/>
      <c r="B90" s="20"/>
    </row>
    <row r="91" spans="1:2" x14ac:dyDescent="0.2">
      <c r="A91" s="14" t="s">
        <v>35</v>
      </c>
      <c r="B91" s="15">
        <v>2200000</v>
      </c>
    </row>
    <row r="92" spans="1:2" x14ac:dyDescent="0.2">
      <c r="A92" s="14" t="s">
        <v>8</v>
      </c>
      <c r="B92" s="15">
        <f>B91*0.27</f>
        <v>594000</v>
      </c>
    </row>
    <row r="93" spans="1:2" x14ac:dyDescent="0.2">
      <c r="A93" s="17" t="s">
        <v>9</v>
      </c>
      <c r="B93" s="18">
        <f>SUM(B91:B92)</f>
        <v>2794000</v>
      </c>
    </row>
    <row r="94" spans="1:2" x14ac:dyDescent="0.2">
      <c r="A94" s="12"/>
      <c r="B94" s="30"/>
    </row>
    <row r="95" spans="1:2" x14ac:dyDescent="0.2">
      <c r="A95" s="19" t="s">
        <v>10</v>
      </c>
      <c r="B95" s="20">
        <f>B93</f>
        <v>2794000</v>
      </c>
    </row>
    <row r="96" spans="1:2" x14ac:dyDescent="0.2">
      <c r="A96" s="19"/>
      <c r="B96" s="20"/>
    </row>
    <row r="97" spans="1:2" x14ac:dyDescent="0.2">
      <c r="A97" s="28"/>
      <c r="B97" s="13"/>
    </row>
    <row r="98" spans="1:2" x14ac:dyDescent="0.2">
      <c r="A98" s="19"/>
      <c r="B98" s="31"/>
    </row>
    <row r="99" spans="1:2" x14ac:dyDescent="0.2">
      <c r="A99" s="10" t="s">
        <v>37</v>
      </c>
      <c r="B99" s="11"/>
    </row>
    <row r="100" spans="1:2" x14ac:dyDescent="0.2">
      <c r="A100" s="32"/>
      <c r="B100" s="25"/>
    </row>
    <row r="101" spans="1:2" x14ac:dyDescent="0.2">
      <c r="A101" s="22" t="s">
        <v>38</v>
      </c>
      <c r="B101" s="15">
        <f>[1]ÖSSZESÍTÉS!$I$3+561600</f>
        <v>17458200</v>
      </c>
    </row>
    <row r="102" spans="1:2" x14ac:dyDescent="0.2">
      <c r="A102" s="23" t="s">
        <v>14</v>
      </c>
      <c r="B102" s="18">
        <f>SUM(B98:B101)</f>
        <v>17458200</v>
      </c>
    </row>
    <row r="103" spans="1:2" x14ac:dyDescent="0.2">
      <c r="A103" s="23"/>
      <c r="B103" s="18"/>
    </row>
    <row r="104" spans="1:2" x14ac:dyDescent="0.2">
      <c r="A104" s="22" t="s">
        <v>15</v>
      </c>
      <c r="B104" s="15">
        <f>2956905+98280</f>
        <v>3055185</v>
      </c>
    </row>
    <row r="105" spans="1:2" x14ac:dyDescent="0.2">
      <c r="A105" s="23" t="s">
        <v>16</v>
      </c>
      <c r="B105" s="18">
        <f>SUM(B104:B104)</f>
        <v>3055185</v>
      </c>
    </row>
    <row r="106" spans="1:2" x14ac:dyDescent="0.2">
      <c r="A106" s="23"/>
      <c r="B106" s="18"/>
    </row>
    <row r="107" spans="1:2" x14ac:dyDescent="0.2">
      <c r="A107" s="22" t="s">
        <v>18</v>
      </c>
      <c r="B107" s="15">
        <v>4600000</v>
      </c>
    </row>
    <row r="108" spans="1:2" x14ac:dyDescent="0.2">
      <c r="A108" s="22" t="s">
        <v>39</v>
      </c>
      <c r="B108" s="15">
        <v>3900000</v>
      </c>
    </row>
    <row r="109" spans="1:2" x14ac:dyDescent="0.2">
      <c r="A109" s="14" t="s">
        <v>24</v>
      </c>
      <c r="B109" s="15">
        <f>770000+148000</f>
        <v>918000</v>
      </c>
    </row>
    <row r="110" spans="1:2" x14ac:dyDescent="0.2">
      <c r="A110" s="16" t="s">
        <v>20</v>
      </c>
      <c r="B110" s="15">
        <v>100000</v>
      </c>
    </row>
    <row r="111" spans="1:2" x14ac:dyDescent="0.2">
      <c r="A111" s="22" t="s">
        <v>19</v>
      </c>
      <c r="B111" s="15">
        <v>80000</v>
      </c>
    </row>
    <row r="112" spans="1:2" x14ac:dyDescent="0.2">
      <c r="A112" s="22"/>
      <c r="B112" s="15"/>
    </row>
    <row r="113" spans="1:2" x14ac:dyDescent="0.2">
      <c r="A113" s="14" t="s">
        <v>6</v>
      </c>
      <c r="B113" s="15">
        <f>SUM(B114:B116)</f>
        <v>380000</v>
      </c>
    </row>
    <row r="114" spans="1:2" x14ac:dyDescent="0.2">
      <c r="A114" s="16" t="s">
        <v>21</v>
      </c>
      <c r="B114" s="15">
        <v>200000</v>
      </c>
    </row>
    <row r="115" spans="1:2" x14ac:dyDescent="0.2">
      <c r="A115" s="16" t="s">
        <v>22</v>
      </c>
      <c r="B115" s="15">
        <v>120000</v>
      </c>
    </row>
    <row r="116" spans="1:2" x14ac:dyDescent="0.2">
      <c r="A116" s="16" t="s">
        <v>23</v>
      </c>
      <c r="B116" s="15">
        <v>60000</v>
      </c>
    </row>
    <row r="117" spans="1:2" x14ac:dyDescent="0.2">
      <c r="A117" s="14" t="s">
        <v>40</v>
      </c>
      <c r="B117" s="15">
        <v>3300000</v>
      </c>
    </row>
    <row r="118" spans="1:2" x14ac:dyDescent="0.2">
      <c r="A118" s="14" t="s">
        <v>41</v>
      </c>
      <c r="B118" s="15">
        <v>4200000</v>
      </c>
    </row>
    <row r="119" spans="1:2" x14ac:dyDescent="0.2">
      <c r="A119" s="14" t="s">
        <v>26</v>
      </c>
      <c r="B119" s="15">
        <v>1700000</v>
      </c>
    </row>
    <row r="120" spans="1:2" x14ac:dyDescent="0.2">
      <c r="A120" s="14" t="s">
        <v>8</v>
      </c>
      <c r="B120" s="15">
        <f>(B107+B108+B109+B110+B111+B113+B117+B118+B119)*0.27-148000*0.27</f>
        <v>5138100</v>
      </c>
    </row>
    <row r="121" spans="1:2" x14ac:dyDescent="0.2">
      <c r="A121" s="14" t="s">
        <v>27</v>
      </c>
      <c r="B121" s="15">
        <v>1000000</v>
      </c>
    </row>
    <row r="122" spans="1:2" x14ac:dyDescent="0.2">
      <c r="A122" s="17" t="s">
        <v>9</v>
      </c>
      <c r="B122" s="18">
        <f>B107+B108+B109+B110+B111+B113+B117+B118+B119+B120+B121</f>
        <v>25316100</v>
      </c>
    </row>
    <row r="123" spans="1:2" x14ac:dyDescent="0.2">
      <c r="A123" s="12"/>
      <c r="B123" s="24"/>
    </row>
    <row r="124" spans="1:2" x14ac:dyDescent="0.2">
      <c r="A124" s="19" t="s">
        <v>10</v>
      </c>
      <c r="B124" s="20">
        <f>B122+B105+B102</f>
        <v>45829485</v>
      </c>
    </row>
    <row r="125" spans="1:2" x14ac:dyDescent="0.2">
      <c r="A125" s="19"/>
      <c r="B125" s="20"/>
    </row>
    <row r="126" spans="1:2" x14ac:dyDescent="0.2">
      <c r="A126" s="33" t="s">
        <v>42</v>
      </c>
      <c r="B126" s="34"/>
    </row>
    <row r="127" spans="1:2" x14ac:dyDescent="0.2">
      <c r="A127" s="14" t="s">
        <v>43</v>
      </c>
      <c r="B127" s="35">
        <v>581623</v>
      </c>
    </row>
    <row r="128" spans="1:2" x14ac:dyDescent="0.2">
      <c r="A128" s="17" t="s">
        <v>9</v>
      </c>
      <c r="B128" s="20">
        <f>B127</f>
        <v>581623</v>
      </c>
    </row>
    <row r="129" spans="1:2" x14ac:dyDescent="0.2">
      <c r="A129" s="19" t="s">
        <v>10</v>
      </c>
      <c r="B129" s="20">
        <f>B128</f>
        <v>581623</v>
      </c>
    </row>
    <row r="130" spans="1:2" x14ac:dyDescent="0.2">
      <c r="A130" s="19"/>
      <c r="B130" s="20"/>
    </row>
    <row r="131" spans="1:2" x14ac:dyDescent="0.2">
      <c r="A131" s="33" t="s">
        <v>44</v>
      </c>
      <c r="B131" s="34"/>
    </row>
    <row r="132" spans="1:2" x14ac:dyDescent="0.2">
      <c r="A132" s="36"/>
      <c r="B132" s="37"/>
    </row>
    <row r="133" spans="1:2" x14ac:dyDescent="0.2">
      <c r="A133" s="22" t="s">
        <v>45</v>
      </c>
      <c r="B133" s="15">
        <f>[1]ÖSSZESÍTÉS!$K$3</f>
        <v>40153400</v>
      </c>
    </row>
    <row r="134" spans="1:2" x14ac:dyDescent="0.2">
      <c r="A134" s="22" t="s">
        <v>46</v>
      </c>
      <c r="B134" s="15">
        <f>[1]ÖSSZESÍTÉS!$K$10</f>
        <v>500000</v>
      </c>
    </row>
    <row r="135" spans="1:2" x14ac:dyDescent="0.2">
      <c r="A135" s="22" t="s">
        <v>33</v>
      </c>
      <c r="B135" s="15">
        <f>[1]ÖSSZESÍTÉS!$K$12</f>
        <v>2000000</v>
      </c>
    </row>
    <row r="136" spans="1:2" x14ac:dyDescent="0.2">
      <c r="A136" s="22" t="s">
        <v>13</v>
      </c>
      <c r="B136" s="15">
        <f>[1]ÖSSZESÍTÉS!$K$15</f>
        <v>1100000</v>
      </c>
    </row>
    <row r="137" spans="1:2" x14ac:dyDescent="0.2">
      <c r="A137" s="23" t="s">
        <v>14</v>
      </c>
      <c r="B137" s="18">
        <f>SUM(B133:B136)</f>
        <v>43753400</v>
      </c>
    </row>
    <row r="138" spans="1:2" x14ac:dyDescent="0.2">
      <c r="A138" s="22"/>
      <c r="B138" s="15"/>
    </row>
    <row r="139" spans="1:2" x14ac:dyDescent="0.2">
      <c r="A139" s="22" t="s">
        <v>15</v>
      </c>
      <c r="B139" s="15">
        <v>7550095</v>
      </c>
    </row>
    <row r="140" spans="1:2" x14ac:dyDescent="0.2">
      <c r="A140" s="22" t="s">
        <v>34</v>
      </c>
      <c r="B140" s="15">
        <v>20000</v>
      </c>
    </row>
    <row r="141" spans="1:2" x14ac:dyDescent="0.2">
      <c r="A141" s="23" t="s">
        <v>16</v>
      </c>
      <c r="B141" s="18">
        <f>SUM(B139:B140)</f>
        <v>7570095</v>
      </c>
    </row>
    <row r="142" spans="1:2" x14ac:dyDescent="0.2">
      <c r="A142" s="6"/>
      <c r="B142" s="15"/>
    </row>
    <row r="143" spans="1:2" x14ac:dyDescent="0.2">
      <c r="A143" s="22" t="s">
        <v>17</v>
      </c>
      <c r="B143" s="15">
        <v>30000</v>
      </c>
    </row>
    <row r="144" spans="1:2" x14ac:dyDescent="0.2">
      <c r="A144" s="22" t="s">
        <v>18</v>
      </c>
      <c r="B144" s="15">
        <f>8000000+1680000</f>
        <v>9680000</v>
      </c>
    </row>
    <row r="145" spans="1:2" x14ac:dyDescent="0.2">
      <c r="A145" s="22" t="s">
        <v>19</v>
      </c>
      <c r="B145" s="15">
        <v>270000</v>
      </c>
    </row>
    <row r="146" spans="1:2" x14ac:dyDescent="0.2">
      <c r="A146" s="14" t="s">
        <v>6</v>
      </c>
      <c r="B146" s="15">
        <f>B147+B148+B149</f>
        <v>15926000</v>
      </c>
    </row>
    <row r="147" spans="1:2" x14ac:dyDescent="0.2">
      <c r="A147" s="16" t="s">
        <v>21</v>
      </c>
      <c r="B147" s="15">
        <v>326000</v>
      </c>
    </row>
    <row r="148" spans="1:2" x14ac:dyDescent="0.2">
      <c r="A148" s="16" t="s">
        <v>22</v>
      </c>
      <c r="B148" s="15">
        <f>10800000+1300000</f>
        <v>12100000</v>
      </c>
    </row>
    <row r="149" spans="1:2" x14ac:dyDescent="0.2">
      <c r="A149" s="16" t="s">
        <v>23</v>
      </c>
      <c r="B149" s="15">
        <v>3500000</v>
      </c>
    </row>
    <row r="150" spans="1:2" x14ac:dyDescent="0.2">
      <c r="A150" s="14" t="s">
        <v>24</v>
      </c>
      <c r="B150" s="15">
        <v>1800000</v>
      </c>
    </row>
    <row r="151" spans="1:2" x14ac:dyDescent="0.2">
      <c r="A151" s="14" t="s">
        <v>25</v>
      </c>
      <c r="B151" s="15">
        <v>900000</v>
      </c>
    </row>
    <row r="152" spans="1:2" x14ac:dyDescent="0.2">
      <c r="A152" s="14" t="s">
        <v>26</v>
      </c>
      <c r="B152" s="15">
        <v>1400000</v>
      </c>
    </row>
    <row r="153" spans="1:2" x14ac:dyDescent="0.2">
      <c r="A153" s="14" t="s">
        <v>47</v>
      </c>
      <c r="B153" s="15">
        <v>1200000</v>
      </c>
    </row>
    <row r="154" spans="1:2" x14ac:dyDescent="0.2">
      <c r="A154" s="14" t="s">
        <v>8</v>
      </c>
      <c r="B154" s="15">
        <f>(B143+B144+B145+B146+B150+B151+B152+B153)*0.27</f>
        <v>8425620</v>
      </c>
    </row>
    <row r="155" spans="1:2" x14ac:dyDescent="0.2">
      <c r="A155" s="14" t="s">
        <v>48</v>
      </c>
      <c r="B155" s="15">
        <f>2000000+74315</f>
        <v>2074315</v>
      </c>
    </row>
    <row r="156" spans="1:2" x14ac:dyDescent="0.2">
      <c r="A156" s="17" t="s">
        <v>9</v>
      </c>
      <c r="B156" s="18">
        <f>B143+B144+B145+B146+B150+B151+B152+B153+B154+B155</f>
        <v>41705935</v>
      </c>
    </row>
    <row r="157" spans="1:2" x14ac:dyDescent="0.2">
      <c r="A157" s="19" t="s">
        <v>10</v>
      </c>
      <c r="B157" s="20">
        <f>B137+B141+B156</f>
        <v>93029430</v>
      </c>
    </row>
    <row r="158" spans="1:2" x14ac:dyDescent="0.2">
      <c r="A158" s="36"/>
      <c r="B158" s="37"/>
    </row>
    <row r="159" spans="1:2" x14ac:dyDescent="0.2">
      <c r="A159" s="38" t="s">
        <v>49</v>
      </c>
      <c r="B159" s="39"/>
    </row>
    <row r="160" spans="1:2" x14ac:dyDescent="0.2">
      <c r="A160" s="19"/>
      <c r="B160" s="20"/>
    </row>
    <row r="161" spans="1:2" x14ac:dyDescent="0.2">
      <c r="A161" s="33" t="s">
        <v>50</v>
      </c>
      <c r="B161" s="34"/>
    </row>
    <row r="162" spans="1:2" x14ac:dyDescent="0.2">
      <c r="A162" s="36"/>
      <c r="B162" s="37"/>
    </row>
    <row r="163" spans="1:2" x14ac:dyDescent="0.2">
      <c r="A163" s="15" t="s">
        <v>51</v>
      </c>
      <c r="B163" s="15">
        <v>1391699</v>
      </c>
    </row>
    <row r="164" spans="1:2" x14ac:dyDescent="0.2">
      <c r="A164" s="22" t="s">
        <v>52</v>
      </c>
      <c r="B164" s="15">
        <f>8976000+1069113-7789474</f>
        <v>2255639</v>
      </c>
    </row>
    <row r="165" spans="1:2" x14ac:dyDescent="0.2">
      <c r="A165" s="22" t="s">
        <v>53</v>
      </c>
      <c r="B165" s="15">
        <f>[1]ÖSSZESÍTÉS!$H$11</f>
        <v>9022</v>
      </c>
    </row>
    <row r="166" spans="1:2" x14ac:dyDescent="0.2">
      <c r="A166" s="22" t="s">
        <v>54</v>
      </c>
      <c r="B166" s="15">
        <f>[1]ÖSSZESÍTÉS!$H$13</f>
        <v>13718864</v>
      </c>
    </row>
    <row r="167" spans="1:2" x14ac:dyDescent="0.2">
      <c r="A167" s="22" t="s">
        <v>55</v>
      </c>
      <c r="B167" s="15">
        <f>[1]ÖSSZESÍTÉS!$H$14</f>
        <v>612000</v>
      </c>
    </row>
    <row r="168" spans="1:2" x14ac:dyDescent="0.2">
      <c r="A168" s="23" t="s">
        <v>14</v>
      </c>
      <c r="B168" s="18">
        <f>SUM(B163:B167)</f>
        <v>17987224</v>
      </c>
    </row>
    <row r="169" spans="1:2" x14ac:dyDescent="0.2">
      <c r="A169" s="22"/>
      <c r="B169" s="15"/>
    </row>
    <row r="170" spans="1:2" x14ac:dyDescent="0.2">
      <c r="A170" s="22" t="s">
        <v>15</v>
      </c>
      <c r="B170" s="15">
        <f>2409246+215713-1207368</f>
        <v>1417591</v>
      </c>
    </row>
    <row r="171" spans="1:2" x14ac:dyDescent="0.2">
      <c r="A171" s="22" t="s">
        <v>56</v>
      </c>
      <c r="B171" s="15">
        <v>1879959</v>
      </c>
    </row>
    <row r="172" spans="1:2" x14ac:dyDescent="0.2">
      <c r="A172" s="22" t="s">
        <v>57</v>
      </c>
      <c r="B172" s="15">
        <f>1611394-1069113</f>
        <v>542281</v>
      </c>
    </row>
    <row r="173" spans="1:2" x14ac:dyDescent="0.2">
      <c r="A173" s="23" t="s">
        <v>16</v>
      </c>
      <c r="B173" s="18">
        <f>SUM(B170:B172)</f>
        <v>3839831</v>
      </c>
    </row>
    <row r="174" spans="1:2" x14ac:dyDescent="0.2">
      <c r="A174" s="6"/>
      <c r="B174" s="15"/>
    </row>
    <row r="175" spans="1:2" x14ac:dyDescent="0.2">
      <c r="A175" s="22" t="s">
        <v>18</v>
      </c>
      <c r="B175" s="15">
        <v>150000</v>
      </c>
    </row>
    <row r="176" spans="1:2" x14ac:dyDescent="0.2">
      <c r="A176" s="14" t="s">
        <v>25</v>
      </c>
      <c r="B176" s="15">
        <v>480000</v>
      </c>
    </row>
    <row r="177" spans="1:2" x14ac:dyDescent="0.2">
      <c r="A177" s="14" t="s">
        <v>26</v>
      </c>
      <c r="B177" s="15">
        <f>3000000+501931</f>
        <v>3501931</v>
      </c>
    </row>
    <row r="178" spans="1:2" x14ac:dyDescent="0.2">
      <c r="A178" s="14" t="s">
        <v>8</v>
      </c>
      <c r="B178" s="15">
        <f>(B175+B176+B177)*0.27-B177*0.27</f>
        <v>170100</v>
      </c>
    </row>
    <row r="179" spans="1:2" x14ac:dyDescent="0.2">
      <c r="A179" s="14" t="s">
        <v>58</v>
      </c>
      <c r="B179" s="15">
        <f>7280000+600901</f>
        <v>7880901</v>
      </c>
    </row>
    <row r="180" spans="1:2" x14ac:dyDescent="0.2">
      <c r="A180" s="14" t="s">
        <v>59</v>
      </c>
      <c r="B180" s="15">
        <v>500000</v>
      </c>
    </row>
    <row r="181" spans="1:2" x14ac:dyDescent="0.2">
      <c r="A181" s="14" t="s">
        <v>27</v>
      </c>
      <c r="B181" s="15">
        <f>1200000+180122-63500+122600-30000-209222+5022+124820</f>
        <v>1329842</v>
      </c>
    </row>
    <row r="182" spans="1:2" x14ac:dyDescent="0.2">
      <c r="A182" s="17" t="s">
        <v>9</v>
      </c>
      <c r="B182" s="18">
        <f>B175+B176+B177+B178+B179+B180+B181</f>
        <v>14012774</v>
      </c>
    </row>
    <row r="183" spans="1:2" x14ac:dyDescent="0.2">
      <c r="A183" s="12"/>
      <c r="B183" s="24"/>
    </row>
    <row r="184" spans="1:2" x14ac:dyDescent="0.2">
      <c r="A184" s="19" t="s">
        <v>10</v>
      </c>
      <c r="B184" s="20">
        <f>B168+B173+B182</f>
        <v>35839829</v>
      </c>
    </row>
    <row r="185" spans="1:2" x14ac:dyDescent="0.2">
      <c r="A185" s="12"/>
      <c r="B185" s="24"/>
    </row>
    <row r="186" spans="1:2" x14ac:dyDescent="0.2">
      <c r="A186" s="33" t="s">
        <v>60</v>
      </c>
      <c r="B186" s="34"/>
    </row>
    <row r="187" spans="1:2" x14ac:dyDescent="0.2">
      <c r="A187" s="36"/>
      <c r="B187" s="37"/>
    </row>
    <row r="188" spans="1:2" x14ac:dyDescent="0.2">
      <c r="A188" s="14" t="s">
        <v>25</v>
      </c>
      <c r="B188" s="15">
        <v>980000</v>
      </c>
    </row>
    <row r="189" spans="1:2" x14ac:dyDescent="0.2">
      <c r="A189" s="14" t="s">
        <v>8</v>
      </c>
      <c r="B189" s="15">
        <v>264600</v>
      </c>
    </row>
    <row r="190" spans="1:2" x14ac:dyDescent="0.2">
      <c r="A190" s="17" t="s">
        <v>9</v>
      </c>
      <c r="B190" s="18">
        <f>B188+B189</f>
        <v>1244600</v>
      </c>
    </row>
    <row r="191" spans="1:2" x14ac:dyDescent="0.2">
      <c r="A191" s="12"/>
      <c r="B191" s="24"/>
    </row>
    <row r="192" spans="1:2" x14ac:dyDescent="0.2">
      <c r="A192" s="19" t="s">
        <v>10</v>
      </c>
      <c r="B192" s="20">
        <f>B190</f>
        <v>1244600</v>
      </c>
    </row>
    <row r="193" spans="1:2" x14ac:dyDescent="0.2">
      <c r="A193" s="36"/>
      <c r="B193" s="37"/>
    </row>
    <row r="194" spans="1:2" x14ac:dyDescent="0.2">
      <c r="A194" s="40" t="s">
        <v>61</v>
      </c>
      <c r="B194" s="41"/>
    </row>
    <row r="195" spans="1:2" x14ac:dyDescent="0.2">
      <c r="A195" s="36"/>
      <c r="B195" s="37"/>
    </row>
    <row r="196" spans="1:2" x14ac:dyDescent="0.2">
      <c r="A196" s="14" t="s">
        <v>26</v>
      </c>
      <c r="B196" s="15">
        <v>674241</v>
      </c>
    </row>
    <row r="197" spans="1:2" x14ac:dyDescent="0.2">
      <c r="A197" s="14" t="s">
        <v>8</v>
      </c>
      <c r="B197" s="15">
        <v>182045</v>
      </c>
    </row>
    <row r="198" spans="1:2" x14ac:dyDescent="0.2">
      <c r="A198" s="17" t="s">
        <v>9</v>
      </c>
      <c r="B198" s="18">
        <f>B196+B197</f>
        <v>856286</v>
      </c>
    </row>
    <row r="199" spans="1:2" x14ac:dyDescent="0.2">
      <c r="A199" s="36"/>
      <c r="B199" s="37"/>
    </row>
    <row r="200" spans="1:2" x14ac:dyDescent="0.2">
      <c r="A200" s="36"/>
      <c r="B200" s="37"/>
    </row>
    <row r="201" spans="1:2" x14ac:dyDescent="0.2">
      <c r="A201" s="23" t="s">
        <v>14</v>
      </c>
      <c r="B201" s="20">
        <f>B24+B75+B137+B168+B102</f>
        <v>108437447</v>
      </c>
    </row>
    <row r="202" spans="1:2" x14ac:dyDescent="0.2">
      <c r="A202" s="23" t="s">
        <v>16</v>
      </c>
      <c r="B202" s="20">
        <f>B27+B79+B141+B173+B105</f>
        <v>17315768</v>
      </c>
    </row>
    <row r="203" spans="1:2" x14ac:dyDescent="0.2">
      <c r="A203" s="17" t="s">
        <v>62</v>
      </c>
      <c r="B203" s="20">
        <f>B16+B42+B53+B67+B85+B93+B122+B156+B182+B128+B190+B198</f>
        <v>114087003</v>
      </c>
    </row>
    <row r="204" spans="1:2" x14ac:dyDescent="0.2">
      <c r="A204" s="17" t="s">
        <v>63</v>
      </c>
      <c r="B204" s="20">
        <f>'[2]4_ melléklet'!B8</f>
        <v>54290323</v>
      </c>
    </row>
    <row r="205" spans="1:2" ht="33.75" x14ac:dyDescent="0.2">
      <c r="A205" s="42" t="s">
        <v>64</v>
      </c>
      <c r="B205" s="20">
        <f>SUM(B201:B204)</f>
        <v>294130541</v>
      </c>
    </row>
    <row r="206" spans="1:2" x14ac:dyDescent="0.2">
      <c r="A206" s="42"/>
      <c r="B206" s="20"/>
    </row>
    <row r="207" spans="1:2" x14ac:dyDescent="0.2">
      <c r="A207" s="42"/>
      <c r="B207" s="20"/>
    </row>
    <row r="208" spans="1:2" x14ac:dyDescent="0.2">
      <c r="A208" s="38" t="s">
        <v>65</v>
      </c>
      <c r="B208" s="38"/>
    </row>
    <row r="209" spans="1:2" x14ac:dyDescent="0.2">
      <c r="A209" s="43"/>
      <c r="B209" s="20"/>
    </row>
    <row r="210" spans="1:2" x14ac:dyDescent="0.2">
      <c r="A210" s="8" t="s">
        <v>4</v>
      </c>
      <c r="B210" s="8"/>
    </row>
    <row r="211" spans="1:2" x14ac:dyDescent="0.2">
      <c r="A211" s="19"/>
      <c r="B211" s="44"/>
    </row>
    <row r="212" spans="1:2" x14ac:dyDescent="0.2">
      <c r="A212" s="10" t="s">
        <v>66</v>
      </c>
      <c r="B212" s="11"/>
    </row>
    <row r="213" spans="1:2" x14ac:dyDescent="0.2">
      <c r="A213" s="12"/>
      <c r="B213" s="45"/>
    </row>
    <row r="214" spans="1:2" x14ac:dyDescent="0.2">
      <c r="A214" s="22" t="s">
        <v>18</v>
      </c>
      <c r="B214" s="15">
        <v>1100000</v>
      </c>
    </row>
    <row r="215" spans="1:2" x14ac:dyDescent="0.2">
      <c r="A215" s="14" t="s">
        <v>6</v>
      </c>
      <c r="B215" s="15">
        <f>SUM(B216:B218)</f>
        <v>3700000</v>
      </c>
    </row>
    <row r="216" spans="1:2" x14ac:dyDescent="0.2">
      <c r="A216" s="46" t="s">
        <v>21</v>
      </c>
      <c r="B216" s="47">
        <v>2350000</v>
      </c>
    </row>
    <row r="217" spans="1:2" x14ac:dyDescent="0.2">
      <c r="A217" s="46" t="s">
        <v>22</v>
      </c>
      <c r="B217" s="47">
        <v>920000</v>
      </c>
    </row>
    <row r="218" spans="1:2" x14ac:dyDescent="0.2">
      <c r="A218" s="46" t="s">
        <v>23</v>
      </c>
      <c r="B218" s="47">
        <v>430000</v>
      </c>
    </row>
    <row r="219" spans="1:2" x14ac:dyDescent="0.2">
      <c r="A219" s="14" t="s">
        <v>24</v>
      </c>
      <c r="B219" s="15">
        <v>150000</v>
      </c>
    </row>
    <row r="220" spans="1:2" x14ac:dyDescent="0.2">
      <c r="A220" s="14" t="s">
        <v>26</v>
      </c>
      <c r="B220" s="15">
        <v>250000</v>
      </c>
    </row>
    <row r="221" spans="1:2" x14ac:dyDescent="0.2">
      <c r="A221" s="14" t="s">
        <v>8</v>
      </c>
      <c r="B221" s="15">
        <f>(B214+B215+B219+B220)*0.27</f>
        <v>1404000</v>
      </c>
    </row>
    <row r="222" spans="1:2" x14ac:dyDescent="0.2">
      <c r="A222" s="17" t="s">
        <v>9</v>
      </c>
      <c r="B222" s="18">
        <f>SUM(B214:B221)-B216-B217-B218</f>
        <v>6604000</v>
      </c>
    </row>
    <row r="223" spans="1:2" x14ac:dyDescent="0.2">
      <c r="A223" s="19" t="s">
        <v>10</v>
      </c>
      <c r="B223" s="20">
        <f>B222</f>
        <v>6604000</v>
      </c>
    </row>
    <row r="224" spans="1:2" x14ac:dyDescent="0.2">
      <c r="A224" s="12"/>
      <c r="B224" s="45"/>
    </row>
    <row r="225" spans="1:2" x14ac:dyDescent="0.2">
      <c r="A225" s="19"/>
      <c r="B225" s="20"/>
    </row>
    <row r="226" spans="1:2" x14ac:dyDescent="0.2">
      <c r="A226" s="38" t="s">
        <v>49</v>
      </c>
      <c r="B226" s="38"/>
    </row>
    <row r="227" spans="1:2" x14ac:dyDescent="0.2">
      <c r="A227" s="19"/>
      <c r="B227" s="20"/>
    </row>
    <row r="228" spans="1:2" x14ac:dyDescent="0.2">
      <c r="A228" s="33" t="s">
        <v>50</v>
      </c>
      <c r="B228" s="34"/>
    </row>
    <row r="229" spans="1:2" x14ac:dyDescent="0.2">
      <c r="A229" s="36"/>
      <c r="B229" s="37"/>
    </row>
    <row r="230" spans="1:2" x14ac:dyDescent="0.2">
      <c r="A230" s="22" t="s">
        <v>67</v>
      </c>
      <c r="B230" s="15">
        <f>[1]ÖSSZESÍTÉS!$C$3+2641288</f>
        <v>62060648</v>
      </c>
    </row>
    <row r="231" spans="1:2" x14ac:dyDescent="0.2">
      <c r="A231" s="22" t="s">
        <v>52</v>
      </c>
      <c r="B231" s="15">
        <v>2030075</v>
      </c>
    </row>
    <row r="232" spans="1:2" x14ac:dyDescent="0.2">
      <c r="A232" s="22" t="s">
        <v>68</v>
      </c>
      <c r="B232" s="15">
        <f>[1]ÖSSZESÍTÉS!$C$8</f>
        <v>1320000</v>
      </c>
    </row>
    <row r="233" spans="1:2" x14ac:dyDescent="0.2">
      <c r="A233" s="22" t="s">
        <v>69</v>
      </c>
      <c r="B233" s="15">
        <f>[1]ÖSSZESÍTÉS!$C$9</f>
        <v>2716974</v>
      </c>
    </row>
    <row r="234" spans="1:2" x14ac:dyDescent="0.2">
      <c r="A234" s="22" t="s">
        <v>46</v>
      </c>
      <c r="B234" s="15">
        <f>[1]ÖSSZESÍTÉS!$C$10</f>
        <v>120000</v>
      </c>
    </row>
    <row r="235" spans="1:2" x14ac:dyDescent="0.2">
      <c r="A235" s="22" t="s">
        <v>53</v>
      </c>
      <c r="B235" s="15">
        <f>[1]ÖSSZESÍTÉS!$C$11</f>
        <v>200000</v>
      </c>
    </row>
    <row r="236" spans="1:2" x14ac:dyDescent="0.2">
      <c r="A236" s="22" t="s">
        <v>33</v>
      </c>
      <c r="B236" s="15">
        <f>[1]ÖSSZESÍTÉS!$C$12</f>
        <v>390000</v>
      </c>
    </row>
    <row r="237" spans="1:2" ht="14.25" customHeight="1" x14ac:dyDescent="0.2">
      <c r="A237" s="22" t="s">
        <v>13</v>
      </c>
      <c r="B237" s="15">
        <v>500000</v>
      </c>
    </row>
    <row r="238" spans="1:2" ht="15.75" customHeight="1" x14ac:dyDescent="0.2">
      <c r="A238" s="22" t="s">
        <v>70</v>
      </c>
      <c r="B238" s="15">
        <f>[1]ÖSSZESÍTÉS!$C$17</f>
        <v>2000000</v>
      </c>
    </row>
    <row r="239" spans="1:2" x14ac:dyDescent="0.2">
      <c r="A239" s="23" t="s">
        <v>14</v>
      </c>
      <c r="B239" s="18">
        <f>SUM(B230:B238)</f>
        <v>71337697</v>
      </c>
    </row>
    <row r="240" spans="1:2" x14ac:dyDescent="0.2">
      <c r="A240" s="22"/>
      <c r="B240" s="15"/>
    </row>
    <row r="241" spans="1:2" x14ac:dyDescent="0.2">
      <c r="A241" s="22" t="s">
        <v>15</v>
      </c>
      <c r="B241" s="15">
        <f>10811388+396960+314662</f>
        <v>11523010</v>
      </c>
    </row>
    <row r="242" spans="1:2" x14ac:dyDescent="0.2">
      <c r="A242" s="22" t="s">
        <v>56</v>
      </c>
      <c r="B242" s="15">
        <v>888470</v>
      </c>
    </row>
    <row r="243" spans="1:2" x14ac:dyDescent="0.2">
      <c r="A243" s="22" t="s">
        <v>34</v>
      </c>
      <c r="B243" s="15">
        <v>100000</v>
      </c>
    </row>
    <row r="244" spans="1:2" x14ac:dyDescent="0.2">
      <c r="A244" s="22" t="s">
        <v>57</v>
      </c>
      <c r="B244" s="15">
        <v>761546</v>
      </c>
    </row>
    <row r="245" spans="1:2" x14ac:dyDescent="0.2">
      <c r="A245" s="23" t="s">
        <v>16</v>
      </c>
      <c r="B245" s="18">
        <f>SUM(B241:B244)</f>
        <v>13273026</v>
      </c>
    </row>
    <row r="246" spans="1:2" x14ac:dyDescent="0.2">
      <c r="A246" s="6"/>
      <c r="B246" s="15"/>
    </row>
    <row r="247" spans="1:2" x14ac:dyDescent="0.2">
      <c r="A247" s="22" t="s">
        <v>17</v>
      </c>
      <c r="B247" s="15">
        <v>400000</v>
      </c>
    </row>
    <row r="248" spans="1:2" x14ac:dyDescent="0.2">
      <c r="A248" s="22" t="s">
        <v>18</v>
      </c>
      <c r="B248" s="15">
        <v>1800000</v>
      </c>
    </row>
    <row r="249" spans="1:2" x14ac:dyDescent="0.2">
      <c r="A249" s="22" t="s">
        <v>19</v>
      </c>
      <c r="B249" s="15">
        <v>2860000</v>
      </c>
    </row>
    <row r="250" spans="1:2" x14ac:dyDescent="0.2">
      <c r="A250" s="16" t="s">
        <v>20</v>
      </c>
      <c r="B250" s="15">
        <v>480000</v>
      </c>
    </row>
    <row r="251" spans="1:2" x14ac:dyDescent="0.2">
      <c r="A251" s="14" t="s">
        <v>6</v>
      </c>
      <c r="B251" s="15">
        <f>SUM(B252:B254)</f>
        <v>1420000</v>
      </c>
    </row>
    <row r="252" spans="1:2" x14ac:dyDescent="0.2">
      <c r="A252" s="48" t="s">
        <v>71</v>
      </c>
      <c r="B252" s="49">
        <v>780000</v>
      </c>
    </row>
    <row r="253" spans="1:2" x14ac:dyDescent="0.2">
      <c r="A253" s="48" t="s">
        <v>22</v>
      </c>
      <c r="B253" s="47">
        <v>510000</v>
      </c>
    </row>
    <row r="254" spans="1:2" x14ac:dyDescent="0.2">
      <c r="A254" s="48" t="s">
        <v>23</v>
      </c>
      <c r="B254" s="47">
        <v>130000</v>
      </c>
    </row>
    <row r="255" spans="1:2" x14ac:dyDescent="0.2">
      <c r="A255" s="14" t="s">
        <v>72</v>
      </c>
      <c r="B255" s="15">
        <v>640000</v>
      </c>
    </row>
    <row r="256" spans="1:2" x14ac:dyDescent="0.2">
      <c r="A256" s="14" t="s">
        <v>24</v>
      </c>
      <c r="B256" s="15">
        <v>500000</v>
      </c>
    </row>
    <row r="257" spans="1:2" x14ac:dyDescent="0.2">
      <c r="A257" s="14" t="s">
        <v>73</v>
      </c>
      <c r="B257" s="15">
        <v>2000000</v>
      </c>
    </row>
    <row r="258" spans="1:2" x14ac:dyDescent="0.2">
      <c r="A258" s="14" t="s">
        <v>25</v>
      </c>
      <c r="B258" s="15">
        <f>1500000+600000</f>
        <v>2100000</v>
      </c>
    </row>
    <row r="259" spans="1:2" x14ac:dyDescent="0.2">
      <c r="A259" s="14" t="s">
        <v>26</v>
      </c>
      <c r="B259" s="15">
        <v>2750000</v>
      </c>
    </row>
    <row r="260" spans="1:2" x14ac:dyDescent="0.2">
      <c r="A260" s="14" t="s">
        <v>8</v>
      </c>
      <c r="B260" s="15">
        <f>(B247+B248+B249+B250+B251+B255+B256+B257+B259)*0.27-1640000*0.27</f>
        <v>3026700</v>
      </c>
    </row>
    <row r="261" spans="1:2" x14ac:dyDescent="0.2">
      <c r="A261" s="14" t="s">
        <v>74</v>
      </c>
      <c r="B261" s="15">
        <v>27000</v>
      </c>
    </row>
    <row r="262" spans="1:2" x14ac:dyDescent="0.2">
      <c r="A262" s="14" t="s">
        <v>27</v>
      </c>
      <c r="B262" s="15">
        <f>200000-8363</f>
        <v>191637</v>
      </c>
    </row>
    <row r="263" spans="1:2" x14ac:dyDescent="0.2">
      <c r="A263" s="17" t="s">
        <v>9</v>
      </c>
      <c r="B263" s="18">
        <f>B247+B248+B249+B250+B251+B255+B256+B257+B258+B259+B260+B261+B262</f>
        <v>18195337</v>
      </c>
    </row>
    <row r="264" spans="1:2" ht="9.6" customHeight="1" x14ac:dyDescent="0.2">
      <c r="A264" s="16"/>
      <c r="B264" s="50"/>
    </row>
    <row r="265" spans="1:2" x14ac:dyDescent="0.2">
      <c r="A265" s="19" t="s">
        <v>10</v>
      </c>
      <c r="B265" s="44">
        <f>B263+B245+B239</f>
        <v>102806060</v>
      </c>
    </row>
    <row r="266" spans="1:2" x14ac:dyDescent="0.2">
      <c r="A266" s="19"/>
      <c r="B266" s="44"/>
    </row>
    <row r="267" spans="1:2" x14ac:dyDescent="0.2">
      <c r="A267" s="10" t="s">
        <v>75</v>
      </c>
      <c r="B267" s="29"/>
    </row>
    <row r="268" spans="1:2" x14ac:dyDescent="0.2">
      <c r="A268" s="12"/>
      <c r="B268" s="12"/>
    </row>
    <row r="269" spans="1:2" x14ac:dyDescent="0.2">
      <c r="A269" s="22" t="s">
        <v>13</v>
      </c>
      <c r="B269" s="15">
        <f>[1]ÖSSZESÍTÉS!$D$15</f>
        <v>700000</v>
      </c>
    </row>
    <row r="270" spans="1:2" x14ac:dyDescent="0.2">
      <c r="A270" s="23" t="s">
        <v>14</v>
      </c>
      <c r="B270" s="18">
        <f>SUM(B269:B269)</f>
        <v>700000</v>
      </c>
    </row>
    <row r="271" spans="1:2" x14ac:dyDescent="0.2">
      <c r="A271" s="22" t="s">
        <v>15</v>
      </c>
      <c r="B271" s="15">
        <v>110250</v>
      </c>
    </row>
    <row r="272" spans="1:2" x14ac:dyDescent="0.2">
      <c r="A272" s="23" t="s">
        <v>16</v>
      </c>
      <c r="B272" s="18">
        <f>SUM(B271:B271)</f>
        <v>110250</v>
      </c>
    </row>
    <row r="273" spans="1:2" ht="10.15" customHeight="1" x14ac:dyDescent="0.2">
      <c r="A273" s="6"/>
      <c r="B273" s="15"/>
    </row>
    <row r="274" spans="1:2" x14ac:dyDescent="0.2">
      <c r="A274" s="19" t="s">
        <v>10</v>
      </c>
      <c r="B274" s="20">
        <f>B270+B272</f>
        <v>810250</v>
      </c>
    </row>
    <row r="275" spans="1:2" x14ac:dyDescent="0.2">
      <c r="A275" s="12"/>
      <c r="B275" s="12"/>
    </row>
    <row r="276" spans="1:2" x14ac:dyDescent="0.2">
      <c r="A276" s="10" t="s">
        <v>76</v>
      </c>
      <c r="B276" s="29"/>
    </row>
    <row r="277" spans="1:2" x14ac:dyDescent="0.2">
      <c r="A277" s="12"/>
      <c r="B277" s="51"/>
    </row>
    <row r="278" spans="1:2" x14ac:dyDescent="0.2">
      <c r="A278" s="22" t="s">
        <v>12</v>
      </c>
      <c r="B278" s="15">
        <f>[1]ÖSSZESÍTÉS!$E$3</f>
        <v>643680</v>
      </c>
    </row>
    <row r="279" spans="1:2" x14ac:dyDescent="0.2">
      <c r="A279" s="23" t="s">
        <v>14</v>
      </c>
      <c r="B279" s="18">
        <f>SUM(B278:B278)</f>
        <v>643680</v>
      </c>
    </row>
    <row r="280" spans="1:2" x14ac:dyDescent="0.2">
      <c r="A280" s="22" t="s">
        <v>15</v>
      </c>
      <c r="B280" s="15">
        <v>112644</v>
      </c>
    </row>
    <row r="281" spans="1:2" x14ac:dyDescent="0.2">
      <c r="A281" s="23" t="s">
        <v>16</v>
      </c>
      <c r="B281" s="18">
        <f>SUM(B280:B280)</f>
        <v>112644</v>
      </c>
    </row>
    <row r="282" spans="1:2" ht="10.15" customHeight="1" x14ac:dyDescent="0.2">
      <c r="A282" s="6"/>
      <c r="B282" s="15"/>
    </row>
    <row r="283" spans="1:2" x14ac:dyDescent="0.2">
      <c r="A283" s="19" t="s">
        <v>10</v>
      </c>
      <c r="B283" s="20">
        <f>B279+B281</f>
        <v>756324</v>
      </c>
    </row>
    <row r="284" spans="1:2" x14ac:dyDescent="0.2">
      <c r="A284" s="12"/>
      <c r="B284" s="12"/>
    </row>
    <row r="285" spans="1:2" x14ac:dyDescent="0.2">
      <c r="A285" s="40" t="s">
        <v>77</v>
      </c>
      <c r="B285" s="41"/>
    </row>
    <row r="286" spans="1:2" x14ac:dyDescent="0.2">
      <c r="A286" s="22" t="s">
        <v>12</v>
      </c>
      <c r="B286" s="52">
        <f>[1]ÖSSZESÍTÉS!$G$3</f>
        <v>1506960</v>
      </c>
    </row>
    <row r="287" spans="1:2" x14ac:dyDescent="0.2">
      <c r="A287" s="23" t="s">
        <v>14</v>
      </c>
      <c r="B287" s="53">
        <f>B286</f>
        <v>1506960</v>
      </c>
    </row>
    <row r="288" spans="1:2" x14ac:dyDescent="0.2">
      <c r="A288" s="22" t="s">
        <v>15</v>
      </c>
      <c r="B288" s="52">
        <v>263718</v>
      </c>
    </row>
    <row r="289" spans="1:2" x14ac:dyDescent="0.2">
      <c r="A289" s="23" t="s">
        <v>16</v>
      </c>
      <c r="B289" s="53">
        <f>B288</f>
        <v>263718</v>
      </c>
    </row>
    <row r="290" spans="1:2" x14ac:dyDescent="0.2">
      <c r="A290" s="19" t="s">
        <v>10</v>
      </c>
      <c r="B290" s="53">
        <f>B287+B289</f>
        <v>1770678</v>
      </c>
    </row>
    <row r="291" spans="1:2" x14ac:dyDescent="0.2">
      <c r="A291" s="12"/>
      <c r="B291" s="44"/>
    </row>
    <row r="292" spans="1:2" x14ac:dyDescent="0.2">
      <c r="A292" s="27" t="s">
        <v>78</v>
      </c>
      <c r="B292" s="54"/>
    </row>
    <row r="293" spans="1:2" x14ac:dyDescent="0.2">
      <c r="A293" s="28"/>
      <c r="B293" s="13"/>
    </row>
    <row r="294" spans="1:2" x14ac:dyDescent="0.2">
      <c r="A294" s="22" t="s">
        <v>79</v>
      </c>
      <c r="B294" s="15">
        <f>[1]ÖSSZESÍTÉS!$F$3+106555</f>
        <v>416220</v>
      </c>
    </row>
    <row r="295" spans="1:2" x14ac:dyDescent="0.2">
      <c r="A295" s="22" t="s">
        <v>33</v>
      </c>
      <c r="B295" s="15">
        <f>[1]ÖSSZESÍTÉS!$F$12</f>
        <v>10000</v>
      </c>
    </row>
    <row r="296" spans="1:2" x14ac:dyDescent="0.2">
      <c r="A296" s="23" t="s">
        <v>14</v>
      </c>
      <c r="B296" s="18">
        <f>SUM(B294:B295)</f>
        <v>426220</v>
      </c>
    </row>
    <row r="297" spans="1:2" x14ac:dyDescent="0.2">
      <c r="A297" s="22"/>
      <c r="B297" s="15"/>
    </row>
    <row r="298" spans="1:2" x14ac:dyDescent="0.2">
      <c r="A298" s="22" t="s">
        <v>15</v>
      </c>
      <c r="B298" s="15">
        <f>27971+8258</f>
        <v>36229</v>
      </c>
    </row>
    <row r="299" spans="1:2" x14ac:dyDescent="0.2">
      <c r="A299" s="23" t="s">
        <v>16</v>
      </c>
      <c r="B299" s="18">
        <f>SUM(B298:B298)</f>
        <v>36229</v>
      </c>
    </row>
    <row r="300" spans="1:2" x14ac:dyDescent="0.2">
      <c r="A300" s="6"/>
      <c r="B300" s="15"/>
    </row>
    <row r="301" spans="1:2" x14ac:dyDescent="0.2">
      <c r="A301" s="19" t="s">
        <v>10</v>
      </c>
      <c r="B301" s="20">
        <f>B296+B299</f>
        <v>462449</v>
      </c>
    </row>
    <row r="302" spans="1:2" x14ac:dyDescent="0.2">
      <c r="A302" s="19"/>
      <c r="B302" s="20"/>
    </row>
    <row r="303" spans="1:2" x14ac:dyDescent="0.2">
      <c r="A303" s="17"/>
      <c r="B303" s="6"/>
    </row>
    <row r="304" spans="1:2" x14ac:dyDescent="0.2">
      <c r="A304" s="23" t="s">
        <v>14</v>
      </c>
      <c r="B304" s="55">
        <f>B239+B270+B279+B296+B287</f>
        <v>74614557</v>
      </c>
    </row>
    <row r="305" spans="1:2" x14ac:dyDescent="0.2">
      <c r="A305" s="23" t="s">
        <v>16</v>
      </c>
      <c r="B305" s="20">
        <f>B245+B272+B281+B299+B289</f>
        <v>13795867</v>
      </c>
    </row>
    <row r="306" spans="1:2" x14ac:dyDescent="0.2">
      <c r="A306" s="17" t="s">
        <v>62</v>
      </c>
      <c r="B306" s="20">
        <f>B222+B263</f>
        <v>24799337</v>
      </c>
    </row>
    <row r="307" spans="1:2" ht="22.5" x14ac:dyDescent="0.2">
      <c r="A307" s="42" t="s">
        <v>80</v>
      </c>
      <c r="B307" s="20">
        <f>SUM(B304:B306)</f>
        <v>113209761</v>
      </c>
    </row>
    <row r="308" spans="1:2" x14ac:dyDescent="0.2">
      <c r="A308" s="42"/>
      <c r="B308" s="20"/>
    </row>
    <row r="309" spans="1:2" x14ac:dyDescent="0.2">
      <c r="A309" s="42"/>
      <c r="B309" s="20"/>
    </row>
    <row r="310" spans="1:2" x14ac:dyDescent="0.2">
      <c r="A310" s="56" t="s">
        <v>81</v>
      </c>
      <c r="B310" s="56"/>
    </row>
    <row r="311" spans="1:2" x14ac:dyDescent="0.2">
      <c r="A311" s="57"/>
      <c r="B311" s="58"/>
    </row>
    <row r="312" spans="1:2" x14ac:dyDescent="0.2">
      <c r="A312" s="8" t="s">
        <v>4</v>
      </c>
      <c r="B312" s="8"/>
    </row>
    <row r="313" spans="1:2" x14ac:dyDescent="0.2">
      <c r="A313" s="9"/>
      <c r="B313" s="9"/>
    </row>
    <row r="314" spans="1:2" x14ac:dyDescent="0.2">
      <c r="A314" s="27" t="s">
        <v>78</v>
      </c>
      <c r="B314" s="54"/>
    </row>
    <row r="315" spans="1:2" x14ac:dyDescent="0.2">
      <c r="A315" s="28"/>
      <c r="B315" s="13"/>
    </row>
    <row r="316" spans="1:2" x14ac:dyDescent="0.2">
      <c r="A316" s="22" t="s">
        <v>82</v>
      </c>
      <c r="B316" s="15">
        <f>[1]ÖSSZESÍTÉS!$Y$3+9857815+1247975</f>
        <v>16317255</v>
      </c>
    </row>
    <row r="317" spans="1:2" x14ac:dyDescent="0.2">
      <c r="A317" s="23" t="s">
        <v>14</v>
      </c>
      <c r="B317" s="18">
        <f>SUM(B316:B316)</f>
        <v>16317255</v>
      </c>
    </row>
    <row r="318" spans="1:2" x14ac:dyDescent="0.2">
      <c r="A318" s="22"/>
      <c r="B318" s="15"/>
    </row>
    <row r="319" spans="1:2" x14ac:dyDescent="0.2">
      <c r="A319" s="22" t="s">
        <v>15</v>
      </c>
      <c r="B319" s="15">
        <f>456003+862559+96724</f>
        <v>1415286</v>
      </c>
    </row>
    <row r="320" spans="1:2" x14ac:dyDescent="0.2">
      <c r="A320" s="22" t="s">
        <v>34</v>
      </c>
      <c r="B320" s="15">
        <v>20000</v>
      </c>
    </row>
    <row r="321" spans="1:2" x14ac:dyDescent="0.2">
      <c r="A321" s="23" t="s">
        <v>16</v>
      </c>
      <c r="B321" s="18">
        <f>SUM(B319:B320)</f>
        <v>1435286</v>
      </c>
    </row>
    <row r="322" spans="1:2" x14ac:dyDescent="0.2">
      <c r="A322" s="6"/>
      <c r="B322" s="15"/>
    </row>
    <row r="323" spans="1:2" x14ac:dyDescent="0.2">
      <c r="A323" s="19" t="s">
        <v>10</v>
      </c>
      <c r="B323" s="20">
        <f>B317+B321</f>
        <v>17752541</v>
      </c>
    </row>
    <row r="324" spans="1:2" x14ac:dyDescent="0.2">
      <c r="A324" s="28"/>
      <c r="B324" s="24"/>
    </row>
    <row r="325" spans="1:2" x14ac:dyDescent="0.2">
      <c r="A325" s="10" t="s">
        <v>83</v>
      </c>
      <c r="B325" s="59"/>
    </row>
    <row r="326" spans="1:2" x14ac:dyDescent="0.2">
      <c r="A326" s="60"/>
      <c r="B326" s="24"/>
    </row>
    <row r="327" spans="1:2" x14ac:dyDescent="0.2">
      <c r="A327" s="22" t="s">
        <v>84</v>
      </c>
      <c r="B327" s="15">
        <f>[1]ÖSSZESÍTÉS!$N$3+1000000</f>
        <v>12272366</v>
      </c>
    </row>
    <row r="328" spans="1:2" x14ac:dyDescent="0.2">
      <c r="A328" s="22" t="s">
        <v>52</v>
      </c>
      <c r="B328" s="15">
        <v>3654135</v>
      </c>
    </row>
    <row r="329" spans="1:2" x14ac:dyDescent="0.2">
      <c r="A329" s="22" t="s">
        <v>46</v>
      </c>
      <c r="B329" s="15">
        <v>10000</v>
      </c>
    </row>
    <row r="330" spans="1:2" x14ac:dyDescent="0.2">
      <c r="A330" s="22" t="s">
        <v>53</v>
      </c>
      <c r="B330" s="15">
        <f>[1]ÖSSZESÍTÉS!$N$11</f>
        <v>18044</v>
      </c>
    </row>
    <row r="331" spans="1:2" x14ac:dyDescent="0.2">
      <c r="A331" s="22" t="s">
        <v>33</v>
      </c>
      <c r="B331" s="15">
        <f>[1]ÖSSZESÍTÉS!$N$12</f>
        <v>328368</v>
      </c>
    </row>
    <row r="332" spans="1:2" x14ac:dyDescent="0.2">
      <c r="A332" s="23" t="s">
        <v>14</v>
      </c>
      <c r="B332" s="18">
        <f>SUM(B327:B331)</f>
        <v>16282913</v>
      </c>
    </row>
    <row r="333" spans="1:2" x14ac:dyDescent="0.2">
      <c r="A333" s="22"/>
      <c r="B333" s="15"/>
    </row>
    <row r="334" spans="1:2" x14ac:dyDescent="0.2">
      <c r="A334" s="22" t="s">
        <v>15</v>
      </c>
      <c r="B334" s="15">
        <f>2033286+175000+566391</f>
        <v>2774677</v>
      </c>
    </row>
    <row r="335" spans="1:2" x14ac:dyDescent="0.2">
      <c r="A335" s="23" t="s">
        <v>16</v>
      </c>
      <c r="B335" s="18">
        <f>SUM(B334:B334)</f>
        <v>2774677</v>
      </c>
    </row>
    <row r="336" spans="1:2" x14ac:dyDescent="0.2">
      <c r="A336" s="6"/>
      <c r="B336" s="15"/>
    </row>
    <row r="337" spans="1:2" x14ac:dyDescent="0.2">
      <c r="A337" s="22" t="s">
        <v>17</v>
      </c>
      <c r="B337" s="15">
        <v>45000</v>
      </c>
    </row>
    <row r="338" spans="1:2" x14ac:dyDescent="0.2">
      <c r="A338" s="22" t="s">
        <v>18</v>
      </c>
      <c r="B338" s="15">
        <v>200000</v>
      </c>
    </row>
    <row r="339" spans="1:2" x14ac:dyDescent="0.2">
      <c r="A339" s="22" t="s">
        <v>19</v>
      </c>
      <c r="B339" s="15">
        <v>247000</v>
      </c>
    </row>
    <row r="340" spans="1:2" x14ac:dyDescent="0.2">
      <c r="A340" s="16" t="s">
        <v>20</v>
      </c>
      <c r="B340" s="15">
        <v>90000</v>
      </c>
    </row>
    <row r="341" spans="1:2" x14ac:dyDescent="0.2">
      <c r="A341" s="14" t="s">
        <v>6</v>
      </c>
      <c r="B341" s="15">
        <f>SUM(B342:B345)</f>
        <v>562000</v>
      </c>
    </row>
    <row r="342" spans="1:2" x14ac:dyDescent="0.2">
      <c r="A342" s="16" t="s">
        <v>21</v>
      </c>
      <c r="B342" s="15">
        <v>60000</v>
      </c>
    </row>
    <row r="343" spans="1:2" x14ac:dyDescent="0.2">
      <c r="A343" s="16" t="s">
        <v>85</v>
      </c>
      <c r="B343" s="15">
        <v>370000</v>
      </c>
    </row>
    <row r="344" spans="1:2" x14ac:dyDescent="0.2">
      <c r="A344" s="16" t="s">
        <v>22</v>
      </c>
      <c r="B344" s="15">
        <v>120000</v>
      </c>
    </row>
    <row r="345" spans="1:2" x14ac:dyDescent="0.2">
      <c r="A345" s="16" t="s">
        <v>23</v>
      </c>
      <c r="B345" s="15">
        <v>12000</v>
      </c>
    </row>
    <row r="346" spans="1:2" x14ac:dyDescent="0.2">
      <c r="A346" s="14" t="s">
        <v>24</v>
      </c>
      <c r="B346" s="15">
        <v>50000</v>
      </c>
    </row>
    <row r="347" spans="1:2" x14ac:dyDescent="0.2">
      <c r="A347" s="14" t="s">
        <v>73</v>
      </c>
      <c r="B347" s="15">
        <v>2100000</v>
      </c>
    </row>
    <row r="348" spans="1:2" x14ac:dyDescent="0.2">
      <c r="A348" s="14" t="s">
        <v>25</v>
      </c>
      <c r="B348" s="15">
        <v>230000</v>
      </c>
    </row>
    <row r="349" spans="1:2" x14ac:dyDescent="0.2">
      <c r="A349" s="14" t="s">
        <v>26</v>
      </c>
      <c r="B349" s="15">
        <v>550000</v>
      </c>
    </row>
    <row r="350" spans="1:2" x14ac:dyDescent="0.2">
      <c r="A350" s="14" t="s">
        <v>8</v>
      </c>
      <c r="B350" s="15">
        <f>(B337+B338+B339+B340+B341+B346+B347+B348)*0.27</f>
        <v>951480.00000000012</v>
      </c>
    </row>
    <row r="351" spans="1:2" x14ac:dyDescent="0.2">
      <c r="A351" s="14" t="s">
        <v>27</v>
      </c>
      <c r="B351" s="15">
        <f>20000-44</f>
        <v>19956</v>
      </c>
    </row>
    <row r="352" spans="1:2" x14ac:dyDescent="0.2">
      <c r="A352" s="17" t="s">
        <v>9</v>
      </c>
      <c r="B352" s="18">
        <f>SUM(B337:B351)-B341</f>
        <v>5045436</v>
      </c>
    </row>
    <row r="353" spans="1:2" ht="9.6" customHeight="1" x14ac:dyDescent="0.2">
      <c r="A353" s="12"/>
      <c r="B353" s="24"/>
    </row>
    <row r="354" spans="1:2" x14ac:dyDescent="0.2">
      <c r="A354" s="19" t="s">
        <v>10</v>
      </c>
      <c r="B354" s="20">
        <f>B332+B335+B352</f>
        <v>24103026</v>
      </c>
    </row>
    <row r="355" spans="1:2" x14ac:dyDescent="0.2">
      <c r="A355" s="16"/>
      <c r="B355" s="50"/>
    </row>
    <row r="356" spans="1:2" x14ac:dyDescent="0.2">
      <c r="A356" s="10" t="s">
        <v>86</v>
      </c>
      <c r="B356" s="29"/>
    </row>
    <row r="357" spans="1:2" x14ac:dyDescent="0.2">
      <c r="A357" s="60"/>
      <c r="B357" s="61"/>
    </row>
    <row r="358" spans="1:2" x14ac:dyDescent="0.2">
      <c r="A358" s="22" t="s">
        <v>87</v>
      </c>
      <c r="B358" s="15">
        <f>[1]ÖSSZESÍTÉS!$O$3+500000</f>
        <v>5113183</v>
      </c>
    </row>
    <row r="359" spans="1:2" x14ac:dyDescent="0.2">
      <c r="A359" s="22" t="s">
        <v>46</v>
      </c>
      <c r="B359" s="15">
        <f>[1]ÖSSZESÍTÉS!$O$10</f>
        <v>10000</v>
      </c>
    </row>
    <row r="360" spans="1:2" x14ac:dyDescent="0.2">
      <c r="A360" s="22" t="s">
        <v>53</v>
      </c>
      <c r="B360" s="15">
        <f>[1]ÖSSZESÍTÉS!$O$11</f>
        <v>9022</v>
      </c>
    </row>
    <row r="361" spans="1:2" x14ac:dyDescent="0.2">
      <c r="A361" s="22" t="s">
        <v>33</v>
      </c>
      <c r="B361" s="15">
        <f>[1]ÖSSZESÍTÉS!$O$12</f>
        <v>164184</v>
      </c>
    </row>
    <row r="362" spans="1:2" x14ac:dyDescent="0.2">
      <c r="A362" s="23" t="s">
        <v>14</v>
      </c>
      <c r="B362" s="18">
        <f>SUM(B358:B361)</f>
        <v>5296389</v>
      </c>
    </row>
    <row r="363" spans="1:2" x14ac:dyDescent="0.2">
      <c r="A363" s="22"/>
      <c r="B363" s="15"/>
    </row>
    <row r="364" spans="1:2" x14ac:dyDescent="0.2">
      <c r="A364" s="22" t="s">
        <v>15</v>
      </c>
      <c r="B364" s="15">
        <f>837618+87500</f>
        <v>925118</v>
      </c>
    </row>
    <row r="365" spans="1:2" x14ac:dyDescent="0.2">
      <c r="A365" s="22" t="s">
        <v>34</v>
      </c>
      <c r="B365" s="15">
        <v>10000</v>
      </c>
    </row>
    <row r="366" spans="1:2" x14ac:dyDescent="0.2">
      <c r="A366" s="23" t="s">
        <v>16</v>
      </c>
      <c r="B366" s="18">
        <f>SUM(B364:B365)</f>
        <v>935118</v>
      </c>
    </row>
    <row r="367" spans="1:2" ht="9.6" customHeight="1" x14ac:dyDescent="0.2">
      <c r="A367" s="6"/>
      <c r="B367" s="15"/>
    </row>
    <row r="368" spans="1:2" x14ac:dyDescent="0.2">
      <c r="A368" s="22" t="s">
        <v>18</v>
      </c>
      <c r="B368" s="15">
        <v>12000</v>
      </c>
    </row>
    <row r="369" spans="1:2" x14ac:dyDescent="0.2">
      <c r="A369" s="14" t="s">
        <v>8</v>
      </c>
      <c r="B369" s="15">
        <f>B368*0.27</f>
        <v>3240</v>
      </c>
    </row>
    <row r="370" spans="1:2" x14ac:dyDescent="0.2">
      <c r="A370" s="17" t="s">
        <v>9</v>
      </c>
      <c r="B370" s="18">
        <f>SUM(B368:B369)</f>
        <v>15240</v>
      </c>
    </row>
    <row r="371" spans="1:2" ht="8.4499999999999993" customHeight="1" x14ac:dyDescent="0.2">
      <c r="A371" s="12"/>
      <c r="B371" s="24"/>
    </row>
    <row r="372" spans="1:2" x14ac:dyDescent="0.2">
      <c r="A372" s="19" t="s">
        <v>10</v>
      </c>
      <c r="B372" s="20">
        <f>B362+B366+B370</f>
        <v>6246747</v>
      </c>
    </row>
    <row r="373" spans="1:2" x14ac:dyDescent="0.2">
      <c r="A373" s="23"/>
      <c r="B373" s="62"/>
    </row>
    <row r="374" spans="1:2" x14ac:dyDescent="0.2">
      <c r="A374" s="10" t="s">
        <v>88</v>
      </c>
      <c r="B374" s="29"/>
    </row>
    <row r="375" spans="1:2" x14ac:dyDescent="0.2">
      <c r="A375" s="60"/>
      <c r="B375" s="58"/>
    </row>
    <row r="376" spans="1:2" x14ac:dyDescent="0.2">
      <c r="A376" s="22" t="s">
        <v>89</v>
      </c>
      <c r="B376" s="15">
        <f>[1]ÖSSZESÍTÉS!$P$3+1013958</f>
        <v>18207486</v>
      </c>
    </row>
    <row r="377" spans="1:2" x14ac:dyDescent="0.2">
      <c r="A377" s="15" t="s">
        <v>51</v>
      </c>
      <c r="B377" s="15">
        <v>677250</v>
      </c>
    </row>
    <row r="378" spans="1:2" x14ac:dyDescent="0.2">
      <c r="A378" s="22" t="s">
        <v>53</v>
      </c>
      <c r="B378" s="15">
        <f>[1]ÖSSZESÍTÉS!$P$11</f>
        <v>54132</v>
      </c>
    </row>
    <row r="379" spans="1:2" x14ac:dyDescent="0.2">
      <c r="A379" s="22" t="s">
        <v>33</v>
      </c>
      <c r="B379" s="15">
        <f>[1]ÖSSZESÍTÉS!$P$12</f>
        <v>25000</v>
      </c>
    </row>
    <row r="380" spans="1:2" x14ac:dyDescent="0.2">
      <c r="A380" s="22" t="s">
        <v>90</v>
      </c>
      <c r="B380" s="15">
        <f>[1]ÖSSZESÍTÉS!$P$16</f>
        <v>686000</v>
      </c>
    </row>
    <row r="381" spans="1:2" x14ac:dyDescent="0.2">
      <c r="A381" s="23" t="s">
        <v>14</v>
      </c>
      <c r="B381" s="18">
        <f>SUM(B376:B380)</f>
        <v>19649868</v>
      </c>
    </row>
    <row r="382" spans="1:2" ht="10.9" customHeight="1" x14ac:dyDescent="0.2">
      <c r="A382" s="22"/>
      <c r="B382" s="15"/>
    </row>
    <row r="383" spans="1:2" x14ac:dyDescent="0.2">
      <c r="A383" s="22" t="s">
        <v>15</v>
      </c>
      <c r="B383" s="15">
        <f>3022716+104974+177443</f>
        <v>3305133</v>
      </c>
    </row>
    <row r="384" spans="1:2" x14ac:dyDescent="0.2">
      <c r="A384" s="22" t="s">
        <v>34</v>
      </c>
      <c r="B384" s="15">
        <v>10000</v>
      </c>
    </row>
    <row r="385" spans="1:2" x14ac:dyDescent="0.2">
      <c r="A385" s="23" t="s">
        <v>16</v>
      </c>
      <c r="B385" s="18">
        <f>SUM(B383:B384)</f>
        <v>3315133</v>
      </c>
    </row>
    <row r="386" spans="1:2" ht="10.9" customHeight="1" x14ac:dyDescent="0.2">
      <c r="A386" s="6"/>
      <c r="B386" s="15"/>
    </row>
    <row r="387" spans="1:2" x14ac:dyDescent="0.2">
      <c r="A387" s="22" t="s">
        <v>17</v>
      </c>
      <c r="B387" s="15">
        <v>50000</v>
      </c>
    </row>
    <row r="388" spans="1:2" x14ac:dyDescent="0.2">
      <c r="A388" s="22" t="s">
        <v>18</v>
      </c>
      <c r="B388" s="15">
        <v>260000</v>
      </c>
    </row>
    <row r="389" spans="1:2" x14ac:dyDescent="0.2">
      <c r="A389" s="22" t="s">
        <v>19</v>
      </c>
      <c r="B389" s="15">
        <v>42000</v>
      </c>
    </row>
    <row r="390" spans="1:2" x14ac:dyDescent="0.2">
      <c r="A390" s="16" t="s">
        <v>20</v>
      </c>
      <c r="B390" s="15">
        <v>65000</v>
      </c>
    </row>
    <row r="391" spans="1:2" x14ac:dyDescent="0.2">
      <c r="A391" s="14" t="s">
        <v>6</v>
      </c>
      <c r="B391" s="15">
        <f>SUM(B392:B394)</f>
        <v>590000</v>
      </c>
    </row>
    <row r="392" spans="1:2" x14ac:dyDescent="0.2">
      <c r="A392" s="16" t="s">
        <v>21</v>
      </c>
      <c r="B392" s="15">
        <v>420000</v>
      </c>
    </row>
    <row r="393" spans="1:2" x14ac:dyDescent="0.2">
      <c r="A393" s="16" t="s">
        <v>22</v>
      </c>
      <c r="B393" s="15">
        <v>80000</v>
      </c>
    </row>
    <row r="394" spans="1:2" x14ac:dyDescent="0.2">
      <c r="A394" s="16" t="s">
        <v>23</v>
      </c>
      <c r="B394" s="15">
        <v>90000</v>
      </c>
    </row>
    <row r="395" spans="1:2" x14ac:dyDescent="0.2">
      <c r="A395" s="14" t="s">
        <v>24</v>
      </c>
      <c r="B395" s="15">
        <v>180000</v>
      </c>
    </row>
    <row r="396" spans="1:2" x14ac:dyDescent="0.2">
      <c r="A396" s="14" t="s">
        <v>26</v>
      </c>
      <c r="B396" s="15">
        <v>150000</v>
      </c>
    </row>
    <row r="397" spans="1:2" x14ac:dyDescent="0.2">
      <c r="A397" s="14" t="s">
        <v>91</v>
      </c>
      <c r="B397" s="15">
        <v>20000</v>
      </c>
    </row>
    <row r="398" spans="1:2" x14ac:dyDescent="0.2">
      <c r="A398" s="14" t="s">
        <v>8</v>
      </c>
      <c r="B398" s="15">
        <f>(B387+B388+B389+B390+B391+B395+B396)*0.27</f>
        <v>360990</v>
      </c>
    </row>
    <row r="399" spans="1:2" x14ac:dyDescent="0.2">
      <c r="A399" s="17" t="s">
        <v>9</v>
      </c>
      <c r="B399" s="18">
        <f>SUM(B387:B398)-B392-B393-B394</f>
        <v>1717990</v>
      </c>
    </row>
    <row r="400" spans="1:2" ht="8.4499999999999993" customHeight="1" x14ac:dyDescent="0.2">
      <c r="A400" s="12"/>
      <c r="B400" s="24"/>
    </row>
    <row r="401" spans="1:2" x14ac:dyDescent="0.2">
      <c r="A401" s="19" t="s">
        <v>10</v>
      </c>
      <c r="B401" s="20">
        <f>B381+B385+B399</f>
        <v>24682991</v>
      </c>
    </row>
    <row r="402" spans="1:2" x14ac:dyDescent="0.2">
      <c r="A402" s="63"/>
      <c r="B402" s="31"/>
    </row>
    <row r="403" spans="1:2" x14ac:dyDescent="0.2">
      <c r="A403" s="63"/>
      <c r="B403" s="31"/>
    </row>
    <row r="404" spans="1:2" x14ac:dyDescent="0.2">
      <c r="A404" s="63"/>
      <c r="B404" s="31"/>
    </row>
    <row r="405" spans="1:2" x14ac:dyDescent="0.2">
      <c r="A405" s="10" t="s">
        <v>76</v>
      </c>
      <c r="B405" s="29"/>
    </row>
    <row r="406" spans="1:2" x14ac:dyDescent="0.2">
      <c r="A406" s="60"/>
      <c r="B406" s="58"/>
    </row>
    <row r="407" spans="1:2" x14ac:dyDescent="0.2">
      <c r="A407" s="22" t="s">
        <v>92</v>
      </c>
      <c r="B407" s="15">
        <f>[1]ÖSSZESÍTÉS!$V$3+283185+109164</f>
        <v>29135081</v>
      </c>
    </row>
    <row r="408" spans="1:2" x14ac:dyDescent="0.2">
      <c r="A408" s="15" t="s">
        <v>51</v>
      </c>
      <c r="B408" s="15">
        <v>935345</v>
      </c>
    </row>
    <row r="409" spans="1:2" x14ac:dyDescent="0.2">
      <c r="A409" s="22" t="s">
        <v>46</v>
      </c>
      <c r="B409" s="15">
        <v>30000</v>
      </c>
    </row>
    <row r="410" spans="1:2" x14ac:dyDescent="0.2">
      <c r="A410" s="22" t="s">
        <v>53</v>
      </c>
      <c r="B410" s="15">
        <f>[1]ÖSSZESÍTÉS!$V$11</f>
        <v>81198</v>
      </c>
    </row>
    <row r="411" spans="1:2" x14ac:dyDescent="0.2">
      <c r="A411" s="22" t="s">
        <v>33</v>
      </c>
      <c r="B411" s="15">
        <f>[1]ÖSSZESÍTÉS!$V$12</f>
        <v>30000</v>
      </c>
    </row>
    <row r="412" spans="1:2" x14ac:dyDescent="0.2">
      <c r="A412" s="23" t="s">
        <v>14</v>
      </c>
      <c r="B412" s="18">
        <f>SUM(B407:B411)</f>
        <v>30211624</v>
      </c>
    </row>
    <row r="413" spans="1:2" x14ac:dyDescent="0.2">
      <c r="A413" s="22"/>
      <c r="B413" s="15"/>
    </row>
    <row r="414" spans="1:2" x14ac:dyDescent="0.2">
      <c r="A414" s="22" t="s">
        <v>15</v>
      </c>
      <c r="B414" s="15">
        <f>5049438+144978+43894+19104</f>
        <v>5257414</v>
      </c>
    </row>
    <row r="415" spans="1:2" x14ac:dyDescent="0.2">
      <c r="A415" s="22" t="s">
        <v>34</v>
      </c>
      <c r="B415" s="15">
        <v>20000</v>
      </c>
    </row>
    <row r="416" spans="1:2" x14ac:dyDescent="0.2">
      <c r="A416" s="23" t="s">
        <v>16</v>
      </c>
      <c r="B416" s="18">
        <f>SUM(B414:B415)</f>
        <v>5277414</v>
      </c>
    </row>
    <row r="417" spans="1:2" x14ac:dyDescent="0.2">
      <c r="A417" s="6"/>
      <c r="B417" s="15"/>
    </row>
    <row r="418" spans="1:2" x14ac:dyDescent="0.2">
      <c r="A418" s="22" t="s">
        <v>17</v>
      </c>
      <c r="B418" s="15">
        <v>50000</v>
      </c>
    </row>
    <row r="419" spans="1:2" x14ac:dyDescent="0.2">
      <c r="A419" s="22" t="s">
        <v>18</v>
      </c>
      <c r="B419" s="15">
        <v>830000</v>
      </c>
    </row>
    <row r="420" spans="1:2" x14ac:dyDescent="0.2">
      <c r="A420" s="22" t="s">
        <v>19</v>
      </c>
      <c r="B420" s="15">
        <v>45000</v>
      </c>
    </row>
    <row r="421" spans="1:2" x14ac:dyDescent="0.2">
      <c r="A421" s="16" t="s">
        <v>20</v>
      </c>
      <c r="B421" s="15">
        <v>50000</v>
      </c>
    </row>
    <row r="422" spans="1:2" x14ac:dyDescent="0.2">
      <c r="A422" s="14" t="s">
        <v>6</v>
      </c>
      <c r="B422" s="15">
        <f>SUM(B423:B425)</f>
        <v>840000</v>
      </c>
    </row>
    <row r="423" spans="1:2" x14ac:dyDescent="0.2">
      <c r="A423" s="16" t="s">
        <v>21</v>
      </c>
      <c r="B423" s="15">
        <v>470000</v>
      </c>
    </row>
    <row r="424" spans="1:2" x14ac:dyDescent="0.2">
      <c r="A424" s="16" t="s">
        <v>22</v>
      </c>
      <c r="B424" s="15">
        <v>270000</v>
      </c>
    </row>
    <row r="425" spans="1:2" x14ac:dyDescent="0.2">
      <c r="A425" s="16" t="s">
        <v>23</v>
      </c>
      <c r="B425" s="15">
        <v>100000</v>
      </c>
    </row>
    <row r="426" spans="1:2" x14ac:dyDescent="0.2">
      <c r="A426" s="14" t="s">
        <v>24</v>
      </c>
      <c r="B426" s="15">
        <v>170000</v>
      </c>
    </row>
    <row r="427" spans="1:2" x14ac:dyDescent="0.2">
      <c r="A427" s="14" t="s">
        <v>25</v>
      </c>
      <c r="B427" s="15">
        <v>60000</v>
      </c>
    </row>
    <row r="428" spans="1:2" x14ac:dyDescent="0.2">
      <c r="A428" s="14" t="s">
        <v>26</v>
      </c>
      <c r="B428" s="15">
        <v>130000</v>
      </c>
    </row>
    <row r="429" spans="1:2" x14ac:dyDescent="0.2">
      <c r="A429" s="14" t="s">
        <v>8</v>
      </c>
      <c r="B429" s="15">
        <f>(B418+B419+B420+B421+B422+B426+B427+B428)*0.27-60000*0.27</f>
        <v>571050</v>
      </c>
    </row>
    <row r="430" spans="1:2" x14ac:dyDescent="0.2">
      <c r="A430" s="17" t="s">
        <v>9</v>
      </c>
      <c r="B430" s="18">
        <f>SUM(B418:B429)-B423-B424-B425</f>
        <v>2746050</v>
      </c>
    </row>
    <row r="431" spans="1:2" x14ac:dyDescent="0.2">
      <c r="A431" s="12"/>
      <c r="B431" s="24"/>
    </row>
    <row r="432" spans="1:2" x14ac:dyDescent="0.2">
      <c r="A432" s="19" t="s">
        <v>10</v>
      </c>
      <c r="B432" s="20">
        <f>B412+B416+B430</f>
        <v>38235088</v>
      </c>
    </row>
    <row r="433" spans="1:2" x14ac:dyDescent="0.2">
      <c r="A433" s="64"/>
      <c r="B433" s="31"/>
    </row>
    <row r="434" spans="1:2" x14ac:dyDescent="0.2">
      <c r="A434" s="10" t="s">
        <v>93</v>
      </c>
      <c r="B434" s="29"/>
    </row>
    <row r="435" spans="1:2" x14ac:dyDescent="0.2">
      <c r="A435" s="19"/>
      <c r="B435" s="20"/>
    </row>
    <row r="436" spans="1:2" x14ac:dyDescent="0.2">
      <c r="A436" s="65" t="s">
        <v>35</v>
      </c>
      <c r="B436" s="50">
        <v>3326000</v>
      </c>
    </row>
    <row r="437" spans="1:2" x14ac:dyDescent="0.2">
      <c r="A437" s="66" t="s">
        <v>8</v>
      </c>
      <c r="B437" s="50">
        <f>(B436)*0.27</f>
        <v>898020.00000000012</v>
      </c>
    </row>
    <row r="438" spans="1:2" x14ac:dyDescent="0.2">
      <c r="A438" s="67" t="s">
        <v>9</v>
      </c>
      <c r="B438" s="31">
        <f>B436+B437</f>
        <v>4224020</v>
      </c>
    </row>
    <row r="439" spans="1:2" x14ac:dyDescent="0.2">
      <c r="A439" s="67"/>
      <c r="B439" s="31"/>
    </row>
    <row r="440" spans="1:2" x14ac:dyDescent="0.2">
      <c r="A440" s="68" t="s">
        <v>10</v>
      </c>
      <c r="B440" s="31">
        <f>B438</f>
        <v>4224020</v>
      </c>
    </row>
    <row r="441" spans="1:2" x14ac:dyDescent="0.2">
      <c r="A441" s="19"/>
      <c r="B441" s="31"/>
    </row>
    <row r="442" spans="1:2" x14ac:dyDescent="0.2">
      <c r="A442" s="69" t="s">
        <v>94</v>
      </c>
      <c r="B442" s="70"/>
    </row>
    <row r="443" spans="1:2" x14ac:dyDescent="0.2">
      <c r="A443" s="60"/>
      <c r="B443" s="58"/>
    </row>
    <row r="444" spans="1:2" x14ac:dyDescent="0.2">
      <c r="A444" s="22" t="s">
        <v>84</v>
      </c>
      <c r="B444" s="15">
        <f>[1]ÖSSZESÍTÉS!$S$3+470283</f>
        <v>7467732</v>
      </c>
    </row>
    <row r="445" spans="1:2" x14ac:dyDescent="0.2">
      <c r="A445" s="22" t="s">
        <v>46</v>
      </c>
      <c r="B445" s="15">
        <f>[1]ÖSSZESÍTÉS!$S$10</f>
        <v>8000</v>
      </c>
    </row>
    <row r="446" spans="1:2" x14ac:dyDescent="0.2">
      <c r="A446" s="22" t="s">
        <v>53</v>
      </c>
      <c r="B446" s="15">
        <f>[1]ÖSSZESÍTÉS!$S$11</f>
        <v>18044</v>
      </c>
    </row>
    <row r="447" spans="1:2" x14ac:dyDescent="0.2">
      <c r="A447" s="22" t="s">
        <v>33</v>
      </c>
      <c r="B447" s="15">
        <f>[1]ÖSSZESÍTÉS!$S$12</f>
        <v>30000</v>
      </c>
    </row>
    <row r="448" spans="1:2" x14ac:dyDescent="0.2">
      <c r="A448" s="23" t="s">
        <v>14</v>
      </c>
      <c r="B448" s="18">
        <f>SUM(B444:B447)</f>
        <v>7523776</v>
      </c>
    </row>
    <row r="449" spans="1:2" x14ac:dyDescent="0.2">
      <c r="A449" s="22"/>
      <c r="B449" s="15"/>
    </row>
    <row r="450" spans="1:2" x14ac:dyDescent="0.2">
      <c r="A450" s="22" t="s">
        <v>15</v>
      </c>
      <c r="B450" s="15">
        <f>1232961+82300</f>
        <v>1315261</v>
      </c>
    </row>
    <row r="451" spans="1:2" x14ac:dyDescent="0.2">
      <c r="A451" s="22" t="s">
        <v>34</v>
      </c>
      <c r="B451" s="15">
        <v>10000</v>
      </c>
    </row>
    <row r="452" spans="1:2" x14ac:dyDescent="0.2">
      <c r="A452" s="23" t="s">
        <v>16</v>
      </c>
      <c r="B452" s="18">
        <f>SUM(B450:B451)</f>
        <v>1325261</v>
      </c>
    </row>
    <row r="453" spans="1:2" x14ac:dyDescent="0.2">
      <c r="A453" s="6"/>
      <c r="B453" s="15"/>
    </row>
    <row r="454" spans="1:2" x14ac:dyDescent="0.2">
      <c r="A454" s="22" t="s">
        <v>17</v>
      </c>
      <c r="B454" s="15">
        <v>20000</v>
      </c>
    </row>
    <row r="455" spans="1:2" x14ac:dyDescent="0.2">
      <c r="A455" s="22" t="s">
        <v>18</v>
      </c>
      <c r="B455" s="15">
        <f>180000+234220</f>
        <v>414220</v>
      </c>
    </row>
    <row r="456" spans="1:2" x14ac:dyDescent="0.2">
      <c r="A456" s="22" t="s">
        <v>19</v>
      </c>
      <c r="B456" s="15">
        <v>86000</v>
      </c>
    </row>
    <row r="457" spans="1:2" x14ac:dyDescent="0.2">
      <c r="A457" s="16" t="s">
        <v>20</v>
      </c>
      <c r="B457" s="15">
        <v>48000</v>
      </c>
    </row>
    <row r="458" spans="1:2" x14ac:dyDescent="0.2">
      <c r="A458" s="14" t="s">
        <v>6</v>
      </c>
      <c r="B458" s="15">
        <f>SUM(B459:B462)</f>
        <v>282000</v>
      </c>
    </row>
    <row r="459" spans="1:2" x14ac:dyDescent="0.2">
      <c r="A459" s="16" t="s">
        <v>21</v>
      </c>
      <c r="B459" s="15">
        <v>30000</v>
      </c>
    </row>
    <row r="460" spans="1:2" x14ac:dyDescent="0.2">
      <c r="A460" s="16" t="s">
        <v>95</v>
      </c>
      <c r="B460" s="15">
        <v>180000</v>
      </c>
    </row>
    <row r="461" spans="1:2" x14ac:dyDescent="0.2">
      <c r="A461" s="16" t="s">
        <v>22</v>
      </c>
      <c r="B461" s="15">
        <v>60000</v>
      </c>
    </row>
    <row r="462" spans="1:2" x14ac:dyDescent="0.2">
      <c r="A462" s="16" t="s">
        <v>23</v>
      </c>
      <c r="B462" s="15">
        <v>12000</v>
      </c>
    </row>
    <row r="463" spans="1:2" x14ac:dyDescent="0.2">
      <c r="A463" s="14" t="s">
        <v>24</v>
      </c>
      <c r="B463" s="15">
        <v>194000</v>
      </c>
    </row>
    <row r="464" spans="1:2" x14ac:dyDescent="0.2">
      <c r="A464" s="14" t="s">
        <v>26</v>
      </c>
      <c r="B464" s="15">
        <f>60000+200000</f>
        <v>260000</v>
      </c>
    </row>
    <row r="465" spans="1:2" x14ac:dyDescent="0.2">
      <c r="A465" s="14" t="s">
        <v>8</v>
      </c>
      <c r="B465" s="15">
        <f>(B454+B455+B456+B457+B458+B463+B464)*0.27-434220*0.27+117241</f>
        <v>352141</v>
      </c>
    </row>
    <row r="466" spans="1:2" x14ac:dyDescent="0.2">
      <c r="A466" s="14" t="s">
        <v>96</v>
      </c>
      <c r="B466" s="15">
        <v>10000</v>
      </c>
    </row>
    <row r="467" spans="1:2" x14ac:dyDescent="0.2">
      <c r="A467" s="17" t="s">
        <v>9</v>
      </c>
      <c r="B467" s="18">
        <f>SUM(B454:B466)-B458</f>
        <v>1666361</v>
      </c>
    </row>
    <row r="468" spans="1:2" x14ac:dyDescent="0.2">
      <c r="A468" s="12"/>
      <c r="B468" s="24"/>
    </row>
    <row r="469" spans="1:2" x14ac:dyDescent="0.2">
      <c r="A469" s="19" t="s">
        <v>10</v>
      </c>
      <c r="B469" s="20">
        <f>B448+B452+B467</f>
        <v>10515398</v>
      </c>
    </row>
    <row r="470" spans="1:2" x14ac:dyDescent="0.2">
      <c r="A470" s="16"/>
      <c r="B470" s="50"/>
    </row>
    <row r="471" spans="1:2" x14ac:dyDescent="0.2">
      <c r="A471" s="10" t="s">
        <v>97</v>
      </c>
      <c r="B471" s="29"/>
    </row>
    <row r="472" spans="1:2" x14ac:dyDescent="0.2">
      <c r="A472" s="12"/>
      <c r="B472" s="12"/>
    </row>
    <row r="473" spans="1:2" x14ac:dyDescent="0.2">
      <c r="A473" s="22" t="s">
        <v>87</v>
      </c>
      <c r="B473" s="71">
        <f>2929804+177089</f>
        <v>3106893</v>
      </c>
    </row>
    <row r="474" spans="1:2" x14ac:dyDescent="0.2">
      <c r="A474" s="22" t="s">
        <v>53</v>
      </c>
      <c r="B474" s="71">
        <f>[1]ÖSSZESÍTÉS!$Q$11</f>
        <v>9022</v>
      </c>
    </row>
    <row r="475" spans="1:2" x14ac:dyDescent="0.2">
      <c r="A475" s="22" t="s">
        <v>33</v>
      </c>
      <c r="B475" s="71">
        <f>[1]ÖSSZESÍTÉS!$Q$12</f>
        <v>50000</v>
      </c>
    </row>
    <row r="476" spans="1:2" x14ac:dyDescent="0.2">
      <c r="A476" s="23" t="s">
        <v>14</v>
      </c>
      <c r="B476" s="72">
        <f>SUM(B473:B475)</f>
        <v>3165915</v>
      </c>
    </row>
    <row r="477" spans="1:2" x14ac:dyDescent="0.2">
      <c r="A477" s="22"/>
      <c r="B477" s="15"/>
    </row>
    <row r="478" spans="1:2" x14ac:dyDescent="0.2">
      <c r="A478" s="22" t="s">
        <v>15</v>
      </c>
      <c r="B478" s="15">
        <f>523044+30991</f>
        <v>554035</v>
      </c>
    </row>
    <row r="479" spans="1:2" x14ac:dyDescent="0.2">
      <c r="A479" s="22" t="s">
        <v>34</v>
      </c>
      <c r="B479" s="15">
        <v>10000</v>
      </c>
    </row>
    <row r="480" spans="1:2" x14ac:dyDescent="0.2">
      <c r="A480" s="23" t="s">
        <v>16</v>
      </c>
      <c r="B480" s="18">
        <f>SUM(B478:B479)</f>
        <v>564035</v>
      </c>
    </row>
    <row r="481" spans="1:2" x14ac:dyDescent="0.2">
      <c r="A481" s="6"/>
      <c r="B481" s="15"/>
    </row>
    <row r="482" spans="1:2" x14ac:dyDescent="0.2">
      <c r="A482" s="22" t="s">
        <v>18</v>
      </c>
      <c r="B482" s="15">
        <v>45000</v>
      </c>
    </row>
    <row r="483" spans="1:2" x14ac:dyDescent="0.2">
      <c r="A483" s="14" t="s">
        <v>35</v>
      </c>
      <c r="B483" s="50">
        <v>16574000</v>
      </c>
    </row>
    <row r="484" spans="1:2" x14ac:dyDescent="0.2">
      <c r="A484" s="14" t="s">
        <v>8</v>
      </c>
      <c r="B484" s="15">
        <f>(B483+B482)*0.27</f>
        <v>4487130</v>
      </c>
    </row>
    <row r="485" spans="1:2" x14ac:dyDescent="0.2">
      <c r="A485" s="17" t="s">
        <v>9</v>
      </c>
      <c r="B485" s="18">
        <f>SUM(B482:B484)</f>
        <v>21106130</v>
      </c>
    </row>
    <row r="486" spans="1:2" x14ac:dyDescent="0.2">
      <c r="A486" s="12"/>
      <c r="B486" s="24"/>
    </row>
    <row r="487" spans="1:2" x14ac:dyDescent="0.2">
      <c r="A487" s="19" t="s">
        <v>10</v>
      </c>
      <c r="B487" s="20">
        <f>B476+B480+B485</f>
        <v>24836080</v>
      </c>
    </row>
    <row r="488" spans="1:2" x14ac:dyDescent="0.2">
      <c r="A488" s="12"/>
      <c r="B488" s="12"/>
    </row>
    <row r="489" spans="1:2" x14ac:dyDescent="0.2">
      <c r="A489" s="10" t="s">
        <v>98</v>
      </c>
      <c r="B489" s="29"/>
    </row>
    <row r="490" spans="1:2" x14ac:dyDescent="0.2">
      <c r="A490" s="60"/>
      <c r="B490" s="58"/>
    </row>
    <row r="491" spans="1:2" x14ac:dyDescent="0.2">
      <c r="A491" s="22" t="s">
        <v>99</v>
      </c>
      <c r="B491" s="15">
        <f>[1]ÖSSZESÍTÉS!$R$3+490322+490322+1850914</f>
        <v>37774280</v>
      </c>
    </row>
    <row r="492" spans="1:2" x14ac:dyDescent="0.2">
      <c r="A492" s="15" t="s">
        <v>51</v>
      </c>
      <c r="B492" s="15">
        <f>1354500+109250</f>
        <v>1463750</v>
      </c>
    </row>
    <row r="493" spans="1:2" x14ac:dyDescent="0.2">
      <c r="A493" s="22" t="s">
        <v>100</v>
      </c>
      <c r="B493" s="15">
        <f>[1]ÖSSZESÍTÉS!$R$6</f>
        <v>20000</v>
      </c>
    </row>
    <row r="494" spans="1:2" x14ac:dyDescent="0.2">
      <c r="A494" s="22" t="s">
        <v>46</v>
      </c>
      <c r="B494" s="15">
        <f>[1]ÖSSZESÍTÉS!$R$10</f>
        <v>10000</v>
      </c>
    </row>
    <row r="495" spans="1:2" x14ac:dyDescent="0.2">
      <c r="A495" s="22" t="s">
        <v>53</v>
      </c>
      <c r="B495" s="15">
        <f>[1]ÖSSZESÍTÉS!$R$11</f>
        <v>117286</v>
      </c>
    </row>
    <row r="496" spans="1:2" x14ac:dyDescent="0.2">
      <c r="A496" s="22" t="s">
        <v>33</v>
      </c>
      <c r="B496" s="15">
        <f>[1]ÖSSZESÍTÉS!$R$12</f>
        <v>30000</v>
      </c>
    </row>
    <row r="497" spans="1:2" x14ac:dyDescent="0.2">
      <c r="A497" s="23" t="s">
        <v>14</v>
      </c>
      <c r="B497" s="18">
        <f>SUM(B491:B496)</f>
        <v>39415316</v>
      </c>
    </row>
    <row r="498" spans="1:2" x14ac:dyDescent="0.2">
      <c r="A498" s="22"/>
      <c r="B498" s="15"/>
    </row>
    <row r="499" spans="1:2" x14ac:dyDescent="0.2">
      <c r="A499" s="22" t="s">
        <v>15</v>
      </c>
      <c r="B499" s="15">
        <f>6144251+85806+85806+209948+323910+16934</f>
        <v>6866655</v>
      </c>
    </row>
    <row r="500" spans="1:2" x14ac:dyDescent="0.2">
      <c r="A500" s="22" t="s">
        <v>34</v>
      </c>
      <c r="B500" s="15">
        <v>30000</v>
      </c>
    </row>
    <row r="501" spans="1:2" x14ac:dyDescent="0.2">
      <c r="A501" s="23" t="s">
        <v>16</v>
      </c>
      <c r="B501" s="18">
        <f>SUM(B499:B500)</f>
        <v>6896655</v>
      </c>
    </row>
    <row r="502" spans="1:2" x14ac:dyDescent="0.2">
      <c r="A502" s="6"/>
      <c r="B502" s="15"/>
    </row>
    <row r="503" spans="1:2" x14ac:dyDescent="0.2">
      <c r="A503" s="22" t="s">
        <v>18</v>
      </c>
      <c r="B503" s="15">
        <v>310000</v>
      </c>
    </row>
    <row r="504" spans="1:2" x14ac:dyDescent="0.2">
      <c r="A504" s="22" t="s">
        <v>19</v>
      </c>
      <c r="B504" s="15">
        <v>66000</v>
      </c>
    </row>
    <row r="505" spans="1:2" x14ac:dyDescent="0.2">
      <c r="A505" s="16" t="s">
        <v>20</v>
      </c>
      <c r="B505" s="15">
        <v>50000</v>
      </c>
    </row>
    <row r="506" spans="1:2" x14ac:dyDescent="0.2">
      <c r="A506" s="14" t="s">
        <v>6</v>
      </c>
      <c r="B506" s="15">
        <f>SUM(B507:B509)</f>
        <v>320000</v>
      </c>
    </row>
    <row r="507" spans="1:2" x14ac:dyDescent="0.2">
      <c r="A507" s="16" t="s">
        <v>21</v>
      </c>
      <c r="B507" s="15">
        <v>150000</v>
      </c>
    </row>
    <row r="508" spans="1:2" x14ac:dyDescent="0.2">
      <c r="A508" s="16" t="s">
        <v>22</v>
      </c>
      <c r="B508" s="15">
        <v>60000</v>
      </c>
    </row>
    <row r="509" spans="1:2" x14ac:dyDescent="0.2">
      <c r="A509" s="16" t="s">
        <v>23</v>
      </c>
      <c r="B509" s="15">
        <v>110000</v>
      </c>
    </row>
    <row r="510" spans="1:2" x14ac:dyDescent="0.2">
      <c r="A510" s="14" t="s">
        <v>24</v>
      </c>
      <c r="B510" s="15">
        <v>180000</v>
      </c>
    </row>
    <row r="511" spans="1:2" x14ac:dyDescent="0.2">
      <c r="A511" s="14" t="s">
        <v>26</v>
      </c>
      <c r="B511" s="15">
        <v>100000</v>
      </c>
    </row>
    <row r="512" spans="1:2" x14ac:dyDescent="0.2">
      <c r="A512" s="14" t="s">
        <v>8</v>
      </c>
      <c r="B512" s="15">
        <f>(B510+B511+B504+B505+B506+B503)*0.27</f>
        <v>277020</v>
      </c>
    </row>
    <row r="513" spans="1:2" x14ac:dyDescent="0.2">
      <c r="A513" s="17" t="s">
        <v>9</v>
      </c>
      <c r="B513" s="18">
        <f>SUM(B503:B512)-B506</f>
        <v>1303020</v>
      </c>
    </row>
    <row r="514" spans="1:2" x14ac:dyDescent="0.2">
      <c r="A514" s="12"/>
      <c r="B514" s="24"/>
    </row>
    <row r="515" spans="1:2" x14ac:dyDescent="0.2">
      <c r="A515" s="19" t="s">
        <v>10</v>
      </c>
      <c r="B515" s="20">
        <f>B497+B501+B513</f>
        <v>47614991</v>
      </c>
    </row>
    <row r="516" spans="1:2" x14ac:dyDescent="0.2">
      <c r="A516" s="64"/>
      <c r="B516" s="31"/>
    </row>
    <row r="517" spans="1:2" x14ac:dyDescent="0.2">
      <c r="A517" s="64"/>
      <c r="B517" s="31"/>
    </row>
    <row r="518" spans="1:2" x14ac:dyDescent="0.2">
      <c r="A518" s="23" t="s">
        <v>14</v>
      </c>
      <c r="B518" s="73">
        <f>B332+B362+B381+B412+B448+B476+B497+B317</f>
        <v>137863056</v>
      </c>
    </row>
    <row r="519" spans="1:2" x14ac:dyDescent="0.2">
      <c r="A519" s="23" t="s">
        <v>16</v>
      </c>
      <c r="B519" s="73">
        <f>B321+B335+B366+B385+B416+B452+B480+B501</f>
        <v>22523579</v>
      </c>
    </row>
    <row r="520" spans="1:2" x14ac:dyDescent="0.2">
      <c r="A520" s="17" t="s">
        <v>62</v>
      </c>
      <c r="B520" s="73">
        <f>B513+B485+B467+B438+B430+B399+B370+B352</f>
        <v>37824247</v>
      </c>
    </row>
    <row r="521" spans="1:2" ht="22.5" x14ac:dyDescent="0.2">
      <c r="A521" s="74" t="s">
        <v>101</v>
      </c>
      <c r="B521" s="73">
        <f>SUM(B518:B520)</f>
        <v>198210882</v>
      </c>
    </row>
    <row r="522" spans="1:2" x14ac:dyDescent="0.2">
      <c r="A522" s="74"/>
      <c r="B522" s="73"/>
    </row>
    <row r="523" spans="1:2" x14ac:dyDescent="0.2">
      <c r="A523" s="74"/>
      <c r="B523" s="73"/>
    </row>
    <row r="524" spans="1:2" x14ac:dyDescent="0.2">
      <c r="A524" s="17"/>
      <c r="B524" s="21"/>
    </row>
    <row r="525" spans="1:2" x14ac:dyDescent="0.2">
      <c r="A525" s="17"/>
      <c r="B525" s="21"/>
    </row>
    <row r="526" spans="1:2" x14ac:dyDescent="0.2">
      <c r="A526" s="75" t="s">
        <v>102</v>
      </c>
      <c r="B526" s="75"/>
    </row>
    <row r="527" spans="1:2" x14ac:dyDescent="0.2">
      <c r="A527" s="76"/>
      <c r="B527" s="76"/>
    </row>
    <row r="528" spans="1:2" x14ac:dyDescent="0.2">
      <c r="A528" s="77" t="s">
        <v>4</v>
      </c>
      <c r="B528" s="77"/>
    </row>
    <row r="529" spans="1:2" x14ac:dyDescent="0.2">
      <c r="A529" s="78"/>
      <c r="B529" s="79"/>
    </row>
    <row r="530" spans="1:2" x14ac:dyDescent="0.2">
      <c r="A530" s="27" t="s">
        <v>78</v>
      </c>
      <c r="B530" s="54"/>
    </row>
    <row r="531" spans="1:2" x14ac:dyDescent="0.2">
      <c r="A531" s="28"/>
      <c r="B531" s="13"/>
    </row>
    <row r="532" spans="1:2" x14ac:dyDescent="0.2">
      <c r="A532" s="22" t="s">
        <v>103</v>
      </c>
      <c r="B532" s="15">
        <f>[1]ÖSSZESÍTÉS!$Z$3+3761710+482725-20000</f>
        <v>5577535</v>
      </c>
    </row>
    <row r="533" spans="1:2" x14ac:dyDescent="0.2">
      <c r="A533" s="22" t="s">
        <v>33</v>
      </c>
      <c r="B533" s="15">
        <f>[1]ÖSSZESÍTÉS!$Z$12</f>
        <v>20000</v>
      </c>
    </row>
    <row r="534" spans="1:2" x14ac:dyDescent="0.2">
      <c r="A534" s="23" t="s">
        <v>14</v>
      </c>
      <c r="B534" s="18">
        <f>SUM(B532:B533)</f>
        <v>5597535</v>
      </c>
    </row>
    <row r="535" spans="1:2" x14ac:dyDescent="0.2">
      <c r="A535" s="22"/>
      <c r="B535" s="15"/>
    </row>
    <row r="536" spans="1:2" x14ac:dyDescent="0.2">
      <c r="A536" s="22" t="s">
        <v>15</v>
      </c>
      <c r="B536" s="15">
        <f>120146+329150+37412+20000</f>
        <v>506708</v>
      </c>
    </row>
    <row r="537" spans="1:2" x14ac:dyDescent="0.2">
      <c r="A537" s="22" t="s">
        <v>34</v>
      </c>
      <c r="B537" s="15">
        <v>10000</v>
      </c>
    </row>
    <row r="538" spans="1:2" x14ac:dyDescent="0.2">
      <c r="A538" s="23" t="s">
        <v>16</v>
      </c>
      <c r="B538" s="18">
        <f>SUM(B536:B537)</f>
        <v>516708</v>
      </c>
    </row>
    <row r="539" spans="1:2" x14ac:dyDescent="0.2">
      <c r="A539" s="6"/>
      <c r="B539" s="22"/>
    </row>
    <row r="540" spans="1:2" x14ac:dyDescent="0.2">
      <c r="A540" s="19" t="s">
        <v>10</v>
      </c>
      <c r="B540" s="20">
        <f>B534+B538</f>
        <v>6114243</v>
      </c>
    </row>
    <row r="541" spans="1:2" x14ac:dyDescent="0.2">
      <c r="A541" s="19"/>
      <c r="B541" s="20"/>
    </row>
    <row r="542" spans="1:2" x14ac:dyDescent="0.2">
      <c r="A542" s="40" t="s">
        <v>77</v>
      </c>
      <c r="B542" s="41"/>
    </row>
    <row r="543" spans="1:2" x14ac:dyDescent="0.2">
      <c r="A543" s="80"/>
      <c r="B543" s="80"/>
    </row>
    <row r="544" spans="1:2" x14ac:dyDescent="0.2">
      <c r="A544" s="65" t="s">
        <v>104</v>
      </c>
      <c r="B544" s="81">
        <f>20394000</f>
        <v>20394000</v>
      </c>
    </row>
    <row r="545" spans="1:2" x14ac:dyDescent="0.2">
      <c r="A545" s="65" t="s">
        <v>105</v>
      </c>
      <c r="B545" s="35">
        <v>24859000</v>
      </c>
    </row>
    <row r="546" spans="1:2" x14ac:dyDescent="0.2">
      <c r="A546" s="14" t="s">
        <v>8</v>
      </c>
      <c r="B546" s="35">
        <f>0.27*(B545+B544)</f>
        <v>12218310</v>
      </c>
    </row>
    <row r="547" spans="1:2" x14ac:dyDescent="0.2">
      <c r="A547" s="17" t="s">
        <v>9</v>
      </c>
      <c r="B547" s="20">
        <f>B544+B545+B546</f>
        <v>57471310</v>
      </c>
    </row>
    <row r="548" spans="1:2" x14ac:dyDescent="0.2">
      <c r="A548" s="17"/>
      <c r="B548" s="20"/>
    </row>
    <row r="549" spans="1:2" x14ac:dyDescent="0.2">
      <c r="A549" s="19" t="s">
        <v>10</v>
      </c>
      <c r="B549" s="20">
        <f>B547</f>
        <v>57471310</v>
      </c>
    </row>
    <row r="550" spans="1:2" x14ac:dyDescent="0.2">
      <c r="A550" s="78"/>
      <c r="B550" s="82"/>
    </row>
    <row r="551" spans="1:2" x14ac:dyDescent="0.2">
      <c r="A551" s="40" t="s">
        <v>61</v>
      </c>
      <c r="B551" s="41"/>
    </row>
    <row r="552" spans="1:2" x14ac:dyDescent="0.2">
      <c r="A552" s="80"/>
      <c r="B552" s="80"/>
    </row>
    <row r="553" spans="1:2" x14ac:dyDescent="0.2">
      <c r="A553" s="22" t="s">
        <v>89</v>
      </c>
      <c r="B553" s="82">
        <f>[1]ÖSSZESÍTÉS!$AB$3</f>
        <v>16579200.000000002</v>
      </c>
    </row>
    <row r="554" spans="1:2" x14ac:dyDescent="0.2">
      <c r="A554" s="15" t="s">
        <v>51</v>
      </c>
      <c r="B554" s="82">
        <v>902999</v>
      </c>
    </row>
    <row r="555" spans="1:2" x14ac:dyDescent="0.2">
      <c r="A555" s="22" t="s">
        <v>53</v>
      </c>
      <c r="B555" s="82">
        <f>[1]ÖSSZESÍTÉS!$AB$11</f>
        <v>54132</v>
      </c>
    </row>
    <row r="556" spans="1:2" x14ac:dyDescent="0.2">
      <c r="A556" s="22" t="s">
        <v>33</v>
      </c>
      <c r="B556" s="82">
        <f>[1]ÖSSZESÍTÉS!$AB$12</f>
        <v>20000</v>
      </c>
    </row>
    <row r="557" spans="1:2" x14ac:dyDescent="0.2">
      <c r="A557" s="23" t="s">
        <v>14</v>
      </c>
      <c r="B557" s="18">
        <f>SUM(B553:B556)</f>
        <v>17556331</v>
      </c>
    </row>
    <row r="558" spans="1:2" x14ac:dyDescent="0.2">
      <c r="A558" s="23"/>
      <c r="B558" s="18"/>
    </row>
    <row r="559" spans="1:2" x14ac:dyDescent="0.2">
      <c r="A559" s="22"/>
      <c r="B559" s="82"/>
    </row>
    <row r="560" spans="1:2" x14ac:dyDescent="0.2">
      <c r="A560" s="22" t="s">
        <v>15</v>
      </c>
      <c r="B560" s="35">
        <f>2914333+139965</f>
        <v>3054298</v>
      </c>
    </row>
    <row r="561" spans="1:2" x14ac:dyDescent="0.2">
      <c r="A561" s="22" t="s">
        <v>34</v>
      </c>
      <c r="B561" s="35">
        <v>10000</v>
      </c>
    </row>
    <row r="562" spans="1:2" x14ac:dyDescent="0.2">
      <c r="A562" s="23" t="s">
        <v>16</v>
      </c>
      <c r="B562" s="31">
        <f>SUM(B560:B561)</f>
        <v>3064298</v>
      </c>
    </row>
    <row r="563" spans="1:2" x14ac:dyDescent="0.2">
      <c r="A563" s="6"/>
      <c r="B563" s="35"/>
    </row>
    <row r="564" spans="1:2" x14ac:dyDescent="0.2">
      <c r="A564" s="22" t="s">
        <v>18</v>
      </c>
      <c r="B564" s="50">
        <v>1500000</v>
      </c>
    </row>
    <row r="565" spans="1:2" x14ac:dyDescent="0.2">
      <c r="A565" s="22" t="s">
        <v>19</v>
      </c>
      <c r="B565" s="15">
        <v>163000</v>
      </c>
    </row>
    <row r="566" spans="1:2" x14ac:dyDescent="0.2">
      <c r="A566" s="16" t="s">
        <v>20</v>
      </c>
      <c r="B566" s="15">
        <v>200000</v>
      </c>
    </row>
    <row r="567" spans="1:2" x14ac:dyDescent="0.2">
      <c r="A567" s="14" t="s">
        <v>6</v>
      </c>
      <c r="B567" s="50">
        <f>SUM(B568:B571)</f>
        <v>2954000</v>
      </c>
    </row>
    <row r="568" spans="1:2" x14ac:dyDescent="0.2">
      <c r="A568" s="16" t="s">
        <v>21</v>
      </c>
      <c r="B568" s="15">
        <v>861000</v>
      </c>
    </row>
    <row r="569" spans="1:2" x14ac:dyDescent="0.2">
      <c r="A569" s="16" t="s">
        <v>106</v>
      </c>
      <c r="B569" s="15">
        <v>951000</v>
      </c>
    </row>
    <row r="570" spans="1:2" x14ac:dyDescent="0.2">
      <c r="A570" s="16" t="s">
        <v>22</v>
      </c>
      <c r="B570" s="15">
        <v>731000</v>
      </c>
    </row>
    <row r="571" spans="1:2" x14ac:dyDescent="0.2">
      <c r="A571" s="16" t="s">
        <v>23</v>
      </c>
      <c r="B571" s="15">
        <v>411000</v>
      </c>
    </row>
    <row r="572" spans="1:2" x14ac:dyDescent="0.2">
      <c r="A572" s="14" t="s">
        <v>24</v>
      </c>
      <c r="B572" s="50">
        <f>250000+192000+220800</f>
        <v>662800</v>
      </c>
    </row>
    <row r="573" spans="1:2" x14ac:dyDescent="0.2">
      <c r="A573" s="14" t="s">
        <v>26</v>
      </c>
      <c r="B573" s="50">
        <v>800000</v>
      </c>
    </row>
    <row r="574" spans="1:2" x14ac:dyDescent="0.2">
      <c r="A574" s="14" t="s">
        <v>8</v>
      </c>
      <c r="B574" s="50">
        <f>(B564+B565+B566+B567+B572+100000)*0.27</f>
        <v>1506546</v>
      </c>
    </row>
    <row r="575" spans="1:2" x14ac:dyDescent="0.2">
      <c r="A575" s="14" t="s">
        <v>74</v>
      </c>
      <c r="B575" s="50">
        <v>2636000</v>
      </c>
    </row>
    <row r="576" spans="1:2" x14ac:dyDescent="0.2">
      <c r="A576" s="17" t="s">
        <v>9</v>
      </c>
      <c r="B576" s="31">
        <f>B564+B565+B566+B567+B572+B573+B574+B575</f>
        <v>10422346</v>
      </c>
    </row>
    <row r="577" spans="1:2" x14ac:dyDescent="0.2">
      <c r="A577" s="19" t="s">
        <v>10</v>
      </c>
      <c r="B577" s="83">
        <f>B557+B562+B576</f>
        <v>31042975</v>
      </c>
    </row>
    <row r="578" spans="1:2" x14ac:dyDescent="0.2">
      <c r="A578" s="19"/>
      <c r="B578" s="82"/>
    </row>
    <row r="579" spans="1:2" x14ac:dyDescent="0.2">
      <c r="A579" s="40" t="s">
        <v>107</v>
      </c>
      <c r="B579" s="41"/>
    </row>
    <row r="580" spans="1:2" x14ac:dyDescent="0.2">
      <c r="A580" s="78"/>
      <c r="B580" s="79"/>
    </row>
    <row r="581" spans="1:2" x14ac:dyDescent="0.2">
      <c r="A581" s="22" t="s">
        <v>108</v>
      </c>
      <c r="B581" s="15">
        <f>[1]ÖSSZESÍTÉS!$AA$3+2694825</f>
        <v>49119310</v>
      </c>
    </row>
    <row r="582" spans="1:2" x14ac:dyDescent="0.2">
      <c r="A582" s="22" t="s">
        <v>52</v>
      </c>
      <c r="B582" s="15">
        <v>2105263</v>
      </c>
    </row>
    <row r="583" spans="1:2" x14ac:dyDescent="0.2">
      <c r="A583" s="22" t="s">
        <v>46</v>
      </c>
      <c r="B583" s="15">
        <f>[1]ÖSSZESÍTÉS!$AA$10</f>
        <v>30000</v>
      </c>
    </row>
    <row r="584" spans="1:2" x14ac:dyDescent="0.2">
      <c r="A584" s="22" t="s">
        <v>53</v>
      </c>
      <c r="B584" s="15">
        <f>[1]ÖSSZESÍTÉS!$AA$11</f>
        <v>108264</v>
      </c>
    </row>
    <row r="585" spans="1:2" x14ac:dyDescent="0.2">
      <c r="A585" s="22" t="s">
        <v>33</v>
      </c>
      <c r="B585" s="15">
        <f>[1]ÖSSZESÍTÉS!$AA$12</f>
        <v>40000</v>
      </c>
    </row>
    <row r="586" spans="1:2" x14ac:dyDescent="0.2">
      <c r="A586" s="22" t="s">
        <v>13</v>
      </c>
      <c r="B586" s="15">
        <f>[1]ÖSSZESÍTÉS!$AA$15</f>
        <v>1000000</v>
      </c>
    </row>
    <row r="587" spans="1:2" x14ac:dyDescent="0.2">
      <c r="A587" s="23" t="s">
        <v>14</v>
      </c>
      <c r="B587" s="18">
        <f>SUM(B581:B586)</f>
        <v>52402837</v>
      </c>
    </row>
    <row r="588" spans="1:2" x14ac:dyDescent="0.2">
      <c r="A588" s="22"/>
      <c r="B588" s="15"/>
    </row>
    <row r="589" spans="1:2" x14ac:dyDescent="0.2">
      <c r="A589" s="22" t="s">
        <v>15</v>
      </c>
      <c r="B589" s="15">
        <f>8307731+417698+326316</f>
        <v>9051745</v>
      </c>
    </row>
    <row r="590" spans="1:2" x14ac:dyDescent="0.2">
      <c r="A590" s="23" t="s">
        <v>16</v>
      </c>
      <c r="B590" s="18">
        <f>SUM(B589:B589)</f>
        <v>9051745</v>
      </c>
    </row>
    <row r="591" spans="1:2" x14ac:dyDescent="0.2">
      <c r="A591" s="6"/>
      <c r="B591" s="15"/>
    </row>
    <row r="592" spans="1:2" x14ac:dyDescent="0.2">
      <c r="A592" s="22" t="s">
        <v>17</v>
      </c>
      <c r="B592" s="15">
        <v>350000</v>
      </c>
    </row>
    <row r="593" spans="1:2" x14ac:dyDescent="0.2">
      <c r="A593" s="14" t="s">
        <v>25</v>
      </c>
      <c r="B593" s="15">
        <v>2274000</v>
      </c>
    </row>
    <row r="594" spans="1:2" x14ac:dyDescent="0.2">
      <c r="A594" s="14" t="s">
        <v>8</v>
      </c>
      <c r="B594" s="15">
        <f>(B592)*0.27</f>
        <v>94500</v>
      </c>
    </row>
    <row r="595" spans="1:2" x14ac:dyDescent="0.2">
      <c r="A595" s="14" t="s">
        <v>96</v>
      </c>
      <c r="B595" s="15">
        <f>120000-15736</f>
        <v>104264</v>
      </c>
    </row>
    <row r="596" spans="1:2" x14ac:dyDescent="0.2">
      <c r="A596" s="17" t="s">
        <v>9</v>
      </c>
      <c r="B596" s="18">
        <f>SUM(B592:B595)</f>
        <v>2822764</v>
      </c>
    </row>
    <row r="597" spans="1:2" x14ac:dyDescent="0.2">
      <c r="A597" s="19" t="s">
        <v>10</v>
      </c>
      <c r="B597" s="20">
        <f>B587+B590+B596</f>
        <v>64277346</v>
      </c>
    </row>
    <row r="598" spans="1:2" x14ac:dyDescent="0.2">
      <c r="A598" s="19"/>
      <c r="B598" s="20"/>
    </row>
    <row r="599" spans="1:2" x14ac:dyDescent="0.2">
      <c r="A599" s="40" t="s">
        <v>109</v>
      </c>
      <c r="B599" s="41"/>
    </row>
    <row r="600" spans="1:2" x14ac:dyDescent="0.2">
      <c r="A600" s="80"/>
      <c r="B600" s="80"/>
    </row>
    <row r="601" spans="1:2" x14ac:dyDescent="0.2">
      <c r="A601" s="22" t="s">
        <v>110</v>
      </c>
      <c r="B601" s="15">
        <f>[1]ÖSSZESÍTÉS!$AC$3</f>
        <v>3930000</v>
      </c>
    </row>
    <row r="602" spans="1:2" x14ac:dyDescent="0.2">
      <c r="A602" s="22" t="s">
        <v>53</v>
      </c>
      <c r="B602" s="15">
        <f>[1]ÖSSZESÍTÉS!$AC$11</f>
        <v>18044</v>
      </c>
    </row>
    <row r="603" spans="1:2" x14ac:dyDescent="0.2">
      <c r="A603" s="22" t="s">
        <v>33</v>
      </c>
      <c r="B603" s="15">
        <f>[1]ÖSSZESÍTÉS!$AC$12</f>
        <v>60000</v>
      </c>
    </row>
    <row r="604" spans="1:2" x14ac:dyDescent="0.2">
      <c r="A604" s="23" t="s">
        <v>14</v>
      </c>
      <c r="B604" s="18">
        <f>SUM(B601:B603)</f>
        <v>4008044</v>
      </c>
    </row>
    <row r="605" spans="1:2" ht="10.15" customHeight="1" x14ac:dyDescent="0.2">
      <c r="A605" s="22"/>
      <c r="B605" s="15"/>
    </row>
    <row r="606" spans="1:2" x14ac:dyDescent="0.2">
      <c r="A606" s="22" t="s">
        <v>15</v>
      </c>
      <c r="B606" s="15">
        <v>701408</v>
      </c>
    </row>
    <row r="607" spans="1:2" x14ac:dyDescent="0.2">
      <c r="A607" s="22" t="s">
        <v>34</v>
      </c>
      <c r="B607" s="15">
        <v>5000</v>
      </c>
    </row>
    <row r="608" spans="1:2" x14ac:dyDescent="0.2">
      <c r="A608" s="23" t="s">
        <v>16</v>
      </c>
      <c r="B608" s="18">
        <f>SUM(B606:B607)</f>
        <v>706408</v>
      </c>
    </row>
    <row r="609" spans="1:2" x14ac:dyDescent="0.2">
      <c r="A609" s="6"/>
      <c r="B609" s="15"/>
    </row>
    <row r="610" spans="1:2" x14ac:dyDescent="0.2">
      <c r="A610" s="22" t="s">
        <v>17</v>
      </c>
      <c r="B610" s="15">
        <f>850000+128570</f>
        <v>978570</v>
      </c>
    </row>
    <row r="611" spans="1:2" x14ac:dyDescent="0.2">
      <c r="A611" s="22" t="s">
        <v>18</v>
      </c>
      <c r="B611" s="15">
        <v>120000</v>
      </c>
    </row>
    <row r="612" spans="1:2" x14ac:dyDescent="0.2">
      <c r="A612" s="16" t="s">
        <v>20</v>
      </c>
      <c r="B612" s="15">
        <v>65000</v>
      </c>
    </row>
    <row r="613" spans="1:2" x14ac:dyDescent="0.2">
      <c r="A613" s="14" t="s">
        <v>6</v>
      </c>
      <c r="B613" s="15">
        <f>SUM(B614:B616)</f>
        <v>479000</v>
      </c>
    </row>
    <row r="614" spans="1:2" x14ac:dyDescent="0.2">
      <c r="A614" s="46" t="s">
        <v>21</v>
      </c>
      <c r="B614" s="47">
        <v>332000</v>
      </c>
    </row>
    <row r="615" spans="1:2" x14ac:dyDescent="0.2">
      <c r="A615" s="46" t="s">
        <v>22</v>
      </c>
      <c r="B615" s="47">
        <f>95000+40000</f>
        <v>135000</v>
      </c>
    </row>
    <row r="616" spans="1:2" x14ac:dyDescent="0.2">
      <c r="A616" s="46" t="s">
        <v>23</v>
      </c>
      <c r="B616" s="47">
        <v>12000</v>
      </c>
    </row>
    <row r="617" spans="1:2" x14ac:dyDescent="0.2">
      <c r="A617" s="14" t="s">
        <v>24</v>
      </c>
      <c r="B617" s="15">
        <v>50000</v>
      </c>
    </row>
    <row r="618" spans="1:2" x14ac:dyDescent="0.2">
      <c r="A618" s="14" t="s">
        <v>25</v>
      </c>
      <c r="B618" s="15">
        <v>80000</v>
      </c>
    </row>
    <row r="619" spans="1:2" x14ac:dyDescent="0.2">
      <c r="A619" s="14" t="s">
        <v>26</v>
      </c>
      <c r="B619" s="15">
        <v>80000</v>
      </c>
    </row>
    <row r="620" spans="1:2" x14ac:dyDescent="0.2">
      <c r="A620" s="14" t="s">
        <v>8</v>
      </c>
      <c r="B620" s="15">
        <f>(B610+B611+B612+B613+B617+B618+B619)*0.27-600000*0.22-128570*0.27+6430</f>
        <v>339910</v>
      </c>
    </row>
    <row r="621" spans="1:2" x14ac:dyDescent="0.2">
      <c r="A621" s="17" t="s">
        <v>9</v>
      </c>
      <c r="B621" s="18">
        <f>SUM(B610:B620)-B614-B615-B616</f>
        <v>2192480</v>
      </c>
    </row>
    <row r="622" spans="1:2" x14ac:dyDescent="0.2">
      <c r="A622" s="19" t="s">
        <v>10</v>
      </c>
      <c r="B622" s="18">
        <f>B604+B608+B621</f>
        <v>6906932</v>
      </c>
    </row>
    <row r="623" spans="1:2" x14ac:dyDescent="0.2">
      <c r="A623" s="6"/>
      <c r="B623" s="84"/>
    </row>
    <row r="624" spans="1:2" x14ac:dyDescent="0.2">
      <c r="A624" s="23" t="s">
        <v>14</v>
      </c>
      <c r="B624" s="18">
        <f>B604+B587+B557+B534</f>
        <v>79564747</v>
      </c>
    </row>
    <row r="625" spans="1:3" x14ac:dyDescent="0.2">
      <c r="A625" s="23" t="s">
        <v>16</v>
      </c>
      <c r="B625" s="18">
        <f>B608+B590+B562+B538</f>
        <v>13339159</v>
      </c>
    </row>
    <row r="626" spans="1:3" x14ac:dyDescent="0.2">
      <c r="A626" s="17" t="s">
        <v>62</v>
      </c>
      <c r="B626" s="18">
        <f>B621+B596+B576+B547</f>
        <v>72908900</v>
      </c>
    </row>
    <row r="627" spans="1:3" ht="22.5" x14ac:dyDescent="0.2">
      <c r="A627" s="74" t="s">
        <v>111</v>
      </c>
      <c r="B627" s="18">
        <f>B624+B625+B626</f>
        <v>165812806</v>
      </c>
      <c r="C627" t="s">
        <v>112</v>
      </c>
    </row>
    <row r="628" spans="1:3" x14ac:dyDescent="0.2">
      <c r="A628" s="23"/>
      <c r="B628" s="22"/>
    </row>
    <row r="629" spans="1:3" x14ac:dyDescent="0.2">
      <c r="A629" s="23"/>
      <c r="B629" s="22"/>
    </row>
    <row r="630" spans="1:3" x14ac:dyDescent="0.2">
      <c r="A630" s="17"/>
      <c r="B630" s="22"/>
    </row>
    <row r="631" spans="1:3" x14ac:dyDescent="0.2">
      <c r="A631" s="74"/>
      <c r="B631" s="22"/>
    </row>
    <row r="632" spans="1:3" x14ac:dyDescent="0.2">
      <c r="A632" s="23"/>
      <c r="B632" s="85"/>
    </row>
    <row r="633" spans="1:3" x14ac:dyDescent="0.2">
      <c r="A633" s="22"/>
      <c r="B633" s="22"/>
    </row>
    <row r="634" spans="1:3" x14ac:dyDescent="0.2">
      <c r="A634" s="22"/>
      <c r="B634" s="22"/>
    </row>
    <row r="635" spans="1:3" x14ac:dyDescent="0.2">
      <c r="A635" s="22"/>
      <c r="B635" s="22"/>
    </row>
    <row r="636" spans="1:3" x14ac:dyDescent="0.2">
      <c r="A636" s="22"/>
      <c r="B636" s="6"/>
    </row>
    <row r="637" spans="1:3" x14ac:dyDescent="0.2">
      <c r="A637" s="22"/>
      <c r="B637" s="6"/>
    </row>
    <row r="638" spans="1:3" x14ac:dyDescent="0.2">
      <c r="A638" s="23"/>
      <c r="B638" s="85"/>
    </row>
    <row r="639" spans="1:3" x14ac:dyDescent="0.2">
      <c r="A639" s="6"/>
      <c r="B639" s="22"/>
    </row>
    <row r="640" spans="1:3" x14ac:dyDescent="0.2">
      <c r="A640" s="22"/>
      <c r="B640" s="22"/>
    </row>
    <row r="641" spans="1:2" x14ac:dyDescent="0.2">
      <c r="A641" s="22"/>
      <c r="B641" s="22"/>
    </row>
    <row r="642" spans="1:2" x14ac:dyDescent="0.2">
      <c r="A642" s="22"/>
      <c r="B642" s="22"/>
    </row>
    <row r="643" spans="1:2" x14ac:dyDescent="0.2">
      <c r="A643" s="16"/>
      <c r="B643" s="22"/>
    </row>
    <row r="644" spans="1:2" x14ac:dyDescent="0.2">
      <c r="A644" s="14"/>
      <c r="B644" s="22"/>
    </row>
    <row r="645" spans="1:2" x14ac:dyDescent="0.2">
      <c r="A645" s="16"/>
      <c r="B645" s="22"/>
    </row>
    <row r="646" spans="1:2" x14ac:dyDescent="0.2">
      <c r="A646" s="16"/>
      <c r="B646" s="22"/>
    </row>
    <row r="647" spans="1:2" x14ac:dyDescent="0.2">
      <c r="A647" s="16"/>
      <c r="B647" s="22"/>
    </row>
    <row r="648" spans="1:2" x14ac:dyDescent="0.2">
      <c r="A648" s="14"/>
      <c r="B648" s="6"/>
    </row>
    <row r="649" spans="1:2" x14ac:dyDescent="0.2">
      <c r="A649" s="14"/>
      <c r="B649" s="6"/>
    </row>
    <row r="650" spans="1:2" x14ac:dyDescent="0.2">
      <c r="A650" s="14"/>
      <c r="B650" s="6"/>
    </row>
    <row r="651" spans="1:2" x14ac:dyDescent="0.2">
      <c r="A651" s="14"/>
      <c r="B651" s="6"/>
    </row>
    <row r="652" spans="1:2" x14ac:dyDescent="0.2">
      <c r="A652" s="14"/>
      <c r="B652" s="6"/>
    </row>
    <row r="653" spans="1:2" x14ac:dyDescent="0.2">
      <c r="A653" s="14"/>
      <c r="B653" s="6"/>
    </row>
    <row r="654" spans="1:2" x14ac:dyDescent="0.2">
      <c r="A654" s="14"/>
      <c r="B654" s="6"/>
    </row>
    <row r="655" spans="1:2" x14ac:dyDescent="0.2">
      <c r="A655" s="14"/>
      <c r="B655" s="6"/>
    </row>
    <row r="656" spans="1:2" x14ac:dyDescent="0.2">
      <c r="A656" s="14"/>
      <c r="B656" s="6"/>
    </row>
    <row r="657" spans="1:2" x14ac:dyDescent="0.2">
      <c r="A657" s="14"/>
      <c r="B657" s="6"/>
    </row>
    <row r="658" spans="1:2" x14ac:dyDescent="0.2">
      <c r="A658" s="14"/>
      <c r="B658" s="6"/>
    </row>
    <row r="659" spans="1:2" x14ac:dyDescent="0.2">
      <c r="A659" s="14"/>
      <c r="B659" s="6"/>
    </row>
    <row r="660" spans="1:2" x14ac:dyDescent="0.2">
      <c r="A660" s="17"/>
      <c r="B660" s="85"/>
    </row>
    <row r="661" spans="1:2" x14ac:dyDescent="0.2">
      <c r="A661" s="6"/>
      <c r="B661" s="6"/>
    </row>
    <row r="662" spans="1:2" x14ac:dyDescent="0.2">
      <c r="A662" s="6"/>
      <c r="B662" s="6"/>
    </row>
    <row r="663" spans="1:2" x14ac:dyDescent="0.2">
      <c r="A663" s="6"/>
      <c r="B663" s="6"/>
    </row>
    <row r="664" spans="1:2" x14ac:dyDescent="0.2">
      <c r="A664" s="6"/>
      <c r="B664" s="6"/>
    </row>
    <row r="665" spans="1:2" x14ac:dyDescent="0.2">
      <c r="A665" s="6"/>
      <c r="B665" s="6"/>
    </row>
    <row r="666" spans="1:2" x14ac:dyDescent="0.2">
      <c r="A666" s="6"/>
      <c r="B666" s="6"/>
    </row>
    <row r="667" spans="1:2" x14ac:dyDescent="0.2">
      <c r="A667" s="6"/>
      <c r="B667" s="6"/>
    </row>
    <row r="668" spans="1:2" x14ac:dyDescent="0.2">
      <c r="A668" s="6"/>
      <c r="B668" s="6"/>
    </row>
    <row r="669" spans="1:2" x14ac:dyDescent="0.2">
      <c r="A669" s="6"/>
      <c r="B669" s="6"/>
    </row>
    <row r="670" spans="1:2" x14ac:dyDescent="0.2">
      <c r="A670" s="6"/>
      <c r="B670" s="6"/>
    </row>
    <row r="671" spans="1:2" x14ac:dyDescent="0.2">
      <c r="A671" s="6"/>
      <c r="B671" s="6"/>
    </row>
    <row r="672" spans="1:2" x14ac:dyDescent="0.2">
      <c r="A672" s="6"/>
      <c r="B672" s="6"/>
    </row>
    <row r="673" spans="1:2" x14ac:dyDescent="0.2">
      <c r="A673" s="6"/>
      <c r="B673" s="6"/>
    </row>
    <row r="674" spans="1:2" x14ac:dyDescent="0.2">
      <c r="A674" s="6"/>
      <c r="B674" s="6"/>
    </row>
    <row r="675" spans="1:2" x14ac:dyDescent="0.2">
      <c r="A675" s="6"/>
      <c r="B675" s="6"/>
    </row>
    <row r="676" spans="1:2" x14ac:dyDescent="0.2">
      <c r="A676" s="6"/>
      <c r="B676" s="6"/>
    </row>
    <row r="677" spans="1:2" x14ac:dyDescent="0.2">
      <c r="A677" s="6"/>
      <c r="B677" s="6"/>
    </row>
    <row r="678" spans="1:2" x14ac:dyDescent="0.2">
      <c r="A678" s="6"/>
      <c r="B678" s="6"/>
    </row>
    <row r="679" spans="1:2" x14ac:dyDescent="0.2">
      <c r="A679" s="6"/>
      <c r="B679" s="6"/>
    </row>
    <row r="680" spans="1:2" x14ac:dyDescent="0.2">
      <c r="A680" s="6"/>
      <c r="B680" s="6"/>
    </row>
    <row r="681" spans="1:2" x14ac:dyDescent="0.2">
      <c r="A681" s="6"/>
      <c r="B681" s="6"/>
    </row>
    <row r="682" spans="1:2" x14ac:dyDescent="0.2">
      <c r="A682" s="6"/>
      <c r="B682" s="6"/>
    </row>
    <row r="683" spans="1:2" x14ac:dyDescent="0.2">
      <c r="A683" s="86"/>
      <c r="B683" s="86"/>
    </row>
    <row r="684" spans="1:2" x14ac:dyDescent="0.2">
      <c r="A684" s="86"/>
      <c r="B684" s="86"/>
    </row>
    <row r="685" spans="1:2" x14ac:dyDescent="0.2">
      <c r="A685" s="86"/>
      <c r="B685" s="86"/>
    </row>
    <row r="686" spans="1:2" x14ac:dyDescent="0.2">
      <c r="A686" s="86"/>
      <c r="B686" s="86"/>
    </row>
  </sheetData>
  <mergeCells count="45">
    <mergeCell ref="A551:B551"/>
    <mergeCell ref="A579:B579"/>
    <mergeCell ref="A599:B599"/>
    <mergeCell ref="A471:B471"/>
    <mergeCell ref="A489:B489"/>
    <mergeCell ref="A526:B526"/>
    <mergeCell ref="A528:B528"/>
    <mergeCell ref="A530:B530"/>
    <mergeCell ref="A542:B542"/>
    <mergeCell ref="A325:B325"/>
    <mergeCell ref="A356:B356"/>
    <mergeCell ref="A374:B374"/>
    <mergeCell ref="A405:B405"/>
    <mergeCell ref="A434:B434"/>
    <mergeCell ref="A442:B442"/>
    <mergeCell ref="A276:B276"/>
    <mergeCell ref="A285:B285"/>
    <mergeCell ref="A292:B292"/>
    <mergeCell ref="A310:B310"/>
    <mergeCell ref="A312:B312"/>
    <mergeCell ref="A314:B314"/>
    <mergeCell ref="A208:B208"/>
    <mergeCell ref="A210:B210"/>
    <mergeCell ref="A212:B212"/>
    <mergeCell ref="A226:B226"/>
    <mergeCell ref="A228:B228"/>
    <mergeCell ref="A267:B267"/>
    <mergeCell ref="A126:B126"/>
    <mergeCell ref="A131:B131"/>
    <mergeCell ref="A159:B159"/>
    <mergeCell ref="A161:B161"/>
    <mergeCell ref="A186:B186"/>
    <mergeCell ref="A194:B194"/>
    <mergeCell ref="A20:B20"/>
    <mergeCell ref="A46:B46"/>
    <mergeCell ref="A58:B58"/>
    <mergeCell ref="A71:B71"/>
    <mergeCell ref="A89:B89"/>
    <mergeCell ref="A99:B99"/>
    <mergeCell ref="A1:B1"/>
    <mergeCell ref="A3:B3"/>
    <mergeCell ref="A5:B5"/>
    <mergeCell ref="A7:B7"/>
    <mergeCell ref="A9:B9"/>
    <mergeCell ref="A11:B1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2021-02-08T13:16:00Z</dcterms:created>
  <dcterms:modified xsi:type="dcterms:W3CDTF">2021-02-08T13:16:13Z</dcterms:modified>
</cp:coreProperties>
</file>