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5195" windowHeight="8850" tabRatio="711" activeTab="0"/>
  </bookViews>
  <sheets>
    <sheet name="1. melléklet" sheetId="1" r:id="rId1"/>
    <sheet name="2. melléklet" sheetId="2" r:id="rId2"/>
    <sheet name="3. melléklet bevételek" sheetId="3" r:id="rId3"/>
    <sheet name="3. melléklet kiadások" sheetId="4" r:id="rId4"/>
    <sheet name="4. melléklet" sheetId="5" r:id="rId5"/>
    <sheet name="5. melléklet" sheetId="6" r:id="rId6"/>
  </sheets>
  <definedNames>
    <definedName name="_xlnm.Print_Titles" localSheetId="2">'3. melléklet bevételek'!$A:$A</definedName>
    <definedName name="_xlnm.Print_Titles" localSheetId="3">'3. melléklet kiadások'!$A:$A</definedName>
    <definedName name="_xlnm.Print_Titles" localSheetId="4">'4. melléklet'!$4:$7</definedName>
    <definedName name="_xlnm.Print_Titles" localSheetId="5">'5. melléklet'!$3:$4</definedName>
  </definedNames>
  <calcPr calcMode="manual" fullCalcOnLoad="1"/>
</workbook>
</file>

<file path=xl/sharedStrings.xml><?xml version="1.0" encoding="utf-8"?>
<sst xmlns="http://schemas.openxmlformats.org/spreadsheetml/2006/main" count="501" uniqueCount="314">
  <si>
    <t>Változás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</si>
  <si>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</si>
  <si>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</si>
  <si>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</si>
  <si>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</si>
  <si>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</si>
  <si>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</si>
  <si>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</si>
  <si>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</si>
  <si>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</si>
  <si>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</si>
  <si>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</si>
  <si>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</si>
  <si>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</si>
  <si>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Összesen:</t>
  </si>
  <si>
    <t>II.</t>
  </si>
  <si>
    <t>Kölcsönnyújtás</t>
  </si>
  <si>
    <t>Munkáltatói támogatás</t>
  </si>
  <si>
    <t>III.</t>
  </si>
  <si>
    <t>Felújítás</t>
  </si>
  <si>
    <t>IV.</t>
  </si>
  <si>
    <t>Fejlesztés</t>
  </si>
  <si>
    <t>Tervezési keretösszeg</t>
  </si>
  <si>
    <t>Közvilágítás fejlesztési keretösszeg</t>
  </si>
  <si>
    <t>13.</t>
  </si>
  <si>
    <t>V.</t>
  </si>
  <si>
    <t>Céltartalék</t>
  </si>
  <si>
    <t>MINDÖSSZESEN:</t>
  </si>
  <si>
    <t xml:space="preserve">          (E Ft)</t>
  </si>
  <si>
    <t>Saját bevételek</t>
  </si>
  <si>
    <t xml:space="preserve">II. </t>
  </si>
  <si>
    <t>Rehabilitációs kölcsön visszatérülése</t>
  </si>
  <si>
    <t>Lakástámogatás visszatérítés (bérlakás-számla)</t>
  </si>
  <si>
    <t>Pénzmaradvány</t>
  </si>
  <si>
    <t>Intézmény</t>
  </si>
  <si>
    <t>Személyi juttatás</t>
  </si>
  <si>
    <t>Munkaadókat terhelő járulékok</t>
  </si>
  <si>
    <t>Dologi kiadások</t>
  </si>
  <si>
    <t>Pénzeszköz átadás és tám.</t>
  </si>
  <si>
    <t>Pénzbeli juttatás</t>
  </si>
  <si>
    <t>Összes kiadás =összes bevétel</t>
  </si>
  <si>
    <t>Létszám (fő)</t>
  </si>
  <si>
    <t xml:space="preserve">szakmai </t>
  </si>
  <si>
    <t>technikai</t>
  </si>
  <si>
    <t>összesen</t>
  </si>
  <si>
    <t>Közműv. intézm. összesen:</t>
  </si>
  <si>
    <t>Intézmények összesen:</t>
  </si>
  <si>
    <t>Összes bevétel (tényleges forrás)</t>
  </si>
  <si>
    <t>Saját bevétel</t>
  </si>
  <si>
    <t>Átvett     pénzeszköz</t>
  </si>
  <si>
    <t>Kölcsön visszat., é.papír illetve kötvény kibocsátásból származó bevétel</t>
  </si>
  <si>
    <t>Támogatás</t>
  </si>
  <si>
    <t>Összes bevétel = összes kiadás</t>
  </si>
  <si>
    <t>Összes bevétel                               (tényleges forrás)</t>
  </si>
  <si>
    <t>Kölcsönvisszatérítés</t>
  </si>
  <si>
    <t>Hulladékgazdálkodási társulási beruházásokhoz átvétel</t>
  </si>
  <si>
    <t>Hulladékgazdálkodási társulási beruházásokhoz átadás</t>
  </si>
  <si>
    <t>Rendezési terv felülvizsgálata I. ütem tervezési díj</t>
  </si>
  <si>
    <t>5. Kőszeg Város Önkormányzata</t>
  </si>
  <si>
    <t>I. Önkormányzat és intézményei összesen</t>
  </si>
  <si>
    <t>Közfogl</t>
  </si>
  <si>
    <t>14.</t>
  </si>
  <si>
    <t>Vasivíz vízdíj kompenzáció</t>
  </si>
  <si>
    <t>15.</t>
  </si>
  <si>
    <t>16.</t>
  </si>
  <si>
    <t>17.</t>
  </si>
  <si>
    <t>18.</t>
  </si>
  <si>
    <t>Jézus Szíve templom lépcső felújításához átadás</t>
  </si>
  <si>
    <t>19.</t>
  </si>
  <si>
    <t>ÖBB tulajdonában lévő volt vasúti pályatest megvásárlása</t>
  </si>
  <si>
    <t>1. Chernel K. Városi Könyvtár</t>
  </si>
  <si>
    <t>2. Jurisics-vár Műv.Központ és Várszínház</t>
  </si>
  <si>
    <t>3. Városi Múzeum - Tábornokház</t>
  </si>
  <si>
    <t>4. Kőszegi Közös Önkormányzati Hivatal</t>
  </si>
  <si>
    <t>- ebből: munkaszervezeti feladatok</t>
  </si>
  <si>
    <t>Az előirányzatok megoszlása feladatjelleg alapján</t>
  </si>
  <si>
    <t>Kötelező feladatok</t>
  </si>
  <si>
    <t>Önként vállalt feladatok</t>
  </si>
  <si>
    <t>Államigazgatási feladatok</t>
  </si>
  <si>
    <t>"</t>
  </si>
  <si>
    <t>Bevételi előirányzatok (e Ft-ban)</t>
  </si>
  <si>
    <t>Kiemelt előirányzatok</t>
  </si>
  <si>
    <t>Működési célú saját bevétel</t>
  </si>
  <si>
    <t>Működési célú költségvetési támogatás</t>
  </si>
  <si>
    <t>Működési célú átvett pénzeszköz</t>
  </si>
  <si>
    <t xml:space="preserve">               -ebből OEP-től átvett</t>
  </si>
  <si>
    <t>Működési célú pénzmaradvány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</si>
  <si>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</si>
  <si>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</si>
  <si>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</si>
  <si>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</si>
  <si>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Áfa bevételek</t>
  </si>
  <si>
    <t>Felhalmozási c. kölcsön visszatérülése értékpapírbevétel</t>
  </si>
  <si>
    <t>Felhalmozási pénzmaradvány</t>
  </si>
  <si>
    <t>Felhalmozási célú bevételek összesen:</t>
  </si>
  <si>
    <t xml:space="preserve">               -ebből működési célú hitelfelvétel</t>
  </si>
  <si>
    <t xml:space="preserve">               -ebből fejlesztési célú hitelfelvétel</t>
  </si>
  <si>
    <t>Függő, átfutó, kiegyenlítő bevételek</t>
  </si>
  <si>
    <t>BEVÉTELI ELŐIRÁNYZAT MINDÖSSZESEN:</t>
  </si>
  <si>
    <t>Kiadási előirányzatok (e Ft-ban)</t>
  </si>
  <si>
    <t>Személyi juttatások</t>
  </si>
  <si>
    <t>Feljesztési célú áfabefizetés és kamat</t>
  </si>
  <si>
    <t>Működési célú pénzeszközátadás, támogatás</t>
  </si>
  <si>
    <t>Ellátottak pénzbeli juttatásai</t>
  </si>
  <si>
    <t>Működési célú kiadások összesen:</t>
  </si>
  <si>
    <t>Felújítás - áfával</t>
  </si>
  <si>
    <t>Felhalmozási célú pénzeszközátadás, tám.</t>
  </si>
  <si>
    <t xml:space="preserve">Felhalmozási célú kölcsönnyújtás </t>
  </si>
  <si>
    <t>Áfabefizetés, kamatfizetés</t>
  </si>
  <si>
    <t>Felhalmozási célú kiadások összesen:</t>
  </si>
  <si>
    <t>Kiegyenlítő, függő, átfutó kiadások</t>
  </si>
  <si>
    <t>KIADÁSI ELŐIRÁNYZAT MINDÖSSZESEN:</t>
  </si>
  <si>
    <t>Eredeti ei.</t>
  </si>
  <si>
    <t>2013. évi eredeti előirány-zat</t>
  </si>
  <si>
    <t xml:space="preserve">Kőszeg Város Önkormányzatának bevételei és kiadásai </t>
  </si>
  <si>
    <t>2012-2014. években</t>
  </si>
  <si>
    <t xml:space="preserve">2012. évi teljesítés </t>
  </si>
  <si>
    <t>2013. évi várható teljesítés</t>
  </si>
  <si>
    <t>Beruházás - áfával</t>
  </si>
  <si>
    <t xml:space="preserve">          2014. évi felhalmozási bevételek </t>
  </si>
  <si>
    <t>Vagyonhasznosító bevétele (fejlesztések forrása, részletfizetésből 1 180 E Ft)</t>
  </si>
  <si>
    <t>Új ipari park ingatlan hasznosítás</t>
  </si>
  <si>
    <t>Bérlakás bevétel (részletfizetésből 8 900 E Ft)</t>
  </si>
  <si>
    <t>Felhalmozási célú átvett pénzeszközök</t>
  </si>
  <si>
    <t xml:space="preserve">Jurisics vár turisztikai fejlesztése pályázati támogatás </t>
  </si>
  <si>
    <t>Egészségház építés pályázati támogatása</t>
  </si>
  <si>
    <t>Vis maior pályázat támogatása</t>
  </si>
  <si>
    <t>Ambró Gy. u. beruházás pályázati támogatás</t>
  </si>
  <si>
    <t>Nepomuki Szent János kápolna felújítás támogatása</t>
  </si>
  <si>
    <t>Szabóhegyi út felújítási hozzájárulás (Erdészeti Zrt.-től)</t>
  </si>
  <si>
    <t>Alpannónia pályázat támogatása (2013-ról)</t>
  </si>
  <si>
    <t xml:space="preserve">ÁROP szervezetfejlesztés pályázati támogatás </t>
  </si>
  <si>
    <t>Rendkívüli támogatás maradványa</t>
  </si>
  <si>
    <t>ebből:</t>
  </si>
  <si>
    <t>Kötelező feladatok összesen:</t>
  </si>
  <si>
    <t>Önként vállalt feladatok összesen:</t>
  </si>
  <si>
    <t>2014. évi felhalmozási  kiadások (E Ft)</t>
  </si>
  <si>
    <t>Felhalmozási célú átadás</t>
  </si>
  <si>
    <t>Újvárosi Óvoda fejlesztési hozzájárulás</t>
  </si>
  <si>
    <t>Szociális Gondozási Központ fejlesztési hozzájárulás</t>
  </si>
  <si>
    <t>Kőszegi Német Nemzetiségi Önkormányzat részére fejlesztési hozzájárulás biztosítása kisbusz beszerzéséhez (Szociális Gondozási Központtal közös pályázat)</t>
  </si>
  <si>
    <t>KSK edzőpálya felújítás pályázati saját erő átadása</t>
  </si>
  <si>
    <t>Kőszegfalvi SE sportpálya védőkorlát építése pályázati saját erő átadása</t>
  </si>
  <si>
    <t>Kőszegi mentőállomás kocsibeálló építéséhez átadás</t>
  </si>
  <si>
    <t>Városrehabilitációs kölcsön</t>
  </si>
  <si>
    <t>Köztemető ravatalozó felújítás (Kőszeg, Temető utca)</t>
  </si>
  <si>
    <t>Kőszegfalva Vasút utca csapadékvíz elvezető árok rekonstrukció</t>
  </si>
  <si>
    <t>Gimnázium támfal felújítás (Szent Imre herceg utca felőli rész I. szakasz)</t>
  </si>
  <si>
    <t>Fő tér 2. ingatlan felújítási munkák (Tourinform iroda kialakítása)</t>
  </si>
  <si>
    <t>Hivatal épület tetőfelújítása (Jurisics tér 6-8.)</t>
  </si>
  <si>
    <t>Nepomuki Szent János kápolna felújítása</t>
  </si>
  <si>
    <t>Vis maior káresemény helyreállítási munkái</t>
  </si>
  <si>
    <t>Világítás felújítás olvasóterem (Chernel K. Városi Könyvtár)</t>
  </si>
  <si>
    <t>Beruházás</t>
  </si>
  <si>
    <t>Új temető környezeti hatástanulmány készítése</t>
  </si>
  <si>
    <t>Jurisics vár turisztikai fejlesztése (külső udvar és híd, csapadékvíz elvezetés)</t>
  </si>
  <si>
    <t>Egészségház tervezés és kivitelezés (kivitelezés, közművek, út, parkolók kiépítése maximális támogatása mellett)</t>
  </si>
  <si>
    <t>Rohonci u. (Tamás árok) gyaloghíd építése</t>
  </si>
  <si>
    <t>Gyalogátkelőhely létesítése (Várkör-Rajnis u.-Pék u.)</t>
  </si>
  <si>
    <t>Jurisics tér 6-8. belső csapadékvíz és szennyvízrendszerek szétválasztása</t>
  </si>
  <si>
    <t>Ambró Gy. utca csapadék- és talajvíz elvezetés kiépítése</t>
  </si>
  <si>
    <t>Bajcsy-Zs. E. utca csapadékvíz elvezetés kiépítése</t>
  </si>
  <si>
    <t>Károlyi M. utca csapadékvíz elvezetés kiépítése</t>
  </si>
  <si>
    <t>Kiss J. u. híd rekonstrukció</t>
  </si>
  <si>
    <t>Balog iskola udvar és közösségi terek megújítása</t>
  </si>
  <si>
    <t>Gábor Á. utca szennyvízcsatorna hálózat tervezés és kivitelezés (önkormányzati egységeken)</t>
  </si>
  <si>
    <t>Ipari park létesítése</t>
  </si>
  <si>
    <t>Ipari park inkubátorház létesítése tanulmányterv</t>
  </si>
  <si>
    <t>Önkormányzati integrált adatkezelő rendszer (ÁROP pályázat keretében)</t>
  </si>
  <si>
    <t xml:space="preserve">1. </t>
  </si>
  <si>
    <t>Fejlesztési tartalék</t>
  </si>
  <si>
    <t xml:space="preserve">5. </t>
  </si>
  <si>
    <t>2014. évi eredeti előirány-zat</t>
  </si>
  <si>
    <t>2014. évi módosított előirány-zat</t>
  </si>
  <si>
    <t>Lakossági közműfejlesztés támogatása</t>
  </si>
  <si>
    <t>Fejlesztési célú központi támogatások</t>
  </si>
  <si>
    <t>Lakossági közműfejlesztési támogatás</t>
  </si>
  <si>
    <t>Adósságkonszolidáció törlesztési támogatással</t>
  </si>
  <si>
    <t>Jurisics vár felújítás támogatása</t>
  </si>
  <si>
    <t>Vis maior pályázat előlege</t>
  </si>
  <si>
    <t>2013. évi pénzmaradvány fejlesztési célú felhasználása</t>
  </si>
  <si>
    <t>Vízi-közmű hálózaton végzett felújítási munkák (Vasivíz vízdíj kompenzáció terhére)</t>
  </si>
  <si>
    <t>Számítástechnikai eszközök beszerzése (Chernel K. Városi Könyvtár)</t>
  </si>
  <si>
    <t>Kisértékű eszközök beszerzése (Chernel K. Városi Könyvtár)</t>
  </si>
  <si>
    <t>Kisértékű eszközök beszerzése (Kőszegi Közös Önkormányzati Hivatal)</t>
  </si>
  <si>
    <t>Kisértékű eszközök beszerzése (Jurisics-vár Művelődési Központ és Várszínház)</t>
  </si>
  <si>
    <t>Gépjármű vásárlás (Jurisics-vár Művelődési Központ és Várszínház)</t>
  </si>
  <si>
    <t>20.</t>
  </si>
  <si>
    <t>21.</t>
  </si>
  <si>
    <t>22.</t>
  </si>
  <si>
    <t>23.</t>
  </si>
  <si>
    <t>24.</t>
  </si>
  <si>
    <t>25.</t>
  </si>
  <si>
    <t>Online pénztárgép beszerzése (Chernel K. Városi Könyvtár)</t>
  </si>
  <si>
    <t>Online pénztárgépek beszerzése (Kőszegi Városi Múzeum)</t>
  </si>
  <si>
    <t>Egyéb berendezések beszerzése (Kőszegi Városi Múzeum)</t>
  </si>
  <si>
    <t>Kisértékű eszközök beszerzése (Kőszegi Városi Múzeum)</t>
  </si>
  <si>
    <t>26.</t>
  </si>
  <si>
    <t>27.</t>
  </si>
  <si>
    <t>28.</t>
  </si>
  <si>
    <t>06/9 hrsz-ú ingatlan megvásárlása</t>
  </si>
  <si>
    <t>Kőszegfalvi lakótelkek megvásárlása</t>
  </si>
  <si>
    <t>Gépjármű vásárlás (Közös Önkormányzati Hivatal üzemeltetésére)</t>
  </si>
  <si>
    <t>29.</t>
  </si>
  <si>
    <t>30.</t>
  </si>
  <si>
    <t>31.</t>
  </si>
  <si>
    <t>VI.</t>
  </si>
  <si>
    <t>Hiteltörlesztés értékpapír vásárlás</t>
  </si>
  <si>
    <t xml:space="preserve">2. </t>
  </si>
  <si>
    <t>Hiteltörlesztés (40 lakás)</t>
  </si>
  <si>
    <t>VII.</t>
  </si>
  <si>
    <t>Egyéb befizetési kötelezettség (dologi kiadások között)</t>
  </si>
  <si>
    <t>Fejlesztési hitelek kamata</t>
  </si>
  <si>
    <t>"3. melléklet az 5/2014. (II.7.) önkormányzati rendelethez</t>
  </si>
  <si>
    <t xml:space="preserve"> "5. melléklet az 5/2014. (II.7.) önkormányzati rendelethez</t>
  </si>
  <si>
    <t xml:space="preserve"> "1. melléklet az 5/2014. (II.7.) önkormányzati rendelethez</t>
  </si>
  <si>
    <t xml:space="preserve"> "4. melléklet az 5/2014. (II.7.) önkormányzati rendelethez</t>
  </si>
  <si>
    <t xml:space="preserve">Eredeti ei. </t>
  </si>
  <si>
    <t>Herman O. szobor felállítása</t>
  </si>
  <si>
    <t>KRAFT program támogatása</t>
  </si>
  <si>
    <t>Bezerédy u. 3. (40 lakás) tetőfelújítás</t>
  </si>
  <si>
    <t xml:space="preserve">Egészségház mellett kerékpárút tervezése </t>
  </si>
  <si>
    <t>32.</t>
  </si>
  <si>
    <t>33.</t>
  </si>
  <si>
    <t>34.</t>
  </si>
  <si>
    <t xml:space="preserve">KRAFT projekt tartalék  </t>
  </si>
  <si>
    <t xml:space="preserve">Parkoló kialakítás Írottkő u. - Űrhajósok útja </t>
  </si>
  <si>
    <t>Tájékoztató tábla felállítása Fő téren</t>
  </si>
  <si>
    <t>35.</t>
  </si>
  <si>
    <t>KSK tekepálya ellenőrző szerkezet cseréje fejlesztési támogatás</t>
  </si>
  <si>
    <t>Módosított ei. 2014.09.30.</t>
  </si>
  <si>
    <t>Bérlakás bevétel részletfizetés</t>
  </si>
  <si>
    <t xml:space="preserve">Gépjármű értékesítés bevétele </t>
  </si>
  <si>
    <t>Gépjármű értékesítés bevétele (Jurisics-vár Műv. Közp.)</t>
  </si>
  <si>
    <t>Módosított ei. 2014. 09. 30.</t>
  </si>
  <si>
    <t>Módosított előirányzat 2014. 09. 30.</t>
  </si>
  <si>
    <t>Eredeti előirány-zat</t>
  </si>
  <si>
    <t xml:space="preserve"> "2. melléklet az 5/2014. (II.7.) önkormányzati rendelethez</t>
  </si>
  <si>
    <t>Kőszeg Város Önkormányzatának központilag szabályozott bevételei 2014. évben</t>
  </si>
  <si>
    <t>Jogcím</t>
  </si>
  <si>
    <t xml:space="preserve">A helyi önkormányzatok általános müködésének és ágazati feladatainak támogatása (2013. évi CCXXX. törvény 2. melléklete szerint)  </t>
  </si>
  <si>
    <t>I.) Települési önkromáynzatok működésének támogatása</t>
  </si>
  <si>
    <t>1. a) Önkormányzati hivatal működésének támogatása</t>
  </si>
  <si>
    <t>1. b) Település-üzemeltetéshez kapcsolódó feladatellátás támogatása</t>
  </si>
  <si>
    <t xml:space="preserve">         ba) Zöldterület gazdálkodással kapcsolatos feladatok</t>
  </si>
  <si>
    <t xml:space="preserve">         bb) Közvilágítás fenntartásának támogatása</t>
  </si>
  <si>
    <t xml:space="preserve">         bc) Köztemető fenntartásának támogatása</t>
  </si>
  <si>
    <t xml:space="preserve">         bc) Közutak fenntartásának támogatása</t>
  </si>
  <si>
    <t xml:space="preserve">1. d) Egyéb kötelező önkormányzati feladatok támogatása </t>
  </si>
  <si>
    <t>2. Nem közművel gyűjtött háztartási szennyvíz ártalmatlanítása</t>
  </si>
  <si>
    <t>II.) Települési önkormányzatok egyes köznevelési feladatainak támogatása</t>
  </si>
  <si>
    <t xml:space="preserve">             1) Óvodapedagógusok, és az óvodapedagógusok nevelő munkáját közvetlenül segítők bértámogatása</t>
  </si>
  <si>
    <t>2. Óvodaműködtetési támogatás</t>
  </si>
  <si>
    <t>III.) Települési önkormányzatok szociális és gyermekjóléti feladatainak támogatása</t>
  </si>
  <si>
    <t>1.) Egyes jövedelempótló támogatások kiegészítése</t>
  </si>
  <si>
    <t>2.) Hozzájárulás pénzbeli szociális ellátásokhoz</t>
  </si>
  <si>
    <t>3.) Egyes szociális és gyermekjóléti feladatok támogatása</t>
  </si>
  <si>
    <t>4.)  Idősek átmeneti és tartós, valamint a hajléktalan
személyek részére nyújtott tartós szociális szakosított ellátási feladatok támogatása</t>
  </si>
  <si>
    <t>5. a) Gyermekétkeztetés támogatása: elismerhető dolgozók bértámogatása</t>
  </si>
  <si>
    <t>5. b) Gyermekétkeztetés támogatása: üzemeltetési támogatás</t>
  </si>
  <si>
    <t>IV.) Települési önkormányzatok kulturális feledatainak támogatása</t>
  </si>
  <si>
    <t>1. d) Nyilvános könyvtári ellátási és közművelődési feladatok támogatása</t>
  </si>
  <si>
    <t>1. e) Települési önkormányzatok muzeális intézményi feladatainak támogatása</t>
  </si>
  <si>
    <t>V.) Beszámítás összege (levonva előző jogcímeken)</t>
  </si>
  <si>
    <t>VI.) Egyéb központi támogatások</t>
  </si>
  <si>
    <t>2014. évi bérkompenzáció támogatása</t>
  </si>
  <si>
    <t>Szociális és gyermekvédelmi ágazati pótlék</t>
  </si>
  <si>
    <t>2013. évi központi támogatások elszámolása</t>
  </si>
  <si>
    <t>Itthon vagy - Magyarország szeretlek</t>
  </si>
  <si>
    <t>A helyi önkormányzatok általános müködésének és ágazati feladatainak támogatása összesen:</t>
  </si>
  <si>
    <t xml:space="preserve">Helyi önkormányzatok által felhasználható központosított előirányzatok (2013. évi CCXXX. törvény 3. melléklete szerint) </t>
  </si>
  <si>
    <t xml:space="preserve">15.)  Üdülőhelyi feladatok  támgoatása </t>
  </si>
  <si>
    <t>16.)  Települési önkormányzatok köznevelési feladatainak egyéb támogatása</t>
  </si>
  <si>
    <t>17.)  Lakott külterülettel kapcsolatos feladatok támogatása</t>
  </si>
  <si>
    <t>3. )Az e-útdíj bevezetésével egyidejűleg az önkormányzatoknál keletkező bevételkiesés ellentételezése</t>
  </si>
  <si>
    <t>5. ) Határátkelőhelyek fenntartásának támogatása</t>
  </si>
  <si>
    <t>2013. évről áthúzódó bérkompenzáció támogatása</t>
  </si>
  <si>
    <t>Könyvtári érdekeltségnövelő támogatás</t>
  </si>
  <si>
    <t>Nyári gyerekétkeztetés támogatása</t>
  </si>
  <si>
    <t xml:space="preserve">Helyi önkormányzatok által felhasználható működési célú központosított előirányzatok összesen: </t>
  </si>
  <si>
    <t xml:space="preserve">Vis maior támogatás </t>
  </si>
  <si>
    <t>Közművelődési érdekeltségnövelő támogatás</t>
  </si>
  <si>
    <t>Jurisics vár felújításának támogatása</t>
  </si>
  <si>
    <t>KRAFT projekt támogatása</t>
  </si>
  <si>
    <t>2014. évi adósságkonszolidáció törlesztési támogatással</t>
  </si>
  <si>
    <t xml:space="preserve">Helyi önkormányzatok által felhasználható felhalmozási célú előirányzatok összesen: </t>
  </si>
  <si>
    <t>A)</t>
  </si>
  <si>
    <t>Központi támogatások összesen (2013. évi CCXXX. törvény 2. és 3. melléklete szerint):</t>
  </si>
  <si>
    <t>Átengedett központi bevételek</t>
  </si>
  <si>
    <t>1 . Gépjárműadó (40 %)</t>
  </si>
  <si>
    <t>B)</t>
  </si>
  <si>
    <t>Átengedett központi bevételek összesen:</t>
  </si>
  <si>
    <t>KÖZPONTILAG SZABÁLYOZOTT BEVÉTELEK ÖSSZESEN(A+B):</t>
  </si>
  <si>
    <t>Támogatás összege 2014. 12. 31. (Ft)</t>
  </si>
  <si>
    <t xml:space="preserve">Rendkívűli támogatás </t>
  </si>
  <si>
    <t>Módosított ei. 2014.12.31.</t>
  </si>
  <si>
    <t>Kőszeg Város Önkormányzata bevételi előirányzatainak módosítása 2014. 12. 31-ig</t>
  </si>
  <si>
    <t xml:space="preserve">Működési és fejlesztési hitel, egyéb finanszírozási bevétel </t>
  </si>
  <si>
    <t>Kőszeg Város Önkormányzata kiadási előirányzatainak módosítása 2014. 12. 31-ig</t>
  </si>
  <si>
    <t>Hiteltörlesztés, értékpapír és részesedés vásárlás, egyéb finanszírozási kiadás</t>
  </si>
  <si>
    <t>Módosított ei. 2014. 12. 31.</t>
  </si>
  <si>
    <t>Informatikai eszközök értékesítése (Kőszegi Közös Önk. Hivatal)</t>
  </si>
  <si>
    <t>Érdekeltségnövelő támogatás</t>
  </si>
  <si>
    <t>Módosított előirányzat 2014. 12. 31.</t>
  </si>
  <si>
    <t>36.</t>
  </si>
  <si>
    <t>Kraft projekt tanulmányterv</t>
  </si>
  <si>
    <t>Finanszírozási célú bevételek</t>
  </si>
  <si>
    <t>Finanszírozási célú kiadások: hiteltörlesztés, értékpapír vásárlás, egyéb finanszírozási kiadás</t>
  </si>
  <si>
    <t xml:space="preserve"> </t>
  </si>
  <si>
    <t>1. melléklet a 6/2015. (III. 27.) önkormányzati rendelethez</t>
  </si>
  <si>
    <t xml:space="preserve"> 2. melléklet a 6/2015. (III. 27.) önkormányzati rendelethez</t>
  </si>
  <si>
    <t>3. melléklet a 6/2015. (III. 27.) önkormányzati rendelethez</t>
  </si>
  <si>
    <t>4. melléklet a 6/2015. (III. 27.) önkormányzati rendelethez</t>
  </si>
  <si>
    <t>5. melléklet a 6/2015. (III. 27.)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</si>
</sst>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00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41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i/>
      <sz val="10"/>
      <name val="Times New Roman CE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61" applyFont="1" applyFill="1" applyBorder="1">
      <alignment/>
      <protection/>
    </xf>
    <xf numFmtId="0" fontId="6" fillId="0" borderId="0" xfId="61" applyFont="1" applyFill="1" applyBorder="1" applyAlignment="1">
      <alignment wrapText="1"/>
      <protection/>
    </xf>
    <xf numFmtId="0" fontId="11" fillId="0" borderId="0" xfId="61" applyFont="1" applyFill="1" applyBorder="1" applyAlignment="1">
      <alignment wrapText="1"/>
      <protection/>
    </xf>
    <xf numFmtId="3" fontId="11" fillId="0" borderId="0" xfId="60" applyNumberFormat="1" applyFont="1" applyFill="1" applyBorder="1" applyAlignment="1">
      <alignment horizontal="center" wrapText="1"/>
      <protection/>
    </xf>
    <xf numFmtId="3" fontId="13" fillId="0" borderId="0" xfId="61" applyNumberFormat="1" applyFont="1" applyFill="1" applyBorder="1">
      <alignment/>
      <protection/>
    </xf>
    <xf numFmtId="0" fontId="6" fillId="0" borderId="0" xfId="61" applyFont="1" applyFill="1" applyBorder="1">
      <alignment/>
      <protection/>
    </xf>
    <xf numFmtId="3" fontId="14" fillId="0" borderId="0" xfId="61" applyNumberFormat="1" applyFont="1" applyFill="1" applyBorder="1">
      <alignment/>
      <protection/>
    </xf>
    <xf numFmtId="3" fontId="6" fillId="0" borderId="0" xfId="61" applyNumberFormat="1" applyFont="1" applyFill="1" applyBorder="1">
      <alignment/>
      <protection/>
    </xf>
    <xf numFmtId="3" fontId="5" fillId="0" borderId="0" xfId="61" applyNumberFormat="1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Border="1" applyAlignment="1">
      <alignment wrapText="1"/>
      <protection/>
    </xf>
    <xf numFmtId="0" fontId="11" fillId="0" borderId="0" xfId="60" applyFont="1" applyFill="1" applyBorder="1" applyAlignment="1">
      <alignment wrapText="1"/>
      <protection/>
    </xf>
    <xf numFmtId="3" fontId="13" fillId="0" borderId="0" xfId="60" applyNumberFormat="1" applyFont="1" applyFill="1" applyBorder="1" applyAlignment="1">
      <alignment wrapText="1"/>
      <protection/>
    </xf>
    <xf numFmtId="3" fontId="14" fillId="0" borderId="0" xfId="60" applyNumberFormat="1" applyFont="1" applyFill="1" applyBorder="1" applyAlignment="1">
      <alignment wrapText="1"/>
      <protection/>
    </xf>
    <xf numFmtId="3" fontId="5" fillId="0" borderId="0" xfId="60" applyNumberFormat="1" applyFont="1" applyFill="1" applyBorder="1" applyAlignment="1">
      <alignment wrapText="1"/>
      <protection/>
    </xf>
    <xf numFmtId="0" fontId="5" fillId="0" borderId="0" xfId="60" applyFont="1" applyFill="1" applyBorder="1" applyAlignment="1">
      <alignment wrapText="1"/>
      <protection/>
    </xf>
    <xf numFmtId="3" fontId="13" fillId="0" borderId="0" xfId="60" applyNumberFormat="1" applyFont="1" applyFill="1" applyBorder="1">
      <alignment/>
      <protection/>
    </xf>
    <xf numFmtId="2" fontId="6" fillId="0" borderId="0" xfId="61" applyNumberFormat="1" applyFont="1" applyFill="1" applyBorder="1">
      <alignment/>
      <protection/>
    </xf>
    <xf numFmtId="2" fontId="5" fillId="0" borderId="0" xfId="61" applyNumberFormat="1" applyFont="1" applyFill="1" applyBorder="1">
      <alignment/>
      <protection/>
    </xf>
    <xf numFmtId="2" fontId="13" fillId="0" borderId="0" xfId="61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3" fontId="5" fillId="0" borderId="0" xfId="60" applyNumberFormat="1" applyFont="1" applyFill="1" applyBorder="1" applyAlignment="1">
      <alignment horizontal="left"/>
      <protection/>
    </xf>
    <xf numFmtId="3" fontId="6" fillId="0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2" fontId="12" fillId="0" borderId="0" xfId="61" applyNumberFormat="1" applyFont="1" applyFill="1" applyBorder="1" applyAlignment="1">
      <alignment horizontal="center"/>
      <protection/>
    </xf>
    <xf numFmtId="2" fontId="12" fillId="0" borderId="0" xfId="61" applyNumberFormat="1" applyFont="1" applyFill="1" applyBorder="1">
      <alignment/>
      <protection/>
    </xf>
    <xf numFmtId="0" fontId="5" fillId="0" borderId="0" xfId="61" applyFont="1" applyFill="1" applyBorder="1" applyAlignment="1">
      <alignment horizontal="left"/>
      <protection/>
    </xf>
    <xf numFmtId="3" fontId="5" fillId="0" borderId="0" xfId="0" applyNumberFormat="1" applyFont="1" applyFill="1" applyBorder="1" applyAlignment="1">
      <alignment/>
    </xf>
    <xf numFmtId="0" fontId="5" fillId="0" borderId="0" xfId="61" applyFont="1" applyFill="1" applyBorder="1" applyAlignment="1">
      <alignment horizontal="left" wrapText="1"/>
      <protection/>
    </xf>
    <xf numFmtId="0" fontId="6" fillId="0" borderId="0" xfId="61" applyFont="1" applyFill="1" applyBorder="1" applyAlignment="1">
      <alignment horizontal="left"/>
      <protection/>
    </xf>
    <xf numFmtId="3" fontId="6" fillId="0" borderId="0" xfId="0" applyNumberFormat="1" applyFont="1" applyFill="1" applyBorder="1" applyAlignment="1">
      <alignment/>
    </xf>
    <xf numFmtId="49" fontId="5" fillId="0" borderId="0" xfId="61" applyNumberFormat="1" applyFont="1" applyFill="1" applyBorder="1" applyAlignment="1">
      <alignment horizontal="left"/>
      <protection/>
    </xf>
    <xf numFmtId="3" fontId="14" fillId="0" borderId="0" xfId="61" applyNumberFormat="1" applyFont="1" applyFill="1" applyBorder="1" applyAlignment="1">
      <alignment wrapText="1"/>
      <protection/>
    </xf>
    <xf numFmtId="0" fontId="6" fillId="0" borderId="0" xfId="61" applyFont="1" applyFill="1" applyBorder="1" applyAlignment="1">
      <alignment horizontal="left" wrapText="1"/>
      <protection/>
    </xf>
    <xf numFmtId="0" fontId="5" fillId="0" borderId="0" xfId="60" applyFont="1" applyFill="1" applyBorder="1" applyAlignment="1">
      <alignment horizontal="left" wrapText="1"/>
      <protection/>
    </xf>
    <xf numFmtId="0" fontId="6" fillId="0" borderId="0" xfId="60" applyFont="1" applyFill="1" applyBorder="1" applyAlignment="1">
      <alignment horizontal="left" wrapText="1"/>
      <protection/>
    </xf>
    <xf numFmtId="49" fontId="5" fillId="0" borderId="0" xfId="60" applyNumberFormat="1" applyFont="1" applyFill="1" applyBorder="1" applyAlignment="1">
      <alignment horizontal="left" wrapText="1"/>
      <protection/>
    </xf>
    <xf numFmtId="0" fontId="6" fillId="0" borderId="0" xfId="60" applyFont="1" applyFill="1" applyBorder="1" applyAlignment="1">
      <alignment horizontal="left"/>
      <protection/>
    </xf>
    <xf numFmtId="0" fontId="32" fillId="0" borderId="0" xfId="58" applyFont="1" applyFill="1">
      <alignment/>
      <protection/>
    </xf>
    <xf numFmtId="0" fontId="34" fillId="0" borderId="0" xfId="58" applyFont="1" applyFill="1">
      <alignment/>
      <protection/>
    </xf>
    <xf numFmtId="0" fontId="33" fillId="0" borderId="10" xfId="58" applyFont="1" applyFill="1" applyBorder="1" applyAlignment="1">
      <alignment horizontal="center" vertical="center"/>
      <protection/>
    </xf>
    <xf numFmtId="0" fontId="34" fillId="0" borderId="11" xfId="58" applyFont="1" applyFill="1" applyBorder="1">
      <alignment/>
      <protection/>
    </xf>
    <xf numFmtId="3" fontId="34" fillId="0" borderId="12" xfId="58" applyNumberFormat="1" applyFont="1" applyFill="1" applyBorder="1">
      <alignment/>
      <protection/>
    </xf>
    <xf numFmtId="3" fontId="34" fillId="0" borderId="13" xfId="58" applyNumberFormat="1" applyFont="1" applyFill="1" applyBorder="1">
      <alignment/>
      <protection/>
    </xf>
    <xf numFmtId="0" fontId="34" fillId="0" borderId="14" xfId="58" applyFont="1" applyFill="1" applyBorder="1">
      <alignment/>
      <protection/>
    </xf>
    <xf numFmtId="3" fontId="34" fillId="0" borderId="15" xfId="58" applyNumberFormat="1" applyFont="1" applyFill="1" applyBorder="1">
      <alignment/>
      <protection/>
    </xf>
    <xf numFmtId="3" fontId="34" fillId="0" borderId="16" xfId="58" applyNumberFormat="1" applyFont="1" applyFill="1" applyBorder="1">
      <alignment/>
      <protection/>
    </xf>
    <xf numFmtId="0" fontId="34" fillId="0" borderId="17" xfId="58" applyFont="1" applyFill="1" applyBorder="1">
      <alignment/>
      <protection/>
    </xf>
    <xf numFmtId="3" fontId="34" fillId="0" borderId="18" xfId="58" applyNumberFormat="1" applyFont="1" applyFill="1" applyBorder="1">
      <alignment/>
      <protection/>
    </xf>
    <xf numFmtId="3" fontId="34" fillId="0" borderId="19" xfId="58" applyNumberFormat="1" applyFont="1" applyFill="1" applyBorder="1">
      <alignment/>
      <protection/>
    </xf>
    <xf numFmtId="0" fontId="33" fillId="0" borderId="20" xfId="58" applyFont="1" applyFill="1" applyBorder="1">
      <alignment/>
      <protection/>
    </xf>
    <xf numFmtId="3" fontId="33" fillId="0" borderId="21" xfId="58" applyNumberFormat="1" applyFont="1" applyFill="1" applyBorder="1">
      <alignment/>
      <protection/>
    </xf>
    <xf numFmtId="3" fontId="33" fillId="0" borderId="22" xfId="58" applyNumberFormat="1" applyFont="1" applyFill="1" applyBorder="1">
      <alignment/>
      <protection/>
    </xf>
    <xf numFmtId="0" fontId="33" fillId="0" borderId="0" xfId="58" applyFont="1" applyFill="1">
      <alignment/>
      <protection/>
    </xf>
    <xf numFmtId="0" fontId="34" fillId="0" borderId="23" xfId="58" applyFont="1" applyFill="1" applyBorder="1">
      <alignment/>
      <protection/>
    </xf>
    <xf numFmtId="0" fontId="34" fillId="0" borderId="14" xfId="58" applyFont="1" applyFill="1" applyBorder="1" applyAlignment="1">
      <alignment wrapText="1"/>
      <protection/>
    </xf>
    <xf numFmtId="0" fontId="34" fillId="0" borderId="20" xfId="58" applyFont="1" applyFill="1" applyBorder="1" applyAlignment="1">
      <alignment wrapText="1"/>
      <protection/>
    </xf>
    <xf numFmtId="3" fontId="34" fillId="0" borderId="21" xfId="58" applyNumberFormat="1" applyFont="1" applyFill="1" applyBorder="1">
      <alignment/>
      <protection/>
    </xf>
    <xf numFmtId="3" fontId="34" fillId="0" borderId="22" xfId="58" applyNumberFormat="1" applyFont="1" applyFill="1" applyBorder="1">
      <alignment/>
      <protection/>
    </xf>
    <xf numFmtId="3" fontId="33" fillId="0" borderId="24" xfId="58" applyNumberFormat="1" applyFont="1" applyFill="1" applyBorder="1">
      <alignment/>
      <protection/>
    </xf>
    <xf numFmtId="3" fontId="33" fillId="0" borderId="25" xfId="58" applyNumberFormat="1" applyFont="1" applyFill="1" applyBorder="1">
      <alignment/>
      <protection/>
    </xf>
    <xf numFmtId="0" fontId="34" fillId="0" borderId="26" xfId="58" applyFont="1" applyFill="1" applyBorder="1">
      <alignment/>
      <protection/>
    </xf>
    <xf numFmtId="3" fontId="32" fillId="0" borderId="0" xfId="58" applyNumberFormat="1" applyFont="1" applyFill="1">
      <alignment/>
      <protection/>
    </xf>
    <xf numFmtId="0" fontId="5" fillId="0" borderId="0" xfId="58" applyFont="1" applyFill="1" applyAlignment="1">
      <alignment/>
      <protection/>
    </xf>
    <xf numFmtId="3" fontId="5" fillId="0" borderId="0" xfId="58" applyNumberFormat="1" applyFont="1" applyFill="1" applyAlignment="1">
      <alignment/>
      <protection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wrapText="1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0" fontId="6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 horizontal="left" wrapText="1"/>
      <protection/>
    </xf>
    <xf numFmtId="0" fontId="5" fillId="0" borderId="0" xfId="58" applyFont="1" applyFill="1" applyAlignment="1">
      <alignment horizontal="left"/>
      <protection/>
    </xf>
    <xf numFmtId="0" fontId="5" fillId="3" borderId="0" xfId="58" applyFont="1" applyFill="1" applyAlignment="1">
      <alignment vertical="top"/>
      <protection/>
    </xf>
    <xf numFmtId="0" fontId="5" fillId="3" borderId="0" xfId="58" applyFont="1" applyFill="1" applyAlignment="1">
      <alignment wrapText="1"/>
      <protection/>
    </xf>
    <xf numFmtId="3" fontId="5" fillId="3" borderId="0" xfId="58" applyNumberFormat="1" applyFont="1" applyFill="1" applyAlignment="1">
      <alignment/>
      <protection/>
    </xf>
    <xf numFmtId="3" fontId="5" fillId="0" borderId="0" xfId="58" applyNumberFormat="1" applyFont="1" applyFill="1">
      <alignment/>
      <protection/>
    </xf>
    <xf numFmtId="0" fontId="5" fillId="3" borderId="0" xfId="58" applyFont="1" applyFill="1">
      <alignment/>
      <protection/>
    </xf>
    <xf numFmtId="3" fontId="7" fillId="0" borderId="0" xfId="58" applyNumberFormat="1" applyFont="1" applyFill="1" applyAlignment="1">
      <alignment horizontal="right"/>
      <protection/>
    </xf>
    <xf numFmtId="0" fontId="7" fillId="0" borderId="0" xfId="58" applyFont="1" applyFill="1">
      <alignment/>
      <protection/>
    </xf>
    <xf numFmtId="0" fontId="5" fillId="4" borderId="0" xfId="58" applyFont="1" applyFill="1">
      <alignment/>
      <protection/>
    </xf>
    <xf numFmtId="0" fontId="5" fillId="4" borderId="0" xfId="58" applyFont="1" applyFill="1" applyAlignment="1">
      <alignment wrapText="1"/>
      <protection/>
    </xf>
    <xf numFmtId="3" fontId="5" fillId="4" borderId="0" xfId="58" applyNumberFormat="1" applyFont="1" applyFill="1" applyAlignment="1">
      <alignment/>
      <protection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wrapText="1"/>
      <protection/>
    </xf>
    <xf numFmtId="3" fontId="6" fillId="0" borderId="0" xfId="58" applyNumberFormat="1" applyFont="1" applyFill="1" applyAlignment="1">
      <alignment/>
      <protection/>
    </xf>
    <xf numFmtId="3" fontId="6" fillId="0" borderId="0" xfId="58" applyNumberFormat="1" applyFont="1" applyFill="1" applyAlignment="1">
      <alignment horizontal="right"/>
      <protection/>
    </xf>
    <xf numFmtId="0" fontId="5" fillId="0" borderId="0" xfId="58" applyFont="1" applyFill="1" applyAlignment="1">
      <alignment horizontal="right"/>
      <protection/>
    </xf>
    <xf numFmtId="3" fontId="5" fillId="0" borderId="0" xfId="58" applyNumberFormat="1" applyFont="1" applyFill="1" applyAlignment="1">
      <alignment horizontal="right"/>
      <protection/>
    </xf>
    <xf numFmtId="3" fontId="6" fillId="0" borderId="0" xfId="58" applyNumberFormat="1" applyFont="1" applyFill="1">
      <alignment/>
      <protection/>
    </xf>
    <xf numFmtId="0" fontId="5" fillId="4" borderId="0" xfId="58" applyFont="1" applyFill="1" applyAlignment="1">
      <alignment vertical="top"/>
      <protection/>
    </xf>
    <xf numFmtId="3" fontId="4" fillId="0" borderId="0" xfId="58" applyNumberFormat="1" applyFont="1" applyFill="1" applyAlignment="1">
      <alignment horizontal="center"/>
      <protection/>
    </xf>
    <xf numFmtId="0" fontId="4" fillId="0" borderId="0" xfId="58" applyFont="1" applyFill="1">
      <alignment/>
      <protection/>
    </xf>
    <xf numFmtId="0" fontId="5" fillId="0" borderId="0" xfId="58" applyFont="1" applyFill="1" applyAlignment="1">
      <alignment horizontal="left" wrapText="1"/>
      <protection/>
    </xf>
    <xf numFmtId="0" fontId="6" fillId="0" borderId="0" xfId="58" applyFont="1" applyFill="1" applyAlignment="1">
      <alignment/>
      <protection/>
    </xf>
    <xf numFmtId="0" fontId="6" fillId="4" borderId="0" xfId="58" applyFont="1" applyFill="1" applyAlignment="1">
      <alignment/>
      <protection/>
    </xf>
    <xf numFmtId="3" fontId="5" fillId="4" borderId="0" xfId="58" applyNumberFormat="1" applyFont="1" applyFill="1" applyAlignment="1">
      <alignment horizontal="right"/>
      <protection/>
    </xf>
    <xf numFmtId="0" fontId="6" fillId="3" borderId="0" xfId="58" applyFont="1" applyFill="1" applyAlignment="1">
      <alignment/>
      <protection/>
    </xf>
    <xf numFmtId="3" fontId="5" fillId="3" borderId="0" xfId="58" applyNumberFormat="1" applyFont="1" applyFill="1" applyAlignment="1">
      <alignment horizontal="right"/>
      <protection/>
    </xf>
    <xf numFmtId="3" fontId="5" fillId="4" borderId="0" xfId="58" applyNumberFormat="1" applyFont="1" applyFill="1" applyBorder="1" applyAlignment="1">
      <alignment horizontal="right"/>
      <protection/>
    </xf>
    <xf numFmtId="1" fontId="5" fillId="0" borderId="0" xfId="58" applyNumberFormat="1" applyFont="1" applyFill="1" applyAlignment="1">
      <alignment horizontal="right"/>
      <protection/>
    </xf>
    <xf numFmtId="0" fontId="5" fillId="4" borderId="0" xfId="58" applyFont="1" applyFill="1" applyAlignment="1">
      <alignment vertical="top" wrapText="1"/>
      <protection/>
    </xf>
    <xf numFmtId="0" fontId="5" fillId="4" borderId="0" xfId="58" applyFont="1" applyFill="1" applyBorder="1" applyAlignment="1">
      <alignment wrapText="1"/>
      <protection/>
    </xf>
    <xf numFmtId="3" fontId="5" fillId="4" borderId="0" xfId="58" applyNumberFormat="1" applyFont="1" applyFill="1" applyBorder="1" applyAlignment="1">
      <alignment horizontal="right" vertical="top" wrapText="1"/>
      <protection/>
    </xf>
    <xf numFmtId="3" fontId="5" fillId="3" borderId="0" xfId="58" applyNumberFormat="1" applyFont="1" applyFill="1" applyBorder="1" applyAlignment="1">
      <alignment horizontal="right"/>
      <protection/>
    </xf>
    <xf numFmtId="0" fontId="5" fillId="4" borderId="0" xfId="59" applyFont="1" applyFill="1" applyAlignment="1">
      <alignment horizontal="left" vertical="top"/>
      <protection/>
    </xf>
    <xf numFmtId="0" fontId="5" fillId="4" borderId="0" xfId="59" applyFont="1" applyFill="1" applyBorder="1" applyAlignment="1">
      <alignment wrapText="1"/>
      <protection/>
    </xf>
    <xf numFmtId="3" fontId="5" fillId="4" borderId="0" xfId="59" applyNumberFormat="1" applyFont="1" applyFill="1" applyBorder="1" applyAlignment="1">
      <alignment horizontal="right"/>
      <protection/>
    </xf>
    <xf numFmtId="0" fontId="5" fillId="0" borderId="0" xfId="58" applyFont="1">
      <alignment/>
      <protection/>
    </xf>
    <xf numFmtId="0" fontId="8" fillId="0" borderId="0" xfId="58" applyFont="1">
      <alignment/>
      <protection/>
    </xf>
    <xf numFmtId="0" fontId="5" fillId="4" borderId="0" xfId="58" applyFont="1" applyFill="1" applyAlignment="1">
      <alignment vertical="center" wrapText="1"/>
      <protection/>
    </xf>
    <xf numFmtId="3" fontId="5" fillId="4" borderId="0" xfId="58" applyNumberFormat="1" applyFont="1" applyFill="1" applyAlignment="1">
      <alignment vertical="center"/>
      <protection/>
    </xf>
    <xf numFmtId="3" fontId="6" fillId="0" borderId="0" xfId="58" applyNumberFormat="1" applyFont="1" applyFill="1" applyBorder="1" applyAlignment="1">
      <alignment horizontal="right"/>
      <protection/>
    </xf>
    <xf numFmtId="1" fontId="5" fillId="0" borderId="0" xfId="58" applyNumberFormat="1" applyFont="1" applyFill="1">
      <alignment/>
      <protection/>
    </xf>
    <xf numFmtId="0" fontId="5" fillId="3" borderId="0" xfId="59" applyFont="1" applyFill="1" applyAlignment="1">
      <alignment horizontal="left" vertical="top"/>
      <protection/>
    </xf>
    <xf numFmtId="0" fontId="5" fillId="3" borderId="0" xfId="58" applyFont="1" applyFill="1" applyAlignment="1">
      <alignment vertical="center" wrapText="1"/>
      <protection/>
    </xf>
    <xf numFmtId="3" fontId="5" fillId="3" borderId="0" xfId="58" applyNumberFormat="1" applyFont="1" applyFill="1" applyAlignment="1">
      <alignment vertical="center"/>
      <protection/>
    </xf>
    <xf numFmtId="0" fontId="5" fillId="0" borderId="0" xfId="59" applyFont="1" applyFill="1" applyAlignment="1">
      <alignment horizontal="left" vertical="top"/>
      <protection/>
    </xf>
    <xf numFmtId="3" fontId="6" fillId="0" borderId="0" xfId="58" applyNumberFormat="1" applyFont="1" applyFill="1" applyAlignment="1">
      <alignment horizontal="center"/>
      <protection/>
    </xf>
    <xf numFmtId="0" fontId="5" fillId="3" borderId="0" xfId="59" applyFont="1" applyFill="1" applyAlignment="1">
      <alignment horizontal="left"/>
      <protection/>
    </xf>
    <xf numFmtId="3" fontId="5" fillId="3" borderId="0" xfId="59" applyNumberFormat="1" applyFont="1" applyFill="1" applyBorder="1" applyAlignment="1">
      <alignment horizontal="right"/>
      <protection/>
    </xf>
    <xf numFmtId="3" fontId="6" fillId="4" borderId="0" xfId="58" applyNumberFormat="1" applyFont="1" applyFill="1">
      <alignment/>
      <protection/>
    </xf>
    <xf numFmtId="3" fontId="6" fillId="3" borderId="0" xfId="58" applyNumberFormat="1" applyFont="1" applyFill="1">
      <alignment/>
      <protection/>
    </xf>
    <xf numFmtId="3" fontId="5" fillId="0" borderId="0" xfId="58" applyNumberFormat="1" applyFont="1" applyFill="1" applyAlignment="1">
      <alignment horizontal="center"/>
      <protection/>
    </xf>
    <xf numFmtId="0" fontId="35" fillId="0" borderId="24" xfId="58" applyFont="1" applyFill="1" applyBorder="1" applyAlignment="1">
      <alignment horizontal="center" wrapText="1"/>
      <protection/>
    </xf>
    <xf numFmtId="0" fontId="35" fillId="0" borderId="27" xfId="58" applyFont="1" applyFill="1" applyBorder="1" applyAlignment="1">
      <alignment horizontal="center" wrapText="1"/>
      <protection/>
    </xf>
    <xf numFmtId="0" fontId="35" fillId="0" borderId="28" xfId="58" applyFont="1" applyFill="1" applyBorder="1" applyAlignment="1">
      <alignment horizontal="center" wrapText="1"/>
      <protection/>
    </xf>
    <xf numFmtId="0" fontId="35" fillId="0" borderId="21" xfId="58" applyFont="1" applyFill="1" applyBorder="1" applyAlignment="1">
      <alignment horizontal="center" wrapText="1"/>
      <protection/>
    </xf>
    <xf numFmtId="0" fontId="35" fillId="0" borderId="10" xfId="58" applyFont="1" applyFill="1" applyBorder="1">
      <alignment/>
      <protection/>
    </xf>
    <xf numFmtId="0" fontId="36" fillId="0" borderId="0" xfId="58" applyFont="1" applyFill="1" applyAlignment="1">
      <alignment/>
      <protection/>
    </xf>
    <xf numFmtId="0" fontId="4" fillId="0" borderId="0" xfId="60" applyFont="1" applyFill="1" applyBorder="1" applyAlignment="1">
      <alignment/>
      <protection/>
    </xf>
    <xf numFmtId="0" fontId="37" fillId="0" borderId="0" xfId="58" applyFont="1" applyFill="1" applyAlignment="1">
      <alignment horizontal="left" wrapText="1"/>
      <protection/>
    </xf>
    <xf numFmtId="0" fontId="37" fillId="0" borderId="0" xfId="58" applyFont="1" applyFill="1" applyAlignment="1">
      <alignment horizontal="center" wrapText="1"/>
      <protection/>
    </xf>
    <xf numFmtId="0" fontId="5" fillId="3" borderId="0" xfId="58" applyFont="1" applyFill="1" applyBorder="1" applyAlignment="1">
      <alignment wrapText="1"/>
      <protection/>
    </xf>
    <xf numFmtId="0" fontId="5" fillId="3" borderId="0" xfId="59" applyFont="1" applyFill="1" applyBorder="1" applyAlignment="1">
      <alignment wrapText="1"/>
      <protection/>
    </xf>
    <xf numFmtId="0" fontId="6" fillId="4" borderId="0" xfId="58" applyFont="1" applyFill="1" applyAlignment="1">
      <alignment wrapText="1"/>
      <protection/>
    </xf>
    <xf numFmtId="0" fontId="6" fillId="3" borderId="0" xfId="58" applyFont="1" applyFill="1" applyAlignment="1">
      <alignment wrapText="1"/>
      <protection/>
    </xf>
    <xf numFmtId="3" fontId="5" fillId="4" borderId="0" xfId="58" applyNumberFormat="1" applyFont="1" applyFill="1">
      <alignment/>
      <protection/>
    </xf>
    <xf numFmtId="3" fontId="5" fillId="3" borderId="0" xfId="58" applyNumberFormat="1" applyFont="1" applyFill="1">
      <alignment/>
      <protection/>
    </xf>
    <xf numFmtId="3" fontId="5" fillId="4" borderId="0" xfId="59" applyNumberFormat="1" applyFont="1" applyFill="1" applyBorder="1" applyAlignment="1">
      <alignment horizontal="right" vertical="center"/>
      <protection/>
    </xf>
    <xf numFmtId="0" fontId="5" fillId="4" borderId="0" xfId="59" applyFont="1" applyFill="1" applyAlignment="1">
      <alignment horizontal="left"/>
      <protection/>
    </xf>
    <xf numFmtId="3" fontId="5" fillId="4" borderId="0" xfId="58" applyNumberFormat="1" applyFont="1" applyFill="1" applyBorder="1" applyAlignment="1">
      <alignment horizontal="right" vertical="top"/>
      <protection/>
    </xf>
    <xf numFmtId="0" fontId="4" fillId="0" borderId="0" xfId="60" applyFont="1" applyFill="1" applyBorder="1" applyAlignment="1">
      <alignment horizontal="center"/>
      <protection/>
    </xf>
    <xf numFmtId="3" fontId="39" fillId="23" borderId="0" xfId="57" applyNumberFormat="1" applyFont="1" applyFill="1">
      <alignment/>
      <protection/>
    </xf>
    <xf numFmtId="0" fontId="5" fillId="0" borderId="0" xfId="57" applyFont="1" applyFill="1">
      <alignment/>
      <protection/>
    </xf>
    <xf numFmtId="3" fontId="5" fillId="0" borderId="0" xfId="57" applyNumberFormat="1" applyFont="1" applyFill="1">
      <alignment/>
      <protection/>
    </xf>
    <xf numFmtId="3" fontId="5" fillId="0" borderId="0" xfId="57" applyNumberFormat="1" applyFont="1" applyFill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4" fillId="0" borderId="0" xfId="57" applyFont="1" applyFill="1">
      <alignment/>
      <protection/>
    </xf>
    <xf numFmtId="3" fontId="38" fillId="0" borderId="0" xfId="57" applyNumberFormat="1" applyFont="1" applyFill="1" applyAlignment="1">
      <alignment horizontal="center" wrapText="1"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13" fillId="22" borderId="0" xfId="57" applyFont="1" applyFill="1" applyBorder="1" applyAlignment="1">
      <alignment horizontal="left"/>
      <protection/>
    </xf>
    <xf numFmtId="3" fontId="5" fillId="22" borderId="0" xfId="57" applyNumberFormat="1" applyFont="1" applyFill="1" applyBorder="1">
      <alignment/>
      <protection/>
    </xf>
    <xf numFmtId="0" fontId="7" fillId="0" borderId="0" xfId="57" applyFont="1" applyFill="1" applyBorder="1" applyAlignment="1">
      <alignment horizontal="left" wrapText="1" indent="3"/>
      <protection/>
    </xf>
    <xf numFmtId="0" fontId="7" fillId="0" borderId="0" xfId="57" applyFont="1" applyFill="1" applyBorder="1" applyAlignment="1">
      <alignment horizontal="left" indent="3"/>
      <protection/>
    </xf>
    <xf numFmtId="0" fontId="5" fillId="0" borderId="0" xfId="57" applyFont="1" applyFill="1" applyBorder="1" applyAlignment="1">
      <alignment horizontal="left" wrapText="1" indent="3"/>
      <protection/>
    </xf>
    <xf numFmtId="0" fontId="5" fillId="0" borderId="0" xfId="57" applyFont="1" applyFill="1" applyBorder="1" applyAlignment="1">
      <alignment horizontal="left" indent="3"/>
      <protection/>
    </xf>
    <xf numFmtId="0" fontId="6" fillId="22" borderId="0" xfId="57" applyFont="1" applyFill="1" applyBorder="1" applyAlignment="1">
      <alignment wrapText="1"/>
      <protection/>
    </xf>
    <xf numFmtId="3" fontId="5" fillId="22" borderId="0" xfId="57" applyNumberFormat="1" applyFont="1" applyFill="1">
      <alignment/>
      <protection/>
    </xf>
    <xf numFmtId="0" fontId="7" fillId="0" borderId="0" xfId="57" applyFont="1" applyFill="1" applyBorder="1" applyAlignment="1">
      <alignment wrapText="1"/>
      <protection/>
    </xf>
    <xf numFmtId="2" fontId="7" fillId="0" borderId="0" xfId="57" applyNumberFormat="1" applyFont="1" applyFill="1" applyBorder="1" applyAlignment="1">
      <alignment horizontal="left" wrapText="1" indent="3"/>
      <protection/>
    </xf>
    <xf numFmtId="3" fontId="5" fillId="0" borderId="0" xfId="57" applyNumberFormat="1" applyFont="1" applyFill="1" applyAlignment="1">
      <alignment horizontal="right"/>
      <protection/>
    </xf>
    <xf numFmtId="0" fontId="39" fillId="0" borderId="0" xfId="57" applyFont="1" applyFill="1">
      <alignment/>
      <protection/>
    </xf>
    <xf numFmtId="0" fontId="39" fillId="23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9" fillId="0" borderId="0" xfId="57" applyFont="1" applyFill="1" applyBorder="1" applyAlignment="1">
      <alignment wrapText="1"/>
      <protection/>
    </xf>
    <xf numFmtId="0" fontId="39" fillId="23" borderId="0" xfId="57" applyFont="1" applyFill="1" applyBorder="1" applyAlignment="1">
      <alignment wrapText="1"/>
      <protection/>
    </xf>
    <xf numFmtId="3" fontId="39" fillId="23" borderId="0" xfId="57" applyNumberFormat="1" applyFont="1" applyFill="1" applyBorder="1" applyAlignment="1">
      <alignment wrapText="1"/>
      <protection/>
    </xf>
    <xf numFmtId="0" fontId="40" fillId="0" borderId="0" xfId="57" applyFont="1" applyFill="1">
      <alignment/>
      <protection/>
    </xf>
    <xf numFmtId="0" fontId="10" fillId="4" borderId="0" xfId="57" applyFont="1" applyFill="1">
      <alignment/>
      <protection/>
    </xf>
    <xf numFmtId="3" fontId="10" fillId="4" borderId="0" xfId="57" applyNumberFormat="1" applyFont="1" applyFill="1">
      <alignment/>
      <protection/>
    </xf>
    <xf numFmtId="0" fontId="10" fillId="0" borderId="0" xfId="57" applyFont="1" applyFill="1">
      <alignment/>
      <protection/>
    </xf>
    <xf numFmtId="3" fontId="6" fillId="0" borderId="0" xfId="57" applyNumberFormat="1" applyFont="1" applyFill="1">
      <alignment/>
      <protection/>
    </xf>
    <xf numFmtId="0" fontId="10" fillId="7" borderId="0" xfId="57" applyFont="1" applyFill="1" applyAlignment="1">
      <alignment/>
      <protection/>
    </xf>
    <xf numFmtId="3" fontId="10" fillId="7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3" fillId="0" borderId="0" xfId="57" applyFont="1" applyFill="1" applyAlignment="1">
      <alignment horizontal="right"/>
      <protection/>
    </xf>
    <xf numFmtId="0" fontId="14" fillId="0" borderId="0" xfId="57" applyFont="1" applyFill="1" applyAlignment="1">
      <alignment horizontal="right"/>
      <protection/>
    </xf>
    <xf numFmtId="3" fontId="6" fillId="0" borderId="0" xfId="61" applyNumberFormat="1" applyFont="1" applyFill="1" applyBorder="1" applyAlignment="1">
      <alignment horizontal="right"/>
      <protection/>
    </xf>
    <xf numFmtId="3" fontId="39" fillId="0" borderId="0" xfId="57" applyNumberFormat="1" applyFont="1" applyFill="1" applyBorder="1" applyAlignment="1">
      <alignment wrapText="1"/>
      <protection/>
    </xf>
    <xf numFmtId="0" fontId="33" fillId="0" borderId="29" xfId="58" applyFont="1" applyFill="1" applyBorder="1" applyAlignment="1">
      <alignment horizontal="center"/>
      <protection/>
    </xf>
    <xf numFmtId="0" fontId="33" fillId="0" borderId="0" xfId="58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 wrapText="1"/>
      <protection/>
    </xf>
    <xf numFmtId="0" fontId="6" fillId="0" borderId="0" xfId="61" applyFont="1" applyFill="1" applyBorder="1" applyAlignment="1">
      <alignment horizontal="center" wrapText="1"/>
      <protection/>
    </xf>
    <xf numFmtId="2" fontId="6" fillId="0" borderId="0" xfId="61" applyNumberFormat="1" applyFont="1" applyFill="1" applyBorder="1" applyAlignment="1">
      <alignment horizontal="center" wrapText="1"/>
      <protection/>
    </xf>
    <xf numFmtId="0" fontId="4" fillId="0" borderId="0" xfId="60" applyFont="1" applyFill="1" applyBorder="1" applyAlignment="1">
      <alignment horizontal="center"/>
      <protection/>
    </xf>
    <xf numFmtId="0" fontId="6" fillId="0" borderId="0" xfId="58" applyFont="1" applyFill="1" applyAlignment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3. költségvetés mell" xfId="57"/>
    <cellStyle name="Normál_Kőszeg 2014. költségvetés mellékletek" xfId="58"/>
    <cellStyle name="Normál_melléklet összesen_2012. koncepció kiegészítő táblázatok" xfId="59"/>
    <cellStyle name="Normál_R_2MELL" xfId="60"/>
    <cellStyle name="Normál_R_3MELL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workbookViewId="0" topLeftCell="A1">
      <selection activeCell="I14" sqref="I14"/>
    </sheetView>
  </sheetViews>
  <sheetFormatPr defaultColWidth="9.140625" defaultRowHeight="12.75"/>
  <cols>
    <col min="1" max="1" width="32.8515625" style="44" customWidth="1"/>
    <col min="2" max="3" width="8.7109375" style="44" customWidth="1"/>
    <col min="4" max="5" width="8.57421875" style="44" customWidth="1"/>
    <col min="6" max="6" width="9.140625" style="44" customWidth="1"/>
    <col min="7" max="7" width="2.421875" style="44" customWidth="1"/>
    <col min="8" max="16384" width="9.140625" style="44" customWidth="1"/>
  </cols>
  <sheetData>
    <row r="1" spans="1:2" ht="15.75">
      <c r="A1" s="134" t="s">
        <v>309</v>
      </c>
      <c r="B1" s="134"/>
    </row>
    <row r="2" spans="1:2" ht="15.75">
      <c r="A2" s="135" t="s">
        <v>215</v>
      </c>
      <c r="B2" s="135"/>
    </row>
    <row r="3" spans="1:6" ht="15" customHeight="1">
      <c r="A3" s="188" t="s">
        <v>114</v>
      </c>
      <c r="B3" s="188"/>
      <c r="C3" s="188"/>
      <c r="D3" s="188"/>
      <c r="E3" s="188"/>
      <c r="F3" s="188"/>
    </row>
    <row r="4" spans="1:6" ht="13.5" customHeight="1">
      <c r="A4" s="188" t="s">
        <v>115</v>
      </c>
      <c r="B4" s="188"/>
      <c r="C4" s="188"/>
      <c r="D4" s="188"/>
      <c r="E4" s="188"/>
      <c r="F4" s="188"/>
    </row>
    <row r="5" spans="1:6" s="45" customFormat="1" ht="15" customHeight="1" thickBot="1">
      <c r="A5" s="187" t="s">
        <v>80</v>
      </c>
      <c r="B5" s="187"/>
      <c r="C5" s="187"/>
      <c r="D5" s="187"/>
      <c r="E5" s="187"/>
      <c r="F5" s="187"/>
    </row>
    <row r="6" spans="1:6" s="45" customFormat="1" ht="45" customHeight="1" thickBot="1">
      <c r="A6" s="46" t="s">
        <v>81</v>
      </c>
      <c r="B6" s="129" t="s">
        <v>116</v>
      </c>
      <c r="C6" s="130" t="s">
        <v>113</v>
      </c>
      <c r="D6" s="131" t="s">
        <v>117</v>
      </c>
      <c r="E6" s="129" t="s">
        <v>172</v>
      </c>
      <c r="F6" s="132" t="s">
        <v>173</v>
      </c>
    </row>
    <row r="7" spans="1:6" s="45" customFormat="1" ht="12.75" customHeight="1">
      <c r="A7" s="47" t="s">
        <v>82</v>
      </c>
      <c r="B7" s="48">
        <f>113498+11428+373141</f>
        <v>498067</v>
      </c>
      <c r="C7" s="49">
        <v>474782</v>
      </c>
      <c r="D7" s="49">
        <v>476441</v>
      </c>
      <c r="E7" s="49">
        <f>452825+34535</f>
        <v>487360</v>
      </c>
      <c r="F7" s="49">
        <f>627224-92171</f>
        <v>535053</v>
      </c>
    </row>
    <row r="8" spans="1:6" s="45" customFormat="1" ht="12.75" customHeight="1">
      <c r="A8" s="50" t="s">
        <v>83</v>
      </c>
      <c r="B8" s="51">
        <f>423549+791633</f>
        <v>1215182</v>
      </c>
      <c r="C8" s="52">
        <v>431830</v>
      </c>
      <c r="D8" s="52">
        <f>865706+28594</f>
        <v>894300</v>
      </c>
      <c r="E8" s="52">
        <v>770080</v>
      </c>
      <c r="F8" s="52">
        <f>1111717-238480</f>
        <v>873237</v>
      </c>
    </row>
    <row r="9" spans="1:6" s="45" customFormat="1" ht="12" customHeight="1">
      <c r="A9" s="50" t="s">
        <v>84</v>
      </c>
      <c r="B9" s="51">
        <f>42685+89756+21439</f>
        <v>153880</v>
      </c>
      <c r="C9" s="52">
        <v>44894</v>
      </c>
      <c r="D9" s="52">
        <v>101616</v>
      </c>
      <c r="E9" s="52">
        <f>37017+1161+41042+200</f>
        <v>79420</v>
      </c>
      <c r="F9" s="52">
        <f>514155-327200</f>
        <v>186955</v>
      </c>
    </row>
    <row r="10" spans="1:6" s="45" customFormat="1" ht="12.75" customHeight="1">
      <c r="A10" s="50" t="s">
        <v>85</v>
      </c>
      <c r="B10" s="51"/>
      <c r="C10" s="52"/>
      <c r="D10" s="52"/>
      <c r="E10" s="52"/>
      <c r="F10" s="52"/>
    </row>
    <row r="11" spans="1:6" s="45" customFormat="1" ht="12.75" customHeight="1" thickBot="1">
      <c r="A11" s="53" t="s">
        <v>86</v>
      </c>
      <c r="B11" s="54">
        <v>94510</v>
      </c>
      <c r="C11" s="55">
        <v>147141</v>
      </c>
      <c r="D11" s="55">
        <v>169586</v>
      </c>
      <c r="E11" s="55">
        <f>226360+5500</f>
        <v>231860</v>
      </c>
      <c r="F11" s="55">
        <f>226360+5500+57803-13686+12565</f>
        <v>288542</v>
      </c>
    </row>
    <row r="12" spans="1:11" s="59" customFormat="1" ht="12.75" customHeight="1" thickBot="1">
      <c r="A12" s="56" t="s">
        <v>87</v>
      </c>
      <c r="B12" s="57">
        <f>SUM(B7:B11)</f>
        <v>1961639</v>
      </c>
      <c r="C12" s="58">
        <f>SUM(C7:C11)</f>
        <v>1098647</v>
      </c>
      <c r="D12" s="58">
        <f>SUM(D7:D11)</f>
        <v>1641943</v>
      </c>
      <c r="E12" s="58">
        <f>SUM(E7:E11)</f>
        <v>1568720</v>
      </c>
      <c r="F12" s="58">
        <f>SUM(F7:F11)</f>
        <v>1883787</v>
      </c>
      <c r="K12" s="59" t="s">
        <v>308</v>
      </c>
    </row>
    <row r="13" spans="1:6" s="45" customFormat="1" ht="12.75" customHeight="1">
      <c r="A13" s="60" t="s">
        <v>88</v>
      </c>
      <c r="B13" s="48">
        <f>40060+45403</f>
        <v>85463</v>
      </c>
      <c r="C13" s="49">
        <v>156443</v>
      </c>
      <c r="D13" s="49">
        <f>164522-65015</f>
        <v>99507</v>
      </c>
      <c r="E13" s="49">
        <v>138789</v>
      </c>
      <c r="F13" s="49">
        <v>92171</v>
      </c>
    </row>
    <row r="14" spans="1:6" s="45" customFormat="1" ht="12.75" customHeight="1">
      <c r="A14" s="50" t="s">
        <v>89</v>
      </c>
      <c r="B14" s="51">
        <v>678021</v>
      </c>
      <c r="C14" s="52">
        <v>773329</v>
      </c>
      <c r="D14" s="52">
        <f>770088-53895-310000</f>
        <v>406193</v>
      </c>
      <c r="E14" s="52">
        <v>396363</v>
      </c>
      <c r="F14" s="52">
        <v>327200</v>
      </c>
    </row>
    <row r="15" spans="1:6" s="45" customFormat="1" ht="12.75" customHeight="1">
      <c r="A15" s="50" t="s">
        <v>90</v>
      </c>
      <c r="B15" s="51">
        <v>17</v>
      </c>
      <c r="C15" s="52"/>
      <c r="D15" s="52">
        <v>20</v>
      </c>
      <c r="E15" s="52"/>
      <c r="F15" s="52">
        <v>238480</v>
      </c>
    </row>
    <row r="16" spans="1:6" s="45" customFormat="1" ht="12.75" customHeight="1">
      <c r="A16" s="50" t="s">
        <v>91</v>
      </c>
      <c r="B16" s="51"/>
      <c r="C16" s="52"/>
      <c r="D16" s="52"/>
      <c r="E16" s="52"/>
      <c r="F16" s="52"/>
    </row>
    <row r="17" spans="1:6" s="45" customFormat="1" ht="25.5" customHeight="1">
      <c r="A17" s="61" t="s">
        <v>92</v>
      </c>
      <c r="B17" s="51">
        <v>24224</v>
      </c>
      <c r="C17" s="52">
        <v>14350</v>
      </c>
      <c r="D17" s="52">
        <v>16294</v>
      </c>
      <c r="E17" s="52">
        <v>8450</v>
      </c>
      <c r="F17" s="52">
        <v>17350</v>
      </c>
    </row>
    <row r="18" spans="1:6" s="45" customFormat="1" ht="12.75" customHeight="1" thickBot="1">
      <c r="A18" s="53" t="s">
        <v>93</v>
      </c>
      <c r="B18" s="54">
        <v>166060</v>
      </c>
      <c r="C18" s="55">
        <v>28000</v>
      </c>
      <c r="D18" s="55">
        <v>46136</v>
      </c>
      <c r="E18" s="55">
        <v>105000</v>
      </c>
      <c r="F18" s="55">
        <f>105000+13686</f>
        <v>118686</v>
      </c>
    </row>
    <row r="19" spans="1:6" s="59" customFormat="1" ht="12.75" customHeight="1" thickBot="1">
      <c r="A19" s="56" t="s">
        <v>94</v>
      </c>
      <c r="B19" s="57">
        <f>SUM(B13:B18)</f>
        <v>953785</v>
      </c>
      <c r="C19" s="58">
        <f>SUM(C13:C18)</f>
        <v>972122</v>
      </c>
      <c r="D19" s="58">
        <f>SUM(D13:D18)</f>
        <v>568150</v>
      </c>
      <c r="E19" s="58">
        <f>SUM(E13:E18)</f>
        <v>648602</v>
      </c>
      <c r="F19" s="58">
        <f>SUM(F13:F18)</f>
        <v>793887</v>
      </c>
    </row>
    <row r="20" spans="1:6" s="45" customFormat="1" ht="27.75" customHeight="1" thickBot="1">
      <c r="A20" s="62" t="s">
        <v>306</v>
      </c>
      <c r="B20" s="63">
        <v>161837</v>
      </c>
      <c r="C20" s="64"/>
      <c r="D20" s="64">
        <v>51412</v>
      </c>
      <c r="E20" s="64"/>
      <c r="F20" s="64">
        <v>25139</v>
      </c>
    </row>
    <row r="21" spans="1:6" s="45" customFormat="1" ht="12.75" customHeight="1">
      <c r="A21" s="50" t="s">
        <v>95</v>
      </c>
      <c r="B21" s="51">
        <v>132010</v>
      </c>
      <c r="C21" s="52"/>
      <c r="D21" s="52"/>
      <c r="E21" s="52"/>
      <c r="F21" s="52"/>
    </row>
    <row r="22" spans="1:6" s="45" customFormat="1" ht="12.75" customHeight="1" thickBot="1">
      <c r="A22" s="50" t="s">
        <v>96</v>
      </c>
      <c r="B22" s="51">
        <v>29827</v>
      </c>
      <c r="C22" s="52"/>
      <c r="D22" s="52">
        <v>51412</v>
      </c>
      <c r="E22" s="52"/>
      <c r="F22" s="52"/>
    </row>
    <row r="23" spans="1:6" s="45" customFormat="1" ht="16.5" customHeight="1" thickBot="1">
      <c r="A23" s="62" t="s">
        <v>97</v>
      </c>
      <c r="B23" s="63">
        <v>-299</v>
      </c>
      <c r="C23" s="64"/>
      <c r="D23" s="64"/>
      <c r="E23" s="64"/>
      <c r="F23" s="64"/>
    </row>
    <row r="24" spans="1:6" s="59" customFormat="1" ht="18.75" customHeight="1" thickBot="1">
      <c r="A24" s="133" t="s">
        <v>98</v>
      </c>
      <c r="B24" s="65">
        <f>B12+B19+B20+B23</f>
        <v>3076962</v>
      </c>
      <c r="C24" s="66">
        <f>C12+C19+C20</f>
        <v>2070769</v>
      </c>
      <c r="D24" s="66">
        <f>D12+D19+D20+D23</f>
        <v>2261505</v>
      </c>
      <c r="E24" s="66">
        <f>E12+E19+E20</f>
        <v>2217322</v>
      </c>
      <c r="F24" s="66">
        <f>F12+F19+F20</f>
        <v>2702813</v>
      </c>
    </row>
    <row r="25" s="45" customFormat="1" ht="6.75" customHeight="1" hidden="1"/>
    <row r="26" spans="1:6" s="45" customFormat="1" ht="15.75" customHeight="1" thickBot="1">
      <c r="A26" s="187" t="s">
        <v>99</v>
      </c>
      <c r="B26" s="187"/>
      <c r="C26" s="187"/>
      <c r="D26" s="187"/>
      <c r="E26" s="187"/>
      <c r="F26" s="187"/>
    </row>
    <row r="27" spans="1:6" s="45" customFormat="1" ht="47.25" customHeight="1" thickBot="1">
      <c r="A27" s="46" t="s">
        <v>81</v>
      </c>
      <c r="B27" s="129" t="s">
        <v>116</v>
      </c>
      <c r="C27" s="130" t="s">
        <v>113</v>
      </c>
      <c r="D27" s="131" t="s">
        <v>117</v>
      </c>
      <c r="E27" s="129" t="s">
        <v>172</v>
      </c>
      <c r="F27" s="132" t="s">
        <v>173</v>
      </c>
    </row>
    <row r="28" spans="1:6" s="45" customFormat="1" ht="12.75" customHeight="1">
      <c r="A28" s="47" t="s">
        <v>100</v>
      </c>
      <c r="B28" s="48">
        <v>434385</v>
      </c>
      <c r="C28" s="49">
        <v>230714</v>
      </c>
      <c r="D28" s="49">
        <v>241632</v>
      </c>
      <c r="E28" s="49">
        <v>275450</v>
      </c>
      <c r="F28" s="49">
        <v>307482</v>
      </c>
    </row>
    <row r="29" spans="1:6" s="45" customFormat="1" ht="12.75" customHeight="1">
      <c r="A29" s="50" t="s">
        <v>36</v>
      </c>
      <c r="B29" s="51">
        <v>114969</v>
      </c>
      <c r="C29" s="52">
        <f>45828+5878+10874</f>
        <v>62580</v>
      </c>
      <c r="D29" s="52">
        <v>63931</v>
      </c>
      <c r="E29" s="52">
        <v>72653</v>
      </c>
      <c r="F29" s="52">
        <v>87907</v>
      </c>
    </row>
    <row r="30" spans="1:6" s="45" customFormat="1" ht="12.75" customHeight="1">
      <c r="A30" s="50" t="s">
        <v>37</v>
      </c>
      <c r="B30" s="51">
        <v>560778</v>
      </c>
      <c r="C30" s="52">
        <f>574819+52321+17725+5780</f>
        <v>650645</v>
      </c>
      <c r="D30" s="52">
        <f>665174-19972</f>
        <v>645202</v>
      </c>
      <c r="E30" s="52">
        <v>658882</v>
      </c>
      <c r="F30" s="52">
        <v>835422</v>
      </c>
    </row>
    <row r="31" spans="1:6" s="45" customFormat="1" ht="12.75" customHeight="1">
      <c r="A31" s="50" t="s">
        <v>101</v>
      </c>
      <c r="B31" s="51">
        <v>-4818</v>
      </c>
      <c r="C31" s="52">
        <v>-5780</v>
      </c>
      <c r="D31" s="52">
        <v>-3981</v>
      </c>
      <c r="E31" s="52"/>
      <c r="F31" s="52">
        <v>-35</v>
      </c>
    </row>
    <row r="32" spans="1:6" s="45" customFormat="1" ht="12.75" customHeight="1">
      <c r="A32" s="53" t="s">
        <v>103</v>
      </c>
      <c r="B32" s="51">
        <v>17820</v>
      </c>
      <c r="C32" s="52"/>
      <c r="D32" s="52">
        <f>74953-11615</f>
        <v>63338</v>
      </c>
      <c r="E32" s="52">
        <v>70150</v>
      </c>
      <c r="F32" s="52">
        <v>54917</v>
      </c>
    </row>
    <row r="33" spans="1:6" s="45" customFormat="1" ht="12.75" customHeight="1">
      <c r="A33" s="50" t="s">
        <v>102</v>
      </c>
      <c r="B33" s="51">
        <f>457726+40819</f>
        <v>498545</v>
      </c>
      <c r="C33" s="52">
        <v>150781</v>
      </c>
      <c r="D33" s="52">
        <f>267266+4444</f>
        <v>271710</v>
      </c>
      <c r="E33" s="52">
        <f>412040+31063+13182</f>
        <v>456285</v>
      </c>
      <c r="F33" s="52">
        <f>635740-15470</f>
        <v>620270</v>
      </c>
    </row>
    <row r="34" spans="1:6" s="45" customFormat="1" ht="12.75" customHeight="1" thickBot="1">
      <c r="A34" s="53" t="s">
        <v>26</v>
      </c>
      <c r="B34" s="54"/>
      <c r="C34" s="55">
        <f>25307-15600</f>
        <v>9707</v>
      </c>
      <c r="D34" s="55">
        <f>7800+300000</f>
        <v>307800</v>
      </c>
      <c r="E34" s="55">
        <f>34000+1300</f>
        <v>35300</v>
      </c>
      <c r="F34" s="55">
        <f>98386-2621</f>
        <v>95765</v>
      </c>
    </row>
    <row r="35" spans="1:6" s="45" customFormat="1" ht="12.75" customHeight="1" thickBot="1">
      <c r="A35" s="56" t="s">
        <v>104</v>
      </c>
      <c r="B35" s="57">
        <f>SUM(B28:B34)</f>
        <v>1621679</v>
      </c>
      <c r="C35" s="58">
        <f>SUM(C28:C34)</f>
        <v>1098647</v>
      </c>
      <c r="D35" s="58">
        <f>SUM(D28:D34)</f>
        <v>1589632</v>
      </c>
      <c r="E35" s="58">
        <f>SUM(E28:E34)</f>
        <v>1568720</v>
      </c>
      <c r="F35" s="58">
        <f>SUM(F28:F34)</f>
        <v>2001728</v>
      </c>
    </row>
    <row r="36" spans="1:6" s="45" customFormat="1" ht="12.75" customHeight="1">
      <c r="A36" s="67" t="s">
        <v>118</v>
      </c>
      <c r="B36" s="51">
        <v>820710</v>
      </c>
      <c r="C36" s="52">
        <v>894077</v>
      </c>
      <c r="D36" s="52">
        <v>503950</v>
      </c>
      <c r="E36" s="52">
        <v>572512</v>
      </c>
      <c r="F36" s="52">
        <v>580211</v>
      </c>
    </row>
    <row r="37" spans="1:6" s="45" customFormat="1" ht="12.75" customHeight="1">
      <c r="A37" s="47" t="s">
        <v>105</v>
      </c>
      <c r="B37" s="48">
        <v>37574</v>
      </c>
      <c r="C37" s="49">
        <v>5608</v>
      </c>
      <c r="D37" s="49">
        <v>6760</v>
      </c>
      <c r="E37" s="49">
        <v>30348</v>
      </c>
      <c r="F37" s="49">
        <v>70761</v>
      </c>
    </row>
    <row r="38" spans="1:6" s="45" customFormat="1" ht="12.75" customHeight="1">
      <c r="A38" s="50" t="s">
        <v>106</v>
      </c>
      <c r="B38" s="51">
        <f>17754+33441</f>
        <v>51195</v>
      </c>
      <c r="C38" s="52">
        <v>32452</v>
      </c>
      <c r="D38" s="52">
        <v>45072</v>
      </c>
      <c r="E38" s="52">
        <v>38047</v>
      </c>
      <c r="F38" s="52">
        <v>15470</v>
      </c>
    </row>
    <row r="39" spans="1:6" s="45" customFormat="1" ht="12.75" customHeight="1">
      <c r="A39" s="50" t="s">
        <v>107</v>
      </c>
      <c r="B39" s="51">
        <v>13184</v>
      </c>
      <c r="C39" s="52">
        <v>2750</v>
      </c>
      <c r="D39" s="52">
        <v>4694</v>
      </c>
      <c r="E39" s="52">
        <v>2450</v>
      </c>
      <c r="F39" s="52">
        <v>2450</v>
      </c>
    </row>
    <row r="40" spans="1:6" s="45" customFormat="1" ht="12.75" customHeight="1">
      <c r="A40" s="61" t="s">
        <v>108</v>
      </c>
      <c r="B40" s="51">
        <v>4818</v>
      </c>
      <c r="C40" s="52">
        <v>5780</v>
      </c>
      <c r="D40" s="52">
        <v>3981</v>
      </c>
      <c r="E40" s="52"/>
      <c r="F40" s="52">
        <v>35</v>
      </c>
    </row>
    <row r="41" spans="1:6" s="45" customFormat="1" ht="12.75" customHeight="1" thickBot="1">
      <c r="A41" s="53" t="s">
        <v>26</v>
      </c>
      <c r="B41" s="54"/>
      <c r="C41" s="55">
        <v>15600</v>
      </c>
      <c r="D41" s="55">
        <v>10119</v>
      </c>
      <c r="E41" s="55">
        <v>5245</v>
      </c>
      <c r="F41" s="55">
        <f>7320-4699</f>
        <v>2621</v>
      </c>
    </row>
    <row r="42" spans="1:6" s="45" customFormat="1" ht="12.75" customHeight="1" thickBot="1">
      <c r="A42" s="56" t="s">
        <v>109</v>
      </c>
      <c r="B42" s="57">
        <f>SUM(B36:B41)</f>
        <v>927481</v>
      </c>
      <c r="C42" s="58">
        <f>SUM(C36:C41)</f>
        <v>956267</v>
      </c>
      <c r="D42" s="58">
        <f>SUM(D36:D41)</f>
        <v>574576</v>
      </c>
      <c r="E42" s="58">
        <f>SUM(E36:E41)</f>
        <v>648602</v>
      </c>
      <c r="F42" s="58">
        <f>SUM(F36:F41)</f>
        <v>671548</v>
      </c>
    </row>
    <row r="43" spans="1:6" s="45" customFormat="1" ht="36.75" customHeight="1">
      <c r="A43" s="61" t="s">
        <v>307</v>
      </c>
      <c r="B43" s="51">
        <f>55735+166145</f>
        <v>221880</v>
      </c>
      <c r="C43" s="52">
        <v>15855</v>
      </c>
      <c r="D43" s="52">
        <v>71965</v>
      </c>
      <c r="E43" s="52"/>
      <c r="F43" s="52">
        <v>29537</v>
      </c>
    </row>
    <row r="44" spans="1:6" s="45" customFormat="1" ht="15.75" customHeight="1">
      <c r="A44" s="61" t="s">
        <v>110</v>
      </c>
      <c r="B44" s="51">
        <v>-12921</v>
      </c>
      <c r="C44" s="52"/>
      <c r="D44" s="52"/>
      <c r="E44" s="52"/>
      <c r="F44" s="52"/>
    </row>
    <row r="45" spans="1:7" s="59" customFormat="1" ht="18.75" customHeight="1" thickBot="1">
      <c r="A45" s="133" t="s">
        <v>111</v>
      </c>
      <c r="B45" s="65">
        <f>B35+B42+B43+B44</f>
        <v>2758119</v>
      </c>
      <c r="C45" s="66">
        <f>C35+C42+C43</f>
        <v>2070769</v>
      </c>
      <c r="D45" s="66">
        <f>D35+D42+D43+D44</f>
        <v>2236173</v>
      </c>
      <c r="E45" s="66">
        <f>E35+E42+E43</f>
        <v>2217322</v>
      </c>
      <c r="F45" s="66">
        <f>F35+F42+F43</f>
        <v>2702813</v>
      </c>
      <c r="G45" s="59" t="s">
        <v>79</v>
      </c>
    </row>
    <row r="48" spans="1:5" ht="15.75">
      <c r="A48" s="68"/>
      <c r="B48" s="68"/>
      <c r="C48" s="68"/>
      <c r="D48" s="68"/>
      <c r="E48" s="68"/>
    </row>
  </sheetData>
  <sheetProtection/>
  <mergeCells count="4">
    <mergeCell ref="A5:F5"/>
    <mergeCell ref="A3:F3"/>
    <mergeCell ref="A4:F4"/>
    <mergeCell ref="A26:F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SheetLayoutView="100" workbookViewId="0" topLeftCell="A4">
      <selection activeCell="I14" sqref="I14"/>
    </sheetView>
  </sheetViews>
  <sheetFormatPr defaultColWidth="9.140625" defaultRowHeight="12.75"/>
  <cols>
    <col min="1" max="1" width="2.8515625" style="149" customWidth="1"/>
    <col min="2" max="2" width="92.8515625" style="149" customWidth="1"/>
    <col min="3" max="3" width="14.8515625" style="150" customWidth="1"/>
    <col min="4" max="4" width="3.57421875" style="149" customWidth="1"/>
    <col min="5" max="16384" width="9.140625" style="149" customWidth="1"/>
  </cols>
  <sheetData>
    <row r="1" ht="13.5">
      <c r="B1" s="10" t="s">
        <v>310</v>
      </c>
    </row>
    <row r="2" spans="1:3" s="152" customFormat="1" ht="15" customHeight="1">
      <c r="A2" s="10"/>
      <c r="B2" s="10" t="s">
        <v>237</v>
      </c>
      <c r="C2" s="151"/>
    </row>
    <row r="3" spans="1:3" s="152" customFormat="1" ht="12" customHeight="1">
      <c r="A3" s="10"/>
      <c r="B3" s="10"/>
      <c r="C3" s="151"/>
    </row>
    <row r="4" spans="1:3" ht="12.75">
      <c r="A4" s="189" t="s">
        <v>238</v>
      </c>
      <c r="B4" s="189"/>
      <c r="C4" s="189"/>
    </row>
    <row r="5" spans="2:3" s="153" customFormat="1" ht="23.25">
      <c r="B5" s="153" t="s">
        <v>239</v>
      </c>
      <c r="C5" s="154" t="s">
        <v>293</v>
      </c>
    </row>
    <row r="6" spans="1:4" s="156" customFormat="1" ht="12.75">
      <c r="A6" s="155" t="s">
        <v>240</v>
      </c>
      <c r="B6" s="155"/>
      <c r="C6" s="155"/>
      <c r="D6" s="155"/>
    </row>
    <row r="7" spans="2:3" s="157" customFormat="1" ht="12.75" customHeight="1">
      <c r="B7" s="158" t="s">
        <v>241</v>
      </c>
      <c r="C7" s="159">
        <f>C8+C9+C14+C15</f>
        <v>242322688</v>
      </c>
    </row>
    <row r="8" spans="2:3" ht="12.75" customHeight="1">
      <c r="B8" s="160" t="s">
        <v>242</v>
      </c>
      <c r="C8" s="150">
        <v>160987000</v>
      </c>
    </row>
    <row r="9" spans="2:3" ht="12.75" customHeight="1">
      <c r="B9" s="161" t="s">
        <v>243</v>
      </c>
      <c r="C9" s="150">
        <f>C10+C11+C12+C13</f>
        <v>65667438</v>
      </c>
    </row>
    <row r="10" spans="2:3" ht="12.75" customHeight="1">
      <c r="B10" s="162" t="s">
        <v>244</v>
      </c>
      <c r="C10" s="150">
        <v>0</v>
      </c>
    </row>
    <row r="11" spans="2:3" ht="12.75" customHeight="1">
      <c r="B11" s="163" t="s">
        <v>245</v>
      </c>
      <c r="C11" s="150">
        <v>41353901</v>
      </c>
    </row>
    <row r="12" spans="2:3" ht="12.75" customHeight="1">
      <c r="B12" s="163" t="s">
        <v>246</v>
      </c>
      <c r="C12" s="150">
        <v>3588312</v>
      </c>
    </row>
    <row r="13" spans="2:3" ht="12.75" customHeight="1">
      <c r="B13" s="163" t="s">
        <v>247</v>
      </c>
      <c r="C13" s="150">
        <v>20725225</v>
      </c>
    </row>
    <row r="14" spans="2:3" ht="12.75" customHeight="1">
      <c r="B14" s="160" t="s">
        <v>248</v>
      </c>
      <c r="C14" s="150">
        <v>15518250</v>
      </c>
    </row>
    <row r="15" spans="2:3" ht="12.75" customHeight="1">
      <c r="B15" s="160" t="s">
        <v>249</v>
      </c>
      <c r="C15" s="150">
        <v>150000</v>
      </c>
    </row>
    <row r="16" spans="2:3" ht="12.75" customHeight="1">
      <c r="B16" s="164" t="s">
        <v>250</v>
      </c>
      <c r="C16" s="165">
        <f>C17+C18</f>
        <v>211004587</v>
      </c>
    </row>
    <row r="17" spans="2:3" ht="12.75" customHeight="1">
      <c r="B17" s="166" t="s">
        <v>251</v>
      </c>
      <c r="C17" s="150">
        <v>188791253</v>
      </c>
    </row>
    <row r="18" spans="2:3" ht="12.75" customHeight="1">
      <c r="B18" s="167" t="s">
        <v>252</v>
      </c>
      <c r="C18" s="150">
        <v>22213334</v>
      </c>
    </row>
    <row r="19" spans="2:3" ht="12.75" customHeight="1">
      <c r="B19" s="164" t="s">
        <v>253</v>
      </c>
      <c r="C19" s="165">
        <f>SUM(C20:C26)</f>
        <v>224998935</v>
      </c>
    </row>
    <row r="20" spans="2:3" ht="12.75" customHeight="1">
      <c r="B20" s="160" t="s">
        <v>254</v>
      </c>
      <c r="C20" s="150">
        <v>24976630</v>
      </c>
    </row>
    <row r="21" spans="2:3" ht="12.75" customHeight="1">
      <c r="B21" s="160" t="s">
        <v>255</v>
      </c>
      <c r="C21" s="150">
        <v>10816847</v>
      </c>
    </row>
    <row r="22" spans="2:3" ht="12.75" customHeight="1">
      <c r="B22" s="160" t="s">
        <v>256</v>
      </c>
      <c r="C22" s="150">
        <v>84170641</v>
      </c>
    </row>
    <row r="23" spans="2:3" ht="26.25" customHeight="1">
      <c r="B23" s="160" t="s">
        <v>257</v>
      </c>
      <c r="C23" s="150">
        <v>25144320</v>
      </c>
    </row>
    <row r="24" spans="2:3" ht="12.75" customHeight="1">
      <c r="B24" s="160" t="s">
        <v>258</v>
      </c>
      <c r="C24" s="150">
        <f>79890497-29233217</f>
        <v>50657280</v>
      </c>
    </row>
    <row r="25" spans="2:3" ht="12.75" customHeight="1" hidden="1">
      <c r="B25" s="160" t="s">
        <v>259</v>
      </c>
      <c r="C25" s="150">
        <f>17619161+11614056</f>
        <v>29233217</v>
      </c>
    </row>
    <row r="26" ht="12.75" customHeight="1">
      <c r="B26" s="160"/>
    </row>
    <row r="27" spans="2:3" ht="12.75" customHeight="1">
      <c r="B27" s="164" t="s">
        <v>260</v>
      </c>
      <c r="C27" s="165">
        <f>SUM(C28:C29)</f>
        <v>38716300</v>
      </c>
    </row>
    <row r="28" spans="2:3" ht="12.75" customHeight="1">
      <c r="B28" s="160" t="s">
        <v>261</v>
      </c>
      <c r="C28" s="150">
        <v>13104300</v>
      </c>
    </row>
    <row r="29" spans="2:3" ht="12.75" customHeight="1">
      <c r="B29" s="160" t="s">
        <v>262</v>
      </c>
      <c r="C29" s="150">
        <v>25612000</v>
      </c>
    </row>
    <row r="30" spans="2:3" ht="12.75" customHeight="1">
      <c r="B30" s="164" t="s">
        <v>263</v>
      </c>
      <c r="C30" s="165">
        <v>-39852267</v>
      </c>
    </row>
    <row r="31" spans="2:3" ht="12.75" customHeight="1">
      <c r="B31" s="164" t="s">
        <v>264</v>
      </c>
      <c r="C31" s="165">
        <f>SUM(C32:C36)</f>
        <v>98881596</v>
      </c>
    </row>
    <row r="32" spans="2:3" ht="12.75" customHeight="1">
      <c r="B32" s="160" t="s">
        <v>265</v>
      </c>
      <c r="C32" s="168">
        <v>11384915</v>
      </c>
    </row>
    <row r="33" spans="2:3" ht="12.75" customHeight="1">
      <c r="B33" s="160" t="s">
        <v>266</v>
      </c>
      <c r="C33" s="150">
        <v>5590267</v>
      </c>
    </row>
    <row r="34" spans="2:3" ht="12.75" customHeight="1">
      <c r="B34" s="160" t="s">
        <v>267</v>
      </c>
      <c r="C34" s="150">
        <v>561414</v>
      </c>
    </row>
    <row r="35" spans="2:3" ht="12.75" customHeight="1">
      <c r="B35" s="160" t="s">
        <v>268</v>
      </c>
      <c r="C35" s="150">
        <v>1345000</v>
      </c>
    </row>
    <row r="36" spans="2:3" ht="12.75" customHeight="1">
      <c r="B36" s="160" t="s">
        <v>294</v>
      </c>
      <c r="C36" s="150">
        <v>80000000</v>
      </c>
    </row>
    <row r="37" spans="2:3" s="169" customFormat="1" ht="16.5" customHeight="1">
      <c r="B37" s="170" t="s">
        <v>269</v>
      </c>
      <c r="C37" s="148">
        <f>C7+C16+C19+C27+C31</f>
        <v>815924106</v>
      </c>
    </row>
    <row r="38" ht="12.75" customHeight="1">
      <c r="B38" s="171"/>
    </row>
    <row r="39" spans="1:4" ht="17.25" customHeight="1">
      <c r="A39" s="190" t="s">
        <v>270</v>
      </c>
      <c r="B39" s="190"/>
      <c r="C39" s="190"/>
      <c r="D39" s="190"/>
    </row>
    <row r="40" spans="2:3" ht="12.75" customHeight="1">
      <c r="B40" s="162" t="s">
        <v>271</v>
      </c>
      <c r="C40" s="150">
        <v>15196425</v>
      </c>
    </row>
    <row r="41" spans="2:3" ht="12.75" customHeight="1">
      <c r="B41" s="162" t="s">
        <v>272</v>
      </c>
      <c r="C41" s="150">
        <v>8960000</v>
      </c>
    </row>
    <row r="42" spans="2:3" ht="12.75" customHeight="1">
      <c r="B42" s="162" t="s">
        <v>273</v>
      </c>
      <c r="C42" s="150">
        <v>285332</v>
      </c>
    </row>
    <row r="43" spans="2:3" ht="12.75" customHeight="1">
      <c r="B43" s="162" t="s">
        <v>274</v>
      </c>
      <c r="C43" s="150">
        <f>109000+140000</f>
        <v>249000</v>
      </c>
    </row>
    <row r="44" spans="2:3" ht="12.75" customHeight="1">
      <c r="B44" s="162" t="s">
        <v>275</v>
      </c>
      <c r="C44" s="150">
        <v>782535</v>
      </c>
    </row>
    <row r="45" spans="2:3" ht="12.75" customHeight="1">
      <c r="B45" s="162" t="s">
        <v>276</v>
      </c>
      <c r="C45" s="150">
        <v>1028573</v>
      </c>
    </row>
    <row r="46" spans="2:3" ht="12.75" customHeight="1">
      <c r="B46" s="162" t="s">
        <v>278</v>
      </c>
      <c r="C46" s="150">
        <v>1140480</v>
      </c>
    </row>
    <row r="47" spans="1:4" s="175" customFormat="1" ht="17.25" customHeight="1">
      <c r="A47" s="172"/>
      <c r="B47" s="173" t="s">
        <v>279</v>
      </c>
      <c r="C47" s="174">
        <f>SUM(C40:C46)</f>
        <v>27642345</v>
      </c>
      <c r="D47" s="172"/>
    </row>
    <row r="48" spans="1:4" s="175" customFormat="1" ht="17.25" customHeight="1">
      <c r="A48" s="172"/>
      <c r="B48" s="172"/>
      <c r="C48" s="186"/>
      <c r="D48" s="172"/>
    </row>
    <row r="49" spans="1:4" s="175" customFormat="1" ht="17.25" customHeight="1">
      <c r="A49" s="172"/>
      <c r="B49" s="172"/>
      <c r="C49" s="186"/>
      <c r="D49" s="172"/>
    </row>
    <row r="50" spans="2:3" ht="12.75" customHeight="1">
      <c r="B50" s="162" t="s">
        <v>280</v>
      </c>
      <c r="C50" s="150">
        <v>2754000</v>
      </c>
    </row>
    <row r="51" spans="2:3" ht="12.75" customHeight="1">
      <c r="B51" s="162" t="s">
        <v>281</v>
      </c>
      <c r="C51" s="150">
        <v>469000</v>
      </c>
    </row>
    <row r="52" spans="2:3" ht="12.75" customHeight="1">
      <c r="B52" s="162" t="s">
        <v>277</v>
      </c>
      <c r="C52" s="150">
        <v>1156000</v>
      </c>
    </row>
    <row r="53" spans="2:3" ht="12.75" customHeight="1">
      <c r="B53" s="162" t="s">
        <v>282</v>
      </c>
      <c r="C53" s="150">
        <v>82300000</v>
      </c>
    </row>
    <row r="54" spans="2:3" ht="12.75" customHeight="1">
      <c r="B54" s="162" t="s">
        <v>174</v>
      </c>
      <c r="C54" s="150">
        <v>48000</v>
      </c>
    </row>
    <row r="55" spans="2:3" ht="12.75" customHeight="1">
      <c r="B55" s="162" t="s">
        <v>283</v>
      </c>
      <c r="C55" s="150">
        <v>147320000</v>
      </c>
    </row>
    <row r="56" spans="2:3" ht="12.75" customHeight="1">
      <c r="B56" s="162" t="s">
        <v>284</v>
      </c>
      <c r="C56" s="150">
        <v>4432531</v>
      </c>
    </row>
    <row r="57" spans="1:4" s="175" customFormat="1" ht="17.25" customHeight="1">
      <c r="A57" s="172"/>
      <c r="B57" s="173" t="s">
        <v>285</v>
      </c>
      <c r="C57" s="174">
        <f>SUM(C50:C56)</f>
        <v>238479531</v>
      </c>
      <c r="D57" s="172"/>
    </row>
    <row r="58" spans="1:4" ht="17.25" customHeight="1">
      <c r="A58" s="172"/>
      <c r="B58" s="172"/>
      <c r="C58" s="172"/>
      <c r="D58" s="172"/>
    </row>
    <row r="59" spans="1:3" s="178" customFormat="1" ht="18" customHeight="1">
      <c r="A59" s="176" t="s">
        <v>286</v>
      </c>
      <c r="B59" s="176" t="s">
        <v>287</v>
      </c>
      <c r="C59" s="177">
        <f>C47+C37+C57</f>
        <v>1082045982</v>
      </c>
    </row>
    <row r="60" ht="12.75" customHeight="1"/>
    <row r="61" spans="1:3" s="156" customFormat="1" ht="12.75" customHeight="1">
      <c r="A61" s="155" t="s">
        <v>288</v>
      </c>
      <c r="B61" s="155"/>
      <c r="C61" s="179"/>
    </row>
    <row r="62" spans="2:3" ht="12.75" customHeight="1">
      <c r="B62" s="149" t="s">
        <v>289</v>
      </c>
      <c r="C62" s="150">
        <f>29671193-43</f>
        <v>29671150</v>
      </c>
    </row>
    <row r="63" spans="1:3" s="156" customFormat="1" ht="16.5" customHeight="1">
      <c r="A63" s="176" t="s">
        <v>290</v>
      </c>
      <c r="B63" s="176" t="s">
        <v>291</v>
      </c>
      <c r="C63" s="177">
        <f>SUM(C62:C62)</f>
        <v>29671150</v>
      </c>
    </row>
    <row r="64" s="156" customFormat="1" ht="12.75" customHeight="1">
      <c r="C64" s="179"/>
    </row>
    <row r="65" spans="1:4" s="156" customFormat="1" ht="17.25" customHeight="1">
      <c r="A65" s="180" t="s">
        <v>292</v>
      </c>
      <c r="B65" s="180"/>
      <c r="C65" s="181">
        <f>C59+C63</f>
        <v>1111717132</v>
      </c>
      <c r="D65" s="156" t="s">
        <v>79</v>
      </c>
    </row>
    <row r="66" ht="12.75" customHeight="1">
      <c r="B66" s="182"/>
    </row>
    <row r="67" spans="2:3" s="156" customFormat="1" ht="12.75" customHeight="1">
      <c r="B67" s="183"/>
      <c r="C67" s="179"/>
    </row>
    <row r="68" spans="2:3" s="156" customFormat="1" ht="12.75" customHeight="1">
      <c r="B68" s="184"/>
      <c r="C68" s="179"/>
    </row>
    <row r="69" spans="2:3" s="156" customFormat="1" ht="12.75" customHeight="1">
      <c r="B69" s="183"/>
      <c r="C69" s="179"/>
    </row>
    <row r="70" ht="12.75" customHeight="1"/>
  </sheetData>
  <sheetProtection/>
  <mergeCells count="2">
    <mergeCell ref="A4:C4"/>
    <mergeCell ref="A39:D39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"/>
  <sheetViews>
    <sheetView zoomScaleSheetLayoutView="100" workbookViewId="0" topLeftCell="A1">
      <pane xSplit="1" ySplit="6" topLeftCell="B7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ColWidth="9.140625" defaultRowHeight="12.75"/>
  <cols>
    <col min="1" max="1" width="28.00390625" style="11" customWidth="1"/>
    <col min="2" max="7" width="8.8515625" style="11" customWidth="1"/>
    <col min="8" max="8" width="8.8515625" style="12" customWidth="1"/>
    <col min="9" max="13" width="8.8515625" style="11" customWidth="1"/>
    <col min="14" max="18" width="9.00390625" style="11" customWidth="1"/>
    <col min="19" max="19" width="9.57421875" style="11" customWidth="1"/>
    <col min="20" max="26" width="9.00390625" style="11" customWidth="1"/>
    <col min="27" max="29" width="9.00390625" style="13" customWidth="1"/>
    <col min="30" max="16384" width="9.140625" style="11" customWidth="1"/>
  </cols>
  <sheetData>
    <row r="1" spans="2:29" ht="13.5">
      <c r="B1" s="26" t="s">
        <v>311</v>
      </c>
      <c r="C1" s="25"/>
      <c r="D1" s="25"/>
      <c r="E1" s="25"/>
      <c r="F1" s="25"/>
      <c r="G1" s="27"/>
      <c r="H1" s="25"/>
      <c r="Y1" s="13"/>
      <c r="Z1" s="13"/>
      <c r="AC1" s="11"/>
    </row>
    <row r="2" spans="2:29" ht="13.5">
      <c r="B2" s="10"/>
      <c r="C2" s="24"/>
      <c r="D2" s="24"/>
      <c r="E2" s="24"/>
      <c r="F2" s="24"/>
      <c r="G2" s="12"/>
      <c r="H2" s="11"/>
      <c r="Y2" s="13"/>
      <c r="Z2" s="13"/>
      <c r="AC2" s="11"/>
    </row>
    <row r="3" spans="2:29" ht="13.5">
      <c r="B3" s="10" t="s">
        <v>213</v>
      </c>
      <c r="C3" s="24"/>
      <c r="D3" s="24"/>
      <c r="E3" s="24"/>
      <c r="F3" s="24"/>
      <c r="G3" s="12"/>
      <c r="H3" s="11"/>
      <c r="Y3" s="13"/>
      <c r="Z3" s="13"/>
      <c r="AC3" s="11"/>
    </row>
    <row r="4" spans="2:36" ht="16.5" customHeight="1">
      <c r="B4" s="191" t="s">
        <v>296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 t="s">
        <v>296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 t="s">
        <v>296</v>
      </c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29" s="14" customFormat="1" ht="38.25" customHeight="1">
      <c r="A5" s="14" t="s">
        <v>34</v>
      </c>
      <c r="B5" s="192" t="s">
        <v>48</v>
      </c>
      <c r="C5" s="192"/>
      <c r="D5" s="192"/>
      <c r="E5" s="192"/>
      <c r="F5" s="192" t="s">
        <v>49</v>
      </c>
      <c r="G5" s="192"/>
      <c r="H5" s="192"/>
      <c r="I5" s="192"/>
      <c r="J5" s="192" t="s">
        <v>50</v>
      </c>
      <c r="K5" s="192"/>
      <c r="L5" s="192"/>
      <c r="M5" s="192"/>
      <c r="N5" s="192" t="s">
        <v>33</v>
      </c>
      <c r="O5" s="192"/>
      <c r="P5" s="192"/>
      <c r="Q5" s="192"/>
      <c r="R5" s="192" t="s">
        <v>297</v>
      </c>
      <c r="S5" s="192"/>
      <c r="T5" s="192"/>
      <c r="U5" s="192"/>
      <c r="V5" s="192" t="s">
        <v>51</v>
      </c>
      <c r="W5" s="192"/>
      <c r="X5" s="192"/>
      <c r="Y5" s="192"/>
      <c r="Z5" s="192" t="s">
        <v>52</v>
      </c>
      <c r="AA5" s="192"/>
      <c r="AB5" s="192"/>
      <c r="AC5" s="192"/>
    </row>
    <row r="6" spans="2:29" s="15" customFormat="1" ht="50.25" customHeight="1">
      <c r="B6" s="4" t="s">
        <v>217</v>
      </c>
      <c r="C6" s="4" t="s">
        <v>230</v>
      </c>
      <c r="D6" s="4" t="s">
        <v>295</v>
      </c>
      <c r="E6" s="4" t="s">
        <v>0</v>
      </c>
      <c r="F6" s="4" t="s">
        <v>112</v>
      </c>
      <c r="G6" s="4" t="s">
        <v>230</v>
      </c>
      <c r="H6" s="4" t="s">
        <v>295</v>
      </c>
      <c r="I6" s="4" t="s">
        <v>0</v>
      </c>
      <c r="J6" s="4" t="s">
        <v>112</v>
      </c>
      <c r="K6" s="4" t="s">
        <v>230</v>
      </c>
      <c r="L6" s="4" t="s">
        <v>295</v>
      </c>
      <c r="M6" s="4" t="s">
        <v>0</v>
      </c>
      <c r="N6" s="4" t="s">
        <v>112</v>
      </c>
      <c r="O6" s="4" t="s">
        <v>230</v>
      </c>
      <c r="P6" s="4" t="s">
        <v>295</v>
      </c>
      <c r="Q6" s="4" t="s">
        <v>0</v>
      </c>
      <c r="R6" s="4" t="s">
        <v>112</v>
      </c>
      <c r="S6" s="4" t="s">
        <v>230</v>
      </c>
      <c r="T6" s="4" t="s">
        <v>295</v>
      </c>
      <c r="U6" s="4" t="s">
        <v>0</v>
      </c>
      <c r="V6" s="4" t="s">
        <v>112</v>
      </c>
      <c r="W6" s="4" t="s">
        <v>230</v>
      </c>
      <c r="X6" s="4" t="s">
        <v>295</v>
      </c>
      <c r="Y6" s="4" t="s">
        <v>0</v>
      </c>
      <c r="Z6" s="4" t="s">
        <v>112</v>
      </c>
      <c r="AA6" s="4" t="s">
        <v>230</v>
      </c>
      <c r="AB6" s="4" t="s">
        <v>295</v>
      </c>
      <c r="AC6" s="4" t="s">
        <v>0</v>
      </c>
    </row>
    <row r="7" spans="1:29" s="19" customFormat="1" ht="15" customHeight="1">
      <c r="A7" s="40" t="s">
        <v>70</v>
      </c>
      <c r="B7" s="33">
        <v>2050</v>
      </c>
      <c r="C7" s="17">
        <v>2050</v>
      </c>
      <c r="D7" s="17">
        <v>2050</v>
      </c>
      <c r="E7" s="17">
        <f>D7-C7</f>
        <v>0</v>
      </c>
      <c r="F7" s="33">
        <v>1924</v>
      </c>
      <c r="G7" s="18">
        <v>2324</v>
      </c>
      <c r="H7" s="18">
        <v>2551</v>
      </c>
      <c r="I7" s="18">
        <f>H7-G7</f>
        <v>227</v>
      </c>
      <c r="J7" s="18"/>
      <c r="K7" s="17"/>
      <c r="L7" s="17"/>
      <c r="M7" s="16"/>
      <c r="N7" s="16"/>
      <c r="O7" s="17">
        <v>1653</v>
      </c>
      <c r="P7" s="17">
        <v>1653</v>
      </c>
      <c r="Q7" s="16">
        <f>P7-O7</f>
        <v>0</v>
      </c>
      <c r="R7" s="16"/>
      <c r="S7" s="17"/>
      <c r="T7" s="17"/>
      <c r="U7" s="17"/>
      <c r="V7" s="33">
        <v>31181</v>
      </c>
      <c r="W7" s="17">
        <v>32921</v>
      </c>
      <c r="X7" s="17">
        <v>33220</v>
      </c>
      <c r="Y7" s="17">
        <f>X7-W7</f>
        <v>299</v>
      </c>
      <c r="Z7" s="16">
        <f aca="true" t="shared" si="0" ref="Z7:AB9">V7+R7+N7+J7+F7+B7</f>
        <v>35155</v>
      </c>
      <c r="AA7" s="16">
        <f t="shared" si="0"/>
        <v>38948</v>
      </c>
      <c r="AB7" s="16">
        <f t="shared" si="0"/>
        <v>39474</v>
      </c>
      <c r="AC7" s="16">
        <f>AB7-AA7</f>
        <v>526</v>
      </c>
    </row>
    <row r="8" spans="1:29" s="19" customFormat="1" ht="29.25" customHeight="1">
      <c r="A8" s="40" t="s">
        <v>71</v>
      </c>
      <c r="B8" s="33">
        <v>55300</v>
      </c>
      <c r="C8" s="17">
        <v>57800</v>
      </c>
      <c r="D8" s="17">
        <v>70694</v>
      </c>
      <c r="E8" s="17">
        <f>D8-C8</f>
        <v>12894</v>
      </c>
      <c r="F8" s="33">
        <v>24999</v>
      </c>
      <c r="G8" s="18">
        <v>62106</v>
      </c>
      <c r="H8" s="18">
        <v>76914</v>
      </c>
      <c r="I8" s="18">
        <f>H8-G8</f>
        <v>14808</v>
      </c>
      <c r="J8" s="18"/>
      <c r="K8" s="17"/>
      <c r="L8" s="17"/>
      <c r="M8" s="16"/>
      <c r="N8" s="16"/>
      <c r="O8" s="17">
        <v>3359</v>
      </c>
      <c r="P8" s="17">
        <v>3359</v>
      </c>
      <c r="Q8" s="16">
        <f>P8-O8</f>
        <v>0</v>
      </c>
      <c r="R8" s="16"/>
      <c r="S8" s="17"/>
      <c r="T8" s="17"/>
      <c r="U8" s="17"/>
      <c r="V8" s="33">
        <v>23872</v>
      </c>
      <c r="W8" s="17">
        <v>26482</v>
      </c>
      <c r="X8" s="17">
        <v>30191</v>
      </c>
      <c r="Y8" s="17">
        <f>X8-W8</f>
        <v>3709</v>
      </c>
      <c r="Z8" s="16">
        <f t="shared" si="0"/>
        <v>104171</v>
      </c>
      <c r="AA8" s="16">
        <f t="shared" si="0"/>
        <v>149747</v>
      </c>
      <c r="AB8" s="16">
        <f t="shared" si="0"/>
        <v>181158</v>
      </c>
      <c r="AC8" s="16">
        <f>AB8-AA8</f>
        <v>31411</v>
      </c>
    </row>
    <row r="9" spans="1:29" s="19" customFormat="1" ht="29.25" customHeight="1">
      <c r="A9" s="40" t="s">
        <v>72</v>
      </c>
      <c r="B9" s="33">
        <v>8852</v>
      </c>
      <c r="C9" s="17">
        <v>8853</v>
      </c>
      <c r="D9" s="17">
        <v>8853</v>
      </c>
      <c r="E9" s="17">
        <f>D9-C9</f>
        <v>0</v>
      </c>
      <c r="F9" s="33"/>
      <c r="G9" s="18">
        <v>5313</v>
      </c>
      <c r="H9" s="18">
        <v>5975</v>
      </c>
      <c r="I9" s="18">
        <f>H9-G9</f>
        <v>662</v>
      </c>
      <c r="J9" s="18"/>
      <c r="K9" s="17"/>
      <c r="L9" s="17"/>
      <c r="M9" s="16"/>
      <c r="N9" s="17">
        <v>1360</v>
      </c>
      <c r="O9" s="17">
        <v>3462</v>
      </c>
      <c r="P9" s="17">
        <v>3462</v>
      </c>
      <c r="Q9" s="16">
        <f>P9-O9</f>
        <v>0</v>
      </c>
      <c r="R9" s="16"/>
      <c r="S9" s="17"/>
      <c r="T9" s="17"/>
      <c r="U9" s="17"/>
      <c r="V9" s="33">
        <v>27826</v>
      </c>
      <c r="W9" s="17">
        <v>28300</v>
      </c>
      <c r="X9" s="17">
        <v>28461</v>
      </c>
      <c r="Y9" s="17">
        <f>X9-W9</f>
        <v>161</v>
      </c>
      <c r="Z9" s="16">
        <f t="shared" si="0"/>
        <v>38038</v>
      </c>
      <c r="AA9" s="16">
        <f t="shared" si="0"/>
        <v>45928</v>
      </c>
      <c r="AB9" s="16">
        <f t="shared" si="0"/>
        <v>46751</v>
      </c>
      <c r="AC9" s="16">
        <f>AB9-AA9</f>
        <v>823</v>
      </c>
    </row>
    <row r="10" spans="1:29" s="14" customFormat="1" ht="15" customHeight="1">
      <c r="A10" s="41" t="s">
        <v>45</v>
      </c>
      <c r="B10" s="36">
        <f>SUM(B7:B9)</f>
        <v>66202</v>
      </c>
      <c r="C10" s="16">
        <f>C7+C9+C8</f>
        <v>68703</v>
      </c>
      <c r="D10" s="16">
        <f>D7+D9+D8</f>
        <v>81597</v>
      </c>
      <c r="E10" s="16">
        <f>E7+E9+E8</f>
        <v>12894</v>
      </c>
      <c r="F10" s="36">
        <f>SUM(F7:F9)</f>
        <v>26923</v>
      </c>
      <c r="G10" s="16">
        <f>G7+G9+G8</f>
        <v>69743</v>
      </c>
      <c r="H10" s="16">
        <f>H7+H9+H8</f>
        <v>85440</v>
      </c>
      <c r="I10" s="16">
        <f>I7+I9+I8</f>
        <v>15697</v>
      </c>
      <c r="J10" s="16"/>
      <c r="K10" s="16">
        <f aca="true" t="shared" si="1" ref="K10:AC10">K7+K9+K8</f>
        <v>0</v>
      </c>
      <c r="L10" s="16">
        <f t="shared" si="1"/>
        <v>0</v>
      </c>
      <c r="M10" s="16">
        <f t="shared" si="1"/>
        <v>0</v>
      </c>
      <c r="N10" s="16">
        <f t="shared" si="1"/>
        <v>1360</v>
      </c>
      <c r="O10" s="16">
        <f t="shared" si="1"/>
        <v>8474</v>
      </c>
      <c r="P10" s="16">
        <f t="shared" si="1"/>
        <v>8474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82879</v>
      </c>
      <c r="W10" s="16">
        <f t="shared" si="1"/>
        <v>87703</v>
      </c>
      <c r="X10" s="16">
        <f t="shared" si="1"/>
        <v>91872</v>
      </c>
      <c r="Y10" s="16">
        <f t="shared" si="1"/>
        <v>4169</v>
      </c>
      <c r="Z10" s="16">
        <f t="shared" si="1"/>
        <v>177364</v>
      </c>
      <c r="AA10" s="16">
        <f t="shared" si="1"/>
        <v>234623</v>
      </c>
      <c r="AB10" s="16">
        <f t="shared" si="1"/>
        <v>267383</v>
      </c>
      <c r="AC10" s="16">
        <f t="shared" si="1"/>
        <v>32760</v>
      </c>
    </row>
    <row r="11" spans="1:29" s="19" customFormat="1" ht="25.5" customHeight="1">
      <c r="A11" s="40" t="s">
        <v>73</v>
      </c>
      <c r="B11" s="33">
        <v>1270</v>
      </c>
      <c r="C11" s="17">
        <v>1270</v>
      </c>
      <c r="D11" s="17">
        <v>1320</v>
      </c>
      <c r="E11" s="17">
        <f>D11-C11</f>
        <v>50</v>
      </c>
      <c r="F11" s="33">
        <v>18758</v>
      </c>
      <c r="G11" s="18">
        <v>24774</v>
      </c>
      <c r="H11" s="18">
        <v>27447</v>
      </c>
      <c r="I11" s="17">
        <f>H11-G11</f>
        <v>2673</v>
      </c>
      <c r="J11" s="17"/>
      <c r="K11" s="17"/>
      <c r="L11" s="17"/>
      <c r="M11" s="17"/>
      <c r="N11" s="17"/>
      <c r="O11" s="17">
        <v>12110</v>
      </c>
      <c r="P11" s="17">
        <v>12110</v>
      </c>
      <c r="Q11" s="17">
        <f>P11-O11</f>
        <v>0</v>
      </c>
      <c r="R11" s="17"/>
      <c r="S11" s="17"/>
      <c r="T11" s="17"/>
      <c r="U11" s="17"/>
      <c r="V11" s="33">
        <v>264853</v>
      </c>
      <c r="W11" s="17">
        <v>261390</v>
      </c>
      <c r="X11" s="17">
        <v>262416</v>
      </c>
      <c r="Y11" s="17">
        <f>X11-W11</f>
        <v>1026</v>
      </c>
      <c r="Z11" s="17">
        <f aca="true" t="shared" si="2" ref="Z11:AB12">V11+R11+N11+J11+F11+B11</f>
        <v>284881</v>
      </c>
      <c r="AA11" s="17">
        <f t="shared" si="2"/>
        <v>299544</v>
      </c>
      <c r="AB11" s="17">
        <f t="shared" si="2"/>
        <v>303293</v>
      </c>
      <c r="AC11" s="17">
        <f>AB11-AA11</f>
        <v>3749</v>
      </c>
    </row>
    <row r="12" spans="1:29" s="19" customFormat="1" ht="25.5" customHeight="1">
      <c r="A12" s="42" t="s">
        <v>74</v>
      </c>
      <c r="B12" s="33"/>
      <c r="C12" s="17"/>
      <c r="D12" s="17"/>
      <c r="E12" s="17"/>
      <c r="F12" s="33">
        <v>11530</v>
      </c>
      <c r="G12" s="18">
        <v>11530</v>
      </c>
      <c r="H12" s="18">
        <v>11530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33">
        <v>0</v>
      </c>
      <c r="W12" s="17">
        <v>0</v>
      </c>
      <c r="X12" s="17">
        <v>0</v>
      </c>
      <c r="Y12" s="17">
        <f>X12-W12</f>
        <v>0</v>
      </c>
      <c r="Z12" s="17">
        <f t="shared" si="2"/>
        <v>11530</v>
      </c>
      <c r="AA12" s="17">
        <f t="shared" si="2"/>
        <v>11530</v>
      </c>
      <c r="AB12" s="17">
        <f t="shared" si="2"/>
        <v>11530</v>
      </c>
      <c r="AC12" s="17">
        <f>AB12-AA12</f>
        <v>0</v>
      </c>
    </row>
    <row r="13" spans="1:36" s="14" customFormat="1" ht="15" customHeight="1">
      <c r="A13" s="41" t="s">
        <v>46</v>
      </c>
      <c r="B13" s="36">
        <f>B11+B10</f>
        <v>67472</v>
      </c>
      <c r="C13" s="16">
        <f>C10+C11</f>
        <v>69973</v>
      </c>
      <c r="D13" s="16">
        <f>D10+D11</f>
        <v>82917</v>
      </c>
      <c r="E13" s="16">
        <f>E10+E11</f>
        <v>12944</v>
      </c>
      <c r="F13" s="36">
        <f>F11+F10</f>
        <v>45681</v>
      </c>
      <c r="G13" s="16">
        <f>G10+G11</f>
        <v>94517</v>
      </c>
      <c r="H13" s="16">
        <f>H10+H11</f>
        <v>112887</v>
      </c>
      <c r="I13" s="16">
        <f>I10+I11</f>
        <v>18370</v>
      </c>
      <c r="J13" s="16"/>
      <c r="K13" s="16">
        <f aca="true" t="shared" si="3" ref="K13:AC13">K10+K11</f>
        <v>0</v>
      </c>
      <c r="L13" s="16">
        <f t="shared" si="3"/>
        <v>0</v>
      </c>
      <c r="M13" s="16">
        <f t="shared" si="3"/>
        <v>0</v>
      </c>
      <c r="N13" s="16">
        <f t="shared" si="3"/>
        <v>1360</v>
      </c>
      <c r="O13" s="16">
        <f t="shared" si="3"/>
        <v>20584</v>
      </c>
      <c r="P13" s="16">
        <f t="shared" si="3"/>
        <v>20584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347732</v>
      </c>
      <c r="W13" s="16">
        <f t="shared" si="3"/>
        <v>349093</v>
      </c>
      <c r="X13" s="16">
        <f t="shared" si="3"/>
        <v>354288</v>
      </c>
      <c r="Y13" s="16">
        <f t="shared" si="3"/>
        <v>5195</v>
      </c>
      <c r="Z13" s="16">
        <f t="shared" si="3"/>
        <v>462245</v>
      </c>
      <c r="AA13" s="16">
        <f t="shared" si="3"/>
        <v>534167</v>
      </c>
      <c r="AB13" s="16">
        <f t="shared" si="3"/>
        <v>570676</v>
      </c>
      <c r="AC13" s="16">
        <f t="shared" si="3"/>
        <v>36509</v>
      </c>
      <c r="AD13" s="16"/>
      <c r="AE13" s="16"/>
      <c r="AF13" s="16"/>
      <c r="AG13" s="16"/>
      <c r="AH13" s="16"/>
      <c r="AI13" s="16"/>
      <c r="AJ13" s="16"/>
    </row>
    <row r="14" spans="1:29" s="19" customFormat="1" ht="15" customHeight="1">
      <c r="A14" s="40" t="s">
        <v>58</v>
      </c>
      <c r="B14" s="33">
        <v>558677</v>
      </c>
      <c r="C14" s="17">
        <v>564267</v>
      </c>
      <c r="D14" s="17">
        <v>544307</v>
      </c>
      <c r="E14" s="17">
        <f>D14-C14</f>
        <v>-19960</v>
      </c>
      <c r="F14" s="33">
        <v>430102</v>
      </c>
      <c r="G14" s="18">
        <v>403848</v>
      </c>
      <c r="H14" s="18">
        <v>401268</v>
      </c>
      <c r="I14" s="17">
        <f>H14-G14</f>
        <v>-2580</v>
      </c>
      <c r="J14" s="33">
        <v>8450</v>
      </c>
      <c r="K14" s="17">
        <v>17350</v>
      </c>
      <c r="L14" s="17">
        <v>17350</v>
      </c>
      <c r="M14" s="17">
        <f>L14-K14</f>
        <v>0</v>
      </c>
      <c r="N14" s="33">
        <v>335500</v>
      </c>
      <c r="O14" s="17">
        <v>374079</v>
      </c>
      <c r="P14" s="17">
        <v>386644</v>
      </c>
      <c r="Q14" s="16">
        <f>P14-O14</f>
        <v>12565</v>
      </c>
      <c r="R14" s="17">
        <v>0</v>
      </c>
      <c r="S14" s="17">
        <v>0</v>
      </c>
      <c r="T14" s="17">
        <v>25139</v>
      </c>
      <c r="U14" s="17">
        <f>T14-S14</f>
        <v>25139</v>
      </c>
      <c r="V14" s="33">
        <v>422348</v>
      </c>
      <c r="W14" s="17">
        <v>689436</v>
      </c>
      <c r="X14" s="17">
        <v>757429</v>
      </c>
      <c r="Y14" s="17">
        <f>X14-W14</f>
        <v>67993</v>
      </c>
      <c r="Z14" s="16">
        <f>V14+R14+N14+J14+F14+B14</f>
        <v>1755077</v>
      </c>
      <c r="AA14" s="16">
        <f>W14+S14+O14+K14+G14+C14</f>
        <v>2048980</v>
      </c>
      <c r="AB14" s="16">
        <f>X14+T14+P14+L14+H14+D14</f>
        <v>2132137</v>
      </c>
      <c r="AC14" s="16">
        <f>AB14-AA14</f>
        <v>83157</v>
      </c>
    </row>
    <row r="15" spans="1:29" s="14" customFormat="1" ht="25.5">
      <c r="A15" s="41" t="s">
        <v>59</v>
      </c>
      <c r="B15" s="36">
        <f aca="true" t="shared" si="4" ref="B15:AC15">B13+B14</f>
        <v>626149</v>
      </c>
      <c r="C15" s="16">
        <f t="shared" si="4"/>
        <v>634240</v>
      </c>
      <c r="D15" s="16">
        <f t="shared" si="4"/>
        <v>627224</v>
      </c>
      <c r="E15" s="16">
        <f t="shared" si="4"/>
        <v>-7016</v>
      </c>
      <c r="F15" s="36">
        <f t="shared" si="4"/>
        <v>475783</v>
      </c>
      <c r="G15" s="16">
        <f t="shared" si="4"/>
        <v>498365</v>
      </c>
      <c r="H15" s="16">
        <f t="shared" si="4"/>
        <v>514155</v>
      </c>
      <c r="I15" s="16">
        <f t="shared" si="4"/>
        <v>15790</v>
      </c>
      <c r="J15" s="36">
        <f t="shared" si="4"/>
        <v>8450</v>
      </c>
      <c r="K15" s="16">
        <f t="shared" si="4"/>
        <v>17350</v>
      </c>
      <c r="L15" s="16">
        <f t="shared" si="4"/>
        <v>17350</v>
      </c>
      <c r="M15" s="16">
        <f t="shared" si="4"/>
        <v>0</v>
      </c>
      <c r="N15" s="36">
        <f t="shared" si="4"/>
        <v>336860</v>
      </c>
      <c r="O15" s="16">
        <f t="shared" si="4"/>
        <v>394663</v>
      </c>
      <c r="P15" s="16">
        <f t="shared" si="4"/>
        <v>407228</v>
      </c>
      <c r="Q15" s="16">
        <f t="shared" si="4"/>
        <v>12565</v>
      </c>
      <c r="R15" s="16">
        <f t="shared" si="4"/>
        <v>0</v>
      </c>
      <c r="S15" s="16">
        <f t="shared" si="4"/>
        <v>0</v>
      </c>
      <c r="T15" s="16">
        <f t="shared" si="4"/>
        <v>25139</v>
      </c>
      <c r="U15" s="16">
        <f t="shared" si="4"/>
        <v>25139</v>
      </c>
      <c r="V15" s="36">
        <f t="shared" si="4"/>
        <v>770080</v>
      </c>
      <c r="W15" s="16">
        <f t="shared" si="4"/>
        <v>1038529</v>
      </c>
      <c r="X15" s="16">
        <f t="shared" si="4"/>
        <v>1111717</v>
      </c>
      <c r="Y15" s="16">
        <f t="shared" si="4"/>
        <v>73188</v>
      </c>
      <c r="Z15" s="16">
        <f t="shared" si="4"/>
        <v>2217322</v>
      </c>
      <c r="AA15" s="16">
        <f t="shared" si="4"/>
        <v>2583147</v>
      </c>
      <c r="AB15" s="16">
        <f t="shared" si="4"/>
        <v>2702813</v>
      </c>
      <c r="AC15" s="16">
        <f t="shared" si="4"/>
        <v>119666</v>
      </c>
    </row>
    <row r="16" spans="1:29" s="14" customFormat="1" ht="25.5">
      <c r="A16" s="41" t="s">
        <v>53</v>
      </c>
      <c r="B16" s="36">
        <f aca="true" t="shared" si="5" ref="B16:U16">B15</f>
        <v>626149</v>
      </c>
      <c r="C16" s="16">
        <f t="shared" si="5"/>
        <v>634240</v>
      </c>
      <c r="D16" s="16">
        <f t="shared" si="5"/>
        <v>627224</v>
      </c>
      <c r="E16" s="16">
        <f t="shared" si="5"/>
        <v>-7016</v>
      </c>
      <c r="F16" s="36">
        <f t="shared" si="5"/>
        <v>475783</v>
      </c>
      <c r="G16" s="16">
        <f t="shared" si="5"/>
        <v>498365</v>
      </c>
      <c r="H16" s="16">
        <f t="shared" si="5"/>
        <v>514155</v>
      </c>
      <c r="I16" s="16">
        <f t="shared" si="5"/>
        <v>15790</v>
      </c>
      <c r="J16" s="36">
        <f t="shared" si="5"/>
        <v>8450</v>
      </c>
      <c r="K16" s="16">
        <f t="shared" si="5"/>
        <v>17350</v>
      </c>
      <c r="L16" s="16">
        <f t="shared" si="5"/>
        <v>17350</v>
      </c>
      <c r="M16" s="16">
        <f t="shared" si="5"/>
        <v>0</v>
      </c>
      <c r="N16" s="36">
        <f t="shared" si="5"/>
        <v>336860</v>
      </c>
      <c r="O16" s="16">
        <f t="shared" si="5"/>
        <v>394663</v>
      </c>
      <c r="P16" s="16">
        <f t="shared" si="5"/>
        <v>407228</v>
      </c>
      <c r="Q16" s="16">
        <f t="shared" si="5"/>
        <v>12565</v>
      </c>
      <c r="R16" s="16">
        <f t="shared" si="5"/>
        <v>0</v>
      </c>
      <c r="S16" s="16">
        <f t="shared" si="5"/>
        <v>0</v>
      </c>
      <c r="T16" s="16">
        <f t="shared" si="5"/>
        <v>25139</v>
      </c>
      <c r="U16" s="16">
        <f t="shared" si="5"/>
        <v>25139</v>
      </c>
      <c r="V16" s="36">
        <v>770080</v>
      </c>
      <c r="W16" s="16">
        <v>1038529</v>
      </c>
      <c r="X16" s="16">
        <v>1111717</v>
      </c>
      <c r="Y16" s="16">
        <f>X16-W16</f>
        <v>73188</v>
      </c>
      <c r="Z16" s="16">
        <f aca="true" t="shared" si="6" ref="Z16:AB17">V16+R16+N16+J16+F16+B16</f>
        <v>2217322</v>
      </c>
      <c r="AA16" s="16">
        <f t="shared" si="6"/>
        <v>2583147</v>
      </c>
      <c r="AB16" s="16">
        <f t="shared" si="6"/>
        <v>2702813</v>
      </c>
      <c r="AC16" s="16">
        <f>AB16-AA16</f>
        <v>119666</v>
      </c>
    </row>
    <row r="17" spans="1:29" s="13" customFormat="1" ht="12.75" customHeight="1">
      <c r="A17" s="4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f>W15-W16</f>
        <v>0</v>
      </c>
      <c r="X17" s="20">
        <f>X15-X16</f>
        <v>0</v>
      </c>
      <c r="Y17" s="16">
        <f>Y15-Y16</f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>AB17-AA17</f>
        <v>0</v>
      </c>
    </row>
    <row r="18" spans="1:26" ht="27.75" customHeight="1">
      <c r="A18" s="14" t="s">
        <v>75</v>
      </c>
      <c r="G18" s="12"/>
      <c r="Z18" s="13"/>
    </row>
    <row r="19" spans="1:29" ht="12.75">
      <c r="A19" s="11" t="s">
        <v>76</v>
      </c>
      <c r="B19" s="33">
        <v>491825</v>
      </c>
      <c r="C19" s="12">
        <v>499016</v>
      </c>
      <c r="D19" s="12">
        <f>499016+12894+50</f>
        <v>511960</v>
      </c>
      <c r="E19" s="12">
        <f>D19-C19</f>
        <v>12944</v>
      </c>
      <c r="F19" s="33">
        <v>378550</v>
      </c>
      <c r="G19" s="12">
        <v>364332</v>
      </c>
      <c r="H19" s="12">
        <f>364332-2580+2673+662+1618+227</f>
        <v>366932</v>
      </c>
      <c r="I19" s="12">
        <f>H19-G19</f>
        <v>2600</v>
      </c>
      <c r="J19" s="12"/>
      <c r="K19" s="12">
        <v>8900</v>
      </c>
      <c r="L19" s="12">
        <v>8900</v>
      </c>
      <c r="M19" s="12">
        <f>L19-K19</f>
        <v>0</v>
      </c>
      <c r="N19" s="33">
        <v>331360</v>
      </c>
      <c r="O19" s="12">
        <v>389163</v>
      </c>
      <c r="P19" s="12">
        <f>389163+12565</f>
        <v>401728</v>
      </c>
      <c r="Q19" s="12">
        <f>P19-O19</f>
        <v>12565</v>
      </c>
      <c r="R19" s="12"/>
      <c r="S19" s="12"/>
      <c r="T19" s="12">
        <v>25139</v>
      </c>
      <c r="U19" s="12">
        <f>T19-S19</f>
        <v>25139</v>
      </c>
      <c r="V19" s="33">
        <v>739970</v>
      </c>
      <c r="W19" s="12">
        <v>1028926</v>
      </c>
      <c r="X19" s="12">
        <f>1028926+73188</f>
        <v>1102114</v>
      </c>
      <c r="Y19" s="12">
        <f>X19-W19</f>
        <v>73188</v>
      </c>
      <c r="Z19" s="28">
        <f aca="true" t="shared" si="7" ref="Z19:AB21">V19+R19+N19+J19+F19+B19</f>
        <v>1941705</v>
      </c>
      <c r="AA19" s="28">
        <f t="shared" si="7"/>
        <v>2290337</v>
      </c>
      <c r="AB19" s="28">
        <f t="shared" si="7"/>
        <v>2416773</v>
      </c>
      <c r="AC19" s="28">
        <f>AB19-AA19</f>
        <v>126436</v>
      </c>
    </row>
    <row r="20" spans="1:29" ht="12.75">
      <c r="A20" s="11" t="s">
        <v>77</v>
      </c>
      <c r="B20" s="33">
        <v>134324</v>
      </c>
      <c r="C20" s="12">
        <v>135224</v>
      </c>
      <c r="D20" s="12">
        <f>135224-19960</f>
        <v>115264</v>
      </c>
      <c r="E20" s="12">
        <f>D20-C20</f>
        <v>-19960</v>
      </c>
      <c r="F20" s="33">
        <v>97233</v>
      </c>
      <c r="G20" s="12">
        <v>134033</v>
      </c>
      <c r="H20" s="12">
        <f>134033+14808-1618</f>
        <v>147223</v>
      </c>
      <c r="I20" s="12">
        <f>H20-G20</f>
        <v>13190</v>
      </c>
      <c r="J20" s="33">
        <v>8450</v>
      </c>
      <c r="K20" s="12">
        <v>8450</v>
      </c>
      <c r="L20" s="12">
        <v>8450</v>
      </c>
      <c r="M20" s="12">
        <f>L20-K20</f>
        <v>0</v>
      </c>
      <c r="N20" s="33">
        <v>5500</v>
      </c>
      <c r="O20" s="12">
        <v>5500</v>
      </c>
      <c r="P20" s="12">
        <v>5500</v>
      </c>
      <c r="Q20" s="12">
        <f>P20-O20</f>
        <v>0</v>
      </c>
      <c r="R20" s="12"/>
      <c r="S20" s="12"/>
      <c r="T20" s="12"/>
      <c r="U20" s="12"/>
      <c r="V20" s="33">
        <v>-43150</v>
      </c>
      <c r="W20" s="12">
        <v>-63657</v>
      </c>
      <c r="X20" s="12">
        <v>-63657</v>
      </c>
      <c r="Y20" s="12">
        <f>X20-W20</f>
        <v>0</v>
      </c>
      <c r="Z20" s="28">
        <f t="shared" si="7"/>
        <v>202357</v>
      </c>
      <c r="AA20" s="28">
        <f t="shared" si="7"/>
        <v>219550</v>
      </c>
      <c r="AB20" s="28">
        <f t="shared" si="7"/>
        <v>212780</v>
      </c>
      <c r="AC20" s="28">
        <f>AB20-AA20</f>
        <v>-6770</v>
      </c>
    </row>
    <row r="21" spans="1:29" ht="12.75">
      <c r="A21" s="11" t="s">
        <v>78</v>
      </c>
      <c r="B21" s="33">
        <v>0</v>
      </c>
      <c r="C21" s="12">
        <v>0</v>
      </c>
      <c r="D21" s="12">
        <v>0</v>
      </c>
      <c r="E21" s="12">
        <f>D21-C21</f>
        <v>0</v>
      </c>
      <c r="F21" s="33"/>
      <c r="G21" s="12"/>
      <c r="I21" s="12">
        <f>H21-G21</f>
        <v>0</v>
      </c>
      <c r="J21" s="33"/>
      <c r="K21" s="12"/>
      <c r="L21" s="12"/>
      <c r="M21" s="12">
        <f>L21-K21</f>
        <v>0</v>
      </c>
      <c r="N21" s="33"/>
      <c r="O21" s="12"/>
      <c r="P21" s="12"/>
      <c r="Q21" s="12"/>
      <c r="R21" s="12"/>
      <c r="S21" s="12"/>
      <c r="T21" s="12"/>
      <c r="U21" s="12"/>
      <c r="V21" s="33">
        <v>73260</v>
      </c>
      <c r="W21" s="12">
        <v>73260</v>
      </c>
      <c r="X21" s="12">
        <v>73260</v>
      </c>
      <c r="Y21" s="12">
        <f>X21-W21</f>
        <v>0</v>
      </c>
      <c r="Z21" s="28">
        <f t="shared" si="7"/>
        <v>73260</v>
      </c>
      <c r="AA21" s="28">
        <f t="shared" si="7"/>
        <v>73260</v>
      </c>
      <c r="AB21" s="28">
        <f t="shared" si="7"/>
        <v>73260</v>
      </c>
      <c r="AC21" s="28">
        <f>AB21-AA21</f>
        <v>0</v>
      </c>
    </row>
    <row r="22" spans="1:29" s="13" customFormat="1" ht="12.75">
      <c r="A22" s="13" t="s">
        <v>14</v>
      </c>
      <c r="B22" s="36">
        <f aca="true" t="shared" si="8" ref="B22:AA22">SUM(B19:B21)</f>
        <v>626149</v>
      </c>
      <c r="C22" s="28">
        <f t="shared" si="8"/>
        <v>634240</v>
      </c>
      <c r="D22" s="28">
        <f t="shared" si="8"/>
        <v>627224</v>
      </c>
      <c r="E22" s="28">
        <f t="shared" si="8"/>
        <v>-7016</v>
      </c>
      <c r="F22" s="36">
        <f t="shared" si="8"/>
        <v>475783</v>
      </c>
      <c r="G22" s="28">
        <f t="shared" si="8"/>
        <v>498365</v>
      </c>
      <c r="H22" s="28">
        <f t="shared" si="8"/>
        <v>514155</v>
      </c>
      <c r="I22" s="28">
        <f t="shared" si="8"/>
        <v>15790</v>
      </c>
      <c r="J22" s="36">
        <f t="shared" si="8"/>
        <v>8450</v>
      </c>
      <c r="K22" s="28">
        <f t="shared" si="8"/>
        <v>17350</v>
      </c>
      <c r="L22" s="28">
        <f t="shared" si="8"/>
        <v>17350</v>
      </c>
      <c r="M22" s="28">
        <f t="shared" si="8"/>
        <v>0</v>
      </c>
      <c r="N22" s="36">
        <f t="shared" si="8"/>
        <v>336860</v>
      </c>
      <c r="O22" s="28">
        <f t="shared" si="8"/>
        <v>394663</v>
      </c>
      <c r="P22" s="28">
        <f t="shared" si="8"/>
        <v>407228</v>
      </c>
      <c r="Q22" s="28">
        <f t="shared" si="8"/>
        <v>12565</v>
      </c>
      <c r="R22" s="28">
        <f t="shared" si="8"/>
        <v>0</v>
      </c>
      <c r="S22" s="28">
        <f t="shared" si="8"/>
        <v>0</v>
      </c>
      <c r="T22" s="28">
        <f t="shared" si="8"/>
        <v>25139</v>
      </c>
      <c r="U22" s="28">
        <f t="shared" si="8"/>
        <v>25139</v>
      </c>
      <c r="V22" s="28">
        <f t="shared" si="8"/>
        <v>770080</v>
      </c>
      <c r="W22" s="28">
        <f t="shared" si="8"/>
        <v>1038529</v>
      </c>
      <c r="X22" s="28">
        <f t="shared" si="8"/>
        <v>1111717</v>
      </c>
      <c r="Y22" s="28">
        <f t="shared" si="8"/>
        <v>73188</v>
      </c>
      <c r="Z22" s="28">
        <f t="shared" si="8"/>
        <v>2217322</v>
      </c>
      <c r="AA22" s="28">
        <f t="shared" si="8"/>
        <v>2583147</v>
      </c>
      <c r="AB22" s="28">
        <f>X22+T22+P22+L22+H22+D22</f>
        <v>2702813</v>
      </c>
      <c r="AC22" s="28">
        <f>SUM(AC19:AC21)</f>
        <v>119666</v>
      </c>
    </row>
    <row r="23" spans="21:22" ht="12.75">
      <c r="U23" s="16"/>
      <c r="V23" s="16"/>
    </row>
    <row r="25" ht="12.75" hidden="1"/>
  </sheetData>
  <sheetProtection/>
  <mergeCells count="10">
    <mergeCell ref="Z4:AJ4"/>
    <mergeCell ref="B5:E5"/>
    <mergeCell ref="V5:Y5"/>
    <mergeCell ref="Z5:AC5"/>
    <mergeCell ref="B4:M4"/>
    <mergeCell ref="N4:Y4"/>
    <mergeCell ref="F5:I5"/>
    <mergeCell ref="J5:M5"/>
    <mergeCell ref="N5:Q5"/>
    <mergeCell ref="R5:U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4"/>
  <sheetViews>
    <sheetView zoomScaleSheetLayoutView="100" workbookViewId="0" topLeftCell="A1">
      <pane xSplit="1" ySplit="6" topLeftCell="B7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ColWidth="9.140625" defaultRowHeight="12.75"/>
  <cols>
    <col min="1" max="1" width="31.57421875" style="1" customWidth="1"/>
    <col min="2" max="2" width="7.421875" style="1" bestFit="1" customWidth="1"/>
    <col min="3" max="3" width="9.00390625" style="1" customWidth="1"/>
    <col min="4" max="4" width="8.7109375" style="1" customWidth="1"/>
    <col min="5" max="5" width="7.7109375" style="1" customWidth="1"/>
    <col min="6" max="6" width="7.28125" style="1" customWidth="1"/>
    <col min="7" max="8" width="9.140625" style="1" customWidth="1"/>
    <col min="9" max="10" width="7.421875" style="1" customWidth="1"/>
    <col min="11" max="11" width="9.140625" style="1" customWidth="1"/>
    <col min="12" max="12" width="9.421875" style="1" customWidth="1"/>
    <col min="13" max="13" width="8.00390625" style="1" customWidth="1"/>
    <col min="14" max="14" width="7.8515625" style="1" customWidth="1"/>
    <col min="15" max="16" width="8.7109375" style="1" customWidth="1"/>
    <col min="17" max="18" width="7.8515625" style="1" customWidth="1"/>
    <col min="19" max="19" width="8.8515625" style="1" customWidth="1"/>
    <col min="20" max="20" width="9.00390625" style="1" customWidth="1"/>
    <col min="21" max="22" width="7.8515625" style="1" customWidth="1"/>
    <col min="23" max="23" width="9.140625" style="1" customWidth="1"/>
    <col min="24" max="24" width="8.7109375" style="1" customWidth="1"/>
    <col min="25" max="26" width="7.421875" style="1" customWidth="1"/>
    <col min="27" max="27" width="9.00390625" style="1" customWidth="1"/>
    <col min="28" max="28" width="8.8515625" style="1" customWidth="1"/>
    <col min="29" max="30" width="7.57421875" style="1" customWidth="1"/>
    <col min="31" max="31" width="9.00390625" style="1" customWidth="1"/>
    <col min="32" max="32" width="8.8515625" style="1" customWidth="1"/>
    <col min="33" max="34" width="7.28125" style="1" customWidth="1"/>
    <col min="35" max="35" width="7.8515625" style="1" customWidth="1"/>
    <col min="36" max="36" width="8.7109375" style="1" customWidth="1"/>
    <col min="37" max="38" width="7.8515625" style="1" customWidth="1"/>
    <col min="39" max="39" width="9.28125" style="1" customWidth="1"/>
    <col min="40" max="40" width="8.8515625" style="1" customWidth="1"/>
    <col min="41" max="41" width="7.8515625" style="1" customWidth="1"/>
    <col min="42" max="42" width="8.8515625" style="1" customWidth="1"/>
    <col min="43" max="43" width="9.00390625" style="6" customWidth="1"/>
    <col min="44" max="44" width="9.7109375" style="6" customWidth="1"/>
    <col min="45" max="45" width="9.00390625" style="6" customWidth="1"/>
    <col min="46" max="46" width="7.8515625" style="22" customWidth="1"/>
    <col min="47" max="47" width="7.421875" style="22" customWidth="1"/>
    <col min="48" max="48" width="6.421875" style="22" customWidth="1"/>
    <col min="49" max="49" width="6.7109375" style="22" customWidth="1"/>
    <col min="50" max="50" width="1.421875" style="1" customWidth="1"/>
    <col min="51" max="16384" width="9.140625" style="1" customWidth="1"/>
  </cols>
  <sheetData>
    <row r="1" spans="1:30" s="11" customFormat="1" ht="13.5">
      <c r="A1" s="10"/>
      <c r="B1" s="10"/>
      <c r="C1" s="24"/>
      <c r="D1" s="24"/>
      <c r="E1" s="24"/>
      <c r="F1" s="24"/>
      <c r="G1" s="24"/>
      <c r="H1" s="12"/>
      <c r="AA1" s="13"/>
      <c r="AB1" s="13"/>
      <c r="AC1" s="13"/>
      <c r="AD1" s="13"/>
    </row>
    <row r="2" spans="1:30" s="11" customFormat="1" ht="13.5">
      <c r="A2" s="10"/>
      <c r="B2" s="10"/>
      <c r="C2" s="24"/>
      <c r="D2" s="24"/>
      <c r="E2" s="24"/>
      <c r="F2" s="24"/>
      <c r="G2" s="24"/>
      <c r="H2" s="12"/>
      <c r="AA2" s="13"/>
      <c r="AB2" s="13"/>
      <c r="AC2" s="13"/>
      <c r="AD2" s="13"/>
    </row>
    <row r="3" spans="1:30" s="11" customFormat="1" ht="13.5">
      <c r="A3" s="10"/>
      <c r="B3" s="10"/>
      <c r="C3" s="24"/>
      <c r="D3" s="24"/>
      <c r="E3" s="24"/>
      <c r="F3" s="24"/>
      <c r="G3" s="24"/>
      <c r="H3" s="12"/>
      <c r="AA3" s="13"/>
      <c r="AB3" s="13"/>
      <c r="AC3" s="13"/>
      <c r="AD3" s="13"/>
    </row>
    <row r="4" spans="2:49" ht="18" customHeight="1">
      <c r="B4" s="191" t="s">
        <v>298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 t="s">
        <v>298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 t="s">
        <v>298</v>
      </c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 t="s">
        <v>298</v>
      </c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</row>
    <row r="5" spans="1:49" s="2" customFormat="1" ht="45.75" customHeight="1">
      <c r="A5" s="2" t="s">
        <v>34</v>
      </c>
      <c r="B5" s="193" t="s">
        <v>35</v>
      </c>
      <c r="C5" s="193"/>
      <c r="D5" s="193"/>
      <c r="E5" s="193"/>
      <c r="F5" s="193" t="s">
        <v>36</v>
      </c>
      <c r="G5" s="193"/>
      <c r="H5" s="193"/>
      <c r="I5" s="193"/>
      <c r="J5" s="193" t="s">
        <v>37</v>
      </c>
      <c r="K5" s="193"/>
      <c r="L5" s="193"/>
      <c r="M5" s="193"/>
      <c r="N5" s="193" t="s">
        <v>38</v>
      </c>
      <c r="O5" s="193"/>
      <c r="P5" s="193"/>
      <c r="Q5" s="193"/>
      <c r="R5" s="193" t="s">
        <v>39</v>
      </c>
      <c r="S5" s="193"/>
      <c r="T5" s="193"/>
      <c r="U5" s="193"/>
      <c r="V5" s="193" t="s">
        <v>16</v>
      </c>
      <c r="W5" s="193"/>
      <c r="X5" s="193"/>
      <c r="Y5" s="193"/>
      <c r="Z5" s="193" t="s">
        <v>19</v>
      </c>
      <c r="AA5" s="193"/>
      <c r="AB5" s="193"/>
      <c r="AC5" s="193"/>
      <c r="AD5" s="193" t="s">
        <v>21</v>
      </c>
      <c r="AE5" s="193"/>
      <c r="AF5" s="193"/>
      <c r="AG5" s="193"/>
      <c r="AH5" s="193" t="s">
        <v>299</v>
      </c>
      <c r="AI5" s="193"/>
      <c r="AJ5" s="193"/>
      <c r="AK5" s="193"/>
      <c r="AL5" s="193" t="s">
        <v>26</v>
      </c>
      <c r="AM5" s="193"/>
      <c r="AN5" s="193"/>
      <c r="AO5" s="193"/>
      <c r="AP5" s="193" t="s">
        <v>40</v>
      </c>
      <c r="AQ5" s="193"/>
      <c r="AR5" s="193"/>
      <c r="AS5" s="193"/>
      <c r="AT5" s="194" t="s">
        <v>41</v>
      </c>
      <c r="AU5" s="194"/>
      <c r="AV5" s="194"/>
      <c r="AW5" s="194"/>
    </row>
    <row r="6" spans="2:49" s="3" customFormat="1" ht="48.75" customHeight="1">
      <c r="B6" s="4" t="s">
        <v>112</v>
      </c>
      <c r="C6" s="4" t="s">
        <v>230</v>
      </c>
      <c r="D6" s="4" t="s">
        <v>295</v>
      </c>
      <c r="E6" s="4" t="s">
        <v>0</v>
      </c>
      <c r="F6" s="4" t="s">
        <v>112</v>
      </c>
      <c r="G6" s="4" t="s">
        <v>230</v>
      </c>
      <c r="H6" s="4" t="s">
        <v>295</v>
      </c>
      <c r="I6" s="4" t="s">
        <v>0</v>
      </c>
      <c r="J6" s="4" t="s">
        <v>112</v>
      </c>
      <c r="K6" s="4" t="s">
        <v>230</v>
      </c>
      <c r="L6" s="4" t="s">
        <v>295</v>
      </c>
      <c r="M6" s="4" t="s">
        <v>0</v>
      </c>
      <c r="N6" s="4" t="s">
        <v>112</v>
      </c>
      <c r="O6" s="4" t="s">
        <v>230</v>
      </c>
      <c r="P6" s="4" t="s">
        <v>295</v>
      </c>
      <c r="Q6" s="4" t="s">
        <v>0</v>
      </c>
      <c r="R6" s="4" t="s">
        <v>112</v>
      </c>
      <c r="S6" s="4" t="s">
        <v>230</v>
      </c>
      <c r="T6" s="4" t="s">
        <v>295</v>
      </c>
      <c r="U6" s="4" t="s">
        <v>0</v>
      </c>
      <c r="V6" s="4" t="s">
        <v>112</v>
      </c>
      <c r="W6" s="4" t="s">
        <v>230</v>
      </c>
      <c r="X6" s="4" t="s">
        <v>295</v>
      </c>
      <c r="Y6" s="4" t="s">
        <v>0</v>
      </c>
      <c r="Z6" s="4" t="s">
        <v>112</v>
      </c>
      <c r="AA6" s="4" t="s">
        <v>230</v>
      </c>
      <c r="AB6" s="4" t="s">
        <v>295</v>
      </c>
      <c r="AC6" s="4" t="s">
        <v>0</v>
      </c>
      <c r="AD6" s="4" t="s">
        <v>112</v>
      </c>
      <c r="AE6" s="4" t="s">
        <v>230</v>
      </c>
      <c r="AF6" s="4" t="s">
        <v>295</v>
      </c>
      <c r="AG6" s="4" t="s">
        <v>0</v>
      </c>
      <c r="AH6" s="4" t="s">
        <v>112</v>
      </c>
      <c r="AI6" s="4" t="s">
        <v>230</v>
      </c>
      <c r="AJ6" s="4" t="s">
        <v>295</v>
      </c>
      <c r="AK6" s="4" t="s">
        <v>0</v>
      </c>
      <c r="AL6" s="4" t="s">
        <v>112</v>
      </c>
      <c r="AM6" s="4" t="s">
        <v>230</v>
      </c>
      <c r="AN6" s="4" t="s">
        <v>295</v>
      </c>
      <c r="AO6" s="4" t="s">
        <v>0</v>
      </c>
      <c r="AP6" s="4" t="s">
        <v>112</v>
      </c>
      <c r="AQ6" s="4" t="s">
        <v>230</v>
      </c>
      <c r="AR6" s="4" t="s">
        <v>295</v>
      </c>
      <c r="AS6" s="4" t="s">
        <v>0</v>
      </c>
      <c r="AT6" s="30" t="s">
        <v>42</v>
      </c>
      <c r="AU6" s="30" t="s">
        <v>43</v>
      </c>
      <c r="AV6" s="30" t="s">
        <v>60</v>
      </c>
      <c r="AW6" s="31" t="s">
        <v>44</v>
      </c>
    </row>
    <row r="7" spans="1:49" ht="15" customHeight="1">
      <c r="A7" s="32" t="s">
        <v>70</v>
      </c>
      <c r="B7" s="33">
        <v>15829</v>
      </c>
      <c r="C7" s="7">
        <v>16877</v>
      </c>
      <c r="D7" s="7">
        <v>17303</v>
      </c>
      <c r="E7" s="7">
        <f>D7-C7</f>
        <v>426</v>
      </c>
      <c r="F7" s="33">
        <v>4216</v>
      </c>
      <c r="G7" s="7">
        <v>4401</v>
      </c>
      <c r="H7" s="7">
        <v>4501</v>
      </c>
      <c r="I7" s="7">
        <f>H7-G7</f>
        <v>100</v>
      </c>
      <c r="J7" s="33">
        <v>14970</v>
      </c>
      <c r="K7" s="7">
        <v>16295</v>
      </c>
      <c r="L7" s="7">
        <v>16055</v>
      </c>
      <c r="M7" s="7">
        <f>L7-K7</f>
        <v>-240</v>
      </c>
      <c r="N7" s="7"/>
      <c r="O7" s="7"/>
      <c r="P7" s="7"/>
      <c r="Q7" s="5"/>
      <c r="R7" s="5"/>
      <c r="S7" s="7"/>
      <c r="T7" s="7"/>
      <c r="U7" s="5"/>
      <c r="V7" s="5"/>
      <c r="W7" s="7"/>
      <c r="X7" s="7"/>
      <c r="Y7" s="7"/>
      <c r="Z7" s="7">
        <v>140</v>
      </c>
      <c r="AA7" s="7">
        <v>140</v>
      </c>
      <c r="AB7" s="7">
        <v>140</v>
      </c>
      <c r="AC7" s="7">
        <f>AB7-AA7</f>
        <v>0</v>
      </c>
      <c r="AD7" s="7"/>
      <c r="AE7" s="7">
        <v>1235</v>
      </c>
      <c r="AF7" s="7">
        <v>1475</v>
      </c>
      <c r="AG7" s="5">
        <f>AF7-AE7</f>
        <v>240</v>
      </c>
      <c r="AH7" s="5"/>
      <c r="AI7" s="7"/>
      <c r="AJ7" s="7"/>
      <c r="AK7" s="7"/>
      <c r="AL7" s="7"/>
      <c r="AM7" s="7"/>
      <c r="AN7" s="7"/>
      <c r="AO7" s="7"/>
      <c r="AP7" s="8">
        <f aca="true" t="shared" si="0" ref="AP7:AR9">B7+F7+J7+N7+R7+V7+Z7+AD7+AH7+AL7</f>
        <v>35155</v>
      </c>
      <c r="AQ7" s="8">
        <f t="shared" si="0"/>
        <v>38948</v>
      </c>
      <c r="AR7" s="8">
        <f t="shared" si="0"/>
        <v>39474</v>
      </c>
      <c r="AS7" s="8">
        <f>AR7-AQ7</f>
        <v>526</v>
      </c>
      <c r="AT7" s="22">
        <v>7</v>
      </c>
      <c r="AU7" s="22">
        <v>0.75</v>
      </c>
      <c r="AW7" s="21">
        <f>AT7+AU7+AV7</f>
        <v>7.75</v>
      </c>
    </row>
    <row r="8" spans="1:49" ht="28.5" customHeight="1">
      <c r="A8" s="34" t="s">
        <v>71</v>
      </c>
      <c r="B8" s="33">
        <v>32105</v>
      </c>
      <c r="C8" s="7">
        <v>35424</v>
      </c>
      <c r="D8" s="7">
        <v>39996</v>
      </c>
      <c r="E8" s="7">
        <f>D8-C8</f>
        <v>4572</v>
      </c>
      <c r="F8" s="33">
        <v>8506</v>
      </c>
      <c r="G8" s="7">
        <v>8851</v>
      </c>
      <c r="H8" s="7">
        <v>12153</v>
      </c>
      <c r="I8" s="7">
        <f>H8-G8</f>
        <v>3302</v>
      </c>
      <c r="J8" s="33">
        <v>63560</v>
      </c>
      <c r="K8" s="7">
        <v>97896</v>
      </c>
      <c r="L8" s="7">
        <v>121128</v>
      </c>
      <c r="M8" s="7">
        <f>L8-K8</f>
        <v>23232</v>
      </c>
      <c r="N8" s="7"/>
      <c r="O8" s="7"/>
      <c r="P8" s="7"/>
      <c r="Q8" s="5"/>
      <c r="R8" s="5"/>
      <c r="S8" s="7"/>
      <c r="T8" s="7"/>
      <c r="U8" s="5"/>
      <c r="V8" s="5"/>
      <c r="W8" s="7"/>
      <c r="X8" s="7"/>
      <c r="Y8" s="7"/>
      <c r="Z8" s="7"/>
      <c r="AA8" s="7"/>
      <c r="AB8" s="7"/>
      <c r="AC8" s="7"/>
      <c r="AD8" s="7"/>
      <c r="AE8" s="7">
        <v>7576</v>
      </c>
      <c r="AF8" s="7">
        <v>7881</v>
      </c>
      <c r="AG8" s="5">
        <f>AF8-AE8</f>
        <v>305</v>
      </c>
      <c r="AH8" s="5"/>
      <c r="AI8" s="7"/>
      <c r="AJ8" s="7"/>
      <c r="AK8" s="7"/>
      <c r="AL8" s="7"/>
      <c r="AM8" s="7"/>
      <c r="AN8" s="7"/>
      <c r="AO8" s="7"/>
      <c r="AP8" s="8">
        <f t="shared" si="0"/>
        <v>104171</v>
      </c>
      <c r="AQ8" s="8">
        <f t="shared" si="0"/>
        <v>149747</v>
      </c>
      <c r="AR8" s="8">
        <f t="shared" si="0"/>
        <v>181158</v>
      </c>
      <c r="AS8" s="8">
        <f>AR8-AQ8</f>
        <v>31411</v>
      </c>
      <c r="AT8" s="22">
        <v>5</v>
      </c>
      <c r="AU8" s="22">
        <v>8.25</v>
      </c>
      <c r="AV8" s="22">
        <v>3</v>
      </c>
      <c r="AW8" s="21">
        <f>AT8+AU8+AV8</f>
        <v>16.25</v>
      </c>
    </row>
    <row r="9" spans="1:49" ht="20.25" customHeight="1">
      <c r="A9" s="34" t="s">
        <v>72</v>
      </c>
      <c r="B9" s="33">
        <v>22578</v>
      </c>
      <c r="C9" s="7">
        <v>24247</v>
      </c>
      <c r="D9" s="7">
        <v>24012</v>
      </c>
      <c r="E9" s="7">
        <f>D9-C9</f>
        <v>-235</v>
      </c>
      <c r="F9" s="33">
        <v>5961</v>
      </c>
      <c r="G9" s="7">
        <v>6317</v>
      </c>
      <c r="H9" s="7">
        <v>6315</v>
      </c>
      <c r="I9" s="7">
        <f>H9-G9</f>
        <v>-2</v>
      </c>
      <c r="J9" s="33">
        <v>9499</v>
      </c>
      <c r="K9" s="7">
        <v>13320</v>
      </c>
      <c r="L9" s="7">
        <v>14535</v>
      </c>
      <c r="M9" s="7">
        <f>L9-K9</f>
        <v>1215</v>
      </c>
      <c r="N9" s="7"/>
      <c r="O9" s="7"/>
      <c r="P9" s="7"/>
      <c r="Q9" s="5"/>
      <c r="R9" s="5"/>
      <c r="S9" s="7"/>
      <c r="T9" s="7"/>
      <c r="U9" s="5"/>
      <c r="V9" s="5"/>
      <c r="W9" s="7"/>
      <c r="X9" s="7"/>
      <c r="Y9" s="7"/>
      <c r="Z9" s="7"/>
      <c r="AA9" s="7"/>
      <c r="AB9" s="7"/>
      <c r="AC9" s="7"/>
      <c r="AD9" s="7"/>
      <c r="AE9" s="7">
        <v>2044</v>
      </c>
      <c r="AF9" s="7">
        <v>1889</v>
      </c>
      <c r="AG9" s="5">
        <f>AF9-AE9</f>
        <v>-155</v>
      </c>
      <c r="AH9" s="5"/>
      <c r="AI9" s="7"/>
      <c r="AJ9" s="7"/>
      <c r="AK9" s="7"/>
      <c r="AL9" s="7"/>
      <c r="AM9" s="7"/>
      <c r="AN9" s="7"/>
      <c r="AO9" s="7"/>
      <c r="AP9" s="8">
        <f t="shared" si="0"/>
        <v>38038</v>
      </c>
      <c r="AQ9" s="8">
        <f t="shared" si="0"/>
        <v>45928</v>
      </c>
      <c r="AR9" s="8">
        <f t="shared" si="0"/>
        <v>46751</v>
      </c>
      <c r="AS9" s="8">
        <f>AR9-AQ9</f>
        <v>823</v>
      </c>
      <c r="AT9" s="22">
        <v>5</v>
      </c>
      <c r="AU9" s="22">
        <v>7</v>
      </c>
      <c r="AV9" s="22">
        <v>2</v>
      </c>
      <c r="AW9" s="21">
        <f>AT9+AU9+AV9</f>
        <v>14</v>
      </c>
    </row>
    <row r="10" spans="1:49" s="6" customFormat="1" ht="15" customHeight="1">
      <c r="A10" s="35" t="s">
        <v>45</v>
      </c>
      <c r="B10" s="36">
        <f>SUM(B7:B9)</f>
        <v>70512</v>
      </c>
      <c r="C10" s="5">
        <f>C9+C7+C8</f>
        <v>76548</v>
      </c>
      <c r="D10" s="5">
        <f>D9+D7+D8</f>
        <v>81311</v>
      </c>
      <c r="E10" s="5">
        <f>E9+E7+E8</f>
        <v>4763</v>
      </c>
      <c r="F10" s="36">
        <v>18683</v>
      </c>
      <c r="G10" s="5">
        <f>G9+G7+G8</f>
        <v>19569</v>
      </c>
      <c r="H10" s="5">
        <f>H9+H7+H8</f>
        <v>22969</v>
      </c>
      <c r="I10" s="5">
        <f>I9+I7+I8</f>
        <v>3400</v>
      </c>
      <c r="J10" s="36">
        <f>SUM(J7:J9)</f>
        <v>88029</v>
      </c>
      <c r="K10" s="5">
        <f>K9+K7+K8</f>
        <v>127511</v>
      </c>
      <c r="L10" s="5">
        <f>L9+L7+L8</f>
        <v>151718</v>
      </c>
      <c r="M10" s="5">
        <f>M9+M7+M8</f>
        <v>24207</v>
      </c>
      <c r="N10" s="5"/>
      <c r="O10" s="5">
        <f>O9+O7+O8</f>
        <v>0</v>
      </c>
      <c r="P10" s="5">
        <f>P9+P7+P8</f>
        <v>0</v>
      </c>
      <c r="Q10" s="5">
        <f>Q9+Q7+Q8</f>
        <v>0</v>
      </c>
      <c r="R10" s="5"/>
      <c r="S10" s="5">
        <f>S9+S7+S8</f>
        <v>0</v>
      </c>
      <c r="T10" s="5">
        <f>T9+T7+T8</f>
        <v>0</v>
      </c>
      <c r="U10" s="5">
        <f>U9+U7+U8</f>
        <v>0</v>
      </c>
      <c r="V10" s="5"/>
      <c r="W10" s="5">
        <f aca="true" t="shared" si="1" ref="W10:AW10">W9+W7+W8</f>
        <v>0</v>
      </c>
      <c r="X10" s="5">
        <f t="shared" si="1"/>
        <v>0</v>
      </c>
      <c r="Y10" s="5">
        <f t="shared" si="1"/>
        <v>0</v>
      </c>
      <c r="Z10" s="5">
        <f t="shared" si="1"/>
        <v>140</v>
      </c>
      <c r="AA10" s="5">
        <f t="shared" si="1"/>
        <v>140</v>
      </c>
      <c r="AB10" s="5">
        <f t="shared" si="1"/>
        <v>140</v>
      </c>
      <c r="AC10" s="5">
        <f t="shared" si="1"/>
        <v>0</v>
      </c>
      <c r="AD10" s="5">
        <f t="shared" si="1"/>
        <v>0</v>
      </c>
      <c r="AE10" s="5">
        <f t="shared" si="1"/>
        <v>10855</v>
      </c>
      <c r="AF10" s="5">
        <f t="shared" si="1"/>
        <v>11245</v>
      </c>
      <c r="AG10" s="5">
        <f t="shared" si="1"/>
        <v>390</v>
      </c>
      <c r="AH10" s="5">
        <f t="shared" si="1"/>
        <v>0</v>
      </c>
      <c r="AI10" s="5">
        <f t="shared" si="1"/>
        <v>0</v>
      </c>
      <c r="AJ10" s="5">
        <f t="shared" si="1"/>
        <v>0</v>
      </c>
      <c r="AK10" s="5">
        <f t="shared" si="1"/>
        <v>0</v>
      </c>
      <c r="AL10" s="5">
        <f t="shared" si="1"/>
        <v>0</v>
      </c>
      <c r="AM10" s="5">
        <f t="shared" si="1"/>
        <v>0</v>
      </c>
      <c r="AN10" s="5">
        <f t="shared" si="1"/>
        <v>0</v>
      </c>
      <c r="AO10" s="5">
        <f t="shared" si="1"/>
        <v>0</v>
      </c>
      <c r="AP10" s="8">
        <f t="shared" si="1"/>
        <v>177364</v>
      </c>
      <c r="AQ10" s="8">
        <f t="shared" si="1"/>
        <v>234623</v>
      </c>
      <c r="AR10" s="8">
        <f t="shared" si="1"/>
        <v>267383</v>
      </c>
      <c r="AS10" s="8">
        <f t="shared" si="1"/>
        <v>32760</v>
      </c>
      <c r="AT10" s="23">
        <f t="shared" si="1"/>
        <v>17</v>
      </c>
      <c r="AU10" s="23">
        <f t="shared" si="1"/>
        <v>16</v>
      </c>
      <c r="AV10" s="23">
        <f t="shared" si="1"/>
        <v>5</v>
      </c>
      <c r="AW10" s="23">
        <f t="shared" si="1"/>
        <v>38</v>
      </c>
    </row>
    <row r="11" spans="1:49" ht="15" customHeight="1">
      <c r="A11" s="32" t="s">
        <v>73</v>
      </c>
      <c r="B11" s="33">
        <v>168409</v>
      </c>
      <c r="C11" s="7">
        <v>179895</v>
      </c>
      <c r="D11" s="7">
        <v>181897</v>
      </c>
      <c r="E11" s="7">
        <f>D11-C11</f>
        <v>2002</v>
      </c>
      <c r="F11" s="33">
        <v>44636</v>
      </c>
      <c r="G11" s="7">
        <v>50511</v>
      </c>
      <c r="H11" s="7">
        <v>51351</v>
      </c>
      <c r="I11" s="7">
        <f>H11-G11</f>
        <v>840</v>
      </c>
      <c r="J11" s="33">
        <v>71836</v>
      </c>
      <c r="K11" s="7">
        <v>66582</v>
      </c>
      <c r="L11" s="7">
        <v>67199</v>
      </c>
      <c r="M11" s="7">
        <f>L11-K11</f>
        <v>617</v>
      </c>
      <c r="N11" s="7"/>
      <c r="O11" s="7">
        <v>333</v>
      </c>
      <c r="P11" s="7">
        <v>593</v>
      </c>
      <c r="Q11" s="7">
        <f>P11-O11</f>
        <v>260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f>AB11-AA11</f>
        <v>0</v>
      </c>
      <c r="AD11" s="7"/>
      <c r="AE11" s="7">
        <v>2223</v>
      </c>
      <c r="AF11" s="7">
        <v>2253</v>
      </c>
      <c r="AG11" s="7">
        <f>AF11-AE11</f>
        <v>30</v>
      </c>
      <c r="AH11" s="7"/>
      <c r="AI11" s="7"/>
      <c r="AJ11" s="7"/>
      <c r="AK11" s="7"/>
      <c r="AL11" s="7"/>
      <c r="AM11" s="7"/>
      <c r="AN11" s="7"/>
      <c r="AO11" s="7"/>
      <c r="AP11" s="8">
        <f aca="true" t="shared" si="2" ref="AP11:AR12">B11+F11+J11+N11+R11+V11+Z11+AD11+AH11+AL11</f>
        <v>284881</v>
      </c>
      <c r="AQ11" s="8">
        <f t="shared" si="2"/>
        <v>299544</v>
      </c>
      <c r="AR11" s="8">
        <f t="shared" si="2"/>
        <v>303293</v>
      </c>
      <c r="AS11" s="8">
        <f>AR11-AQ11</f>
        <v>3749</v>
      </c>
      <c r="AT11" s="22">
        <v>47</v>
      </c>
      <c r="AU11" s="22">
        <v>2</v>
      </c>
      <c r="AW11" s="22">
        <f>AT11+AU11+AV11</f>
        <v>49</v>
      </c>
    </row>
    <row r="12" spans="1:46" ht="15" customHeight="1">
      <c r="A12" s="37" t="s">
        <v>74</v>
      </c>
      <c r="B12" s="33">
        <v>8780</v>
      </c>
      <c r="C12" s="7">
        <v>8780</v>
      </c>
      <c r="D12" s="7">
        <v>8780</v>
      </c>
      <c r="E12" s="7">
        <f>D12-C12</f>
        <v>0</v>
      </c>
      <c r="F12" s="33">
        <v>2150</v>
      </c>
      <c r="G12" s="7">
        <v>2150</v>
      </c>
      <c r="H12" s="7">
        <v>2150</v>
      </c>
      <c r="I12" s="7">
        <f>H12-G12</f>
        <v>0</v>
      </c>
      <c r="J12" s="33">
        <v>600</v>
      </c>
      <c r="K12" s="7">
        <v>600</v>
      </c>
      <c r="L12" s="7">
        <v>600</v>
      </c>
      <c r="M12" s="7">
        <f>L12-K12</f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>
        <f t="shared" si="2"/>
        <v>11530</v>
      </c>
      <c r="AQ12" s="8">
        <f t="shared" si="2"/>
        <v>11530</v>
      </c>
      <c r="AR12" s="8">
        <f t="shared" si="2"/>
        <v>11530</v>
      </c>
      <c r="AS12" s="8">
        <f>AR12-AQ12</f>
        <v>0</v>
      </c>
      <c r="AT12" s="22">
        <v>3.5</v>
      </c>
    </row>
    <row r="13" spans="1:49" s="6" customFormat="1" ht="15" customHeight="1">
      <c r="A13" s="35" t="s">
        <v>46</v>
      </c>
      <c r="B13" s="36">
        <f>B11+B10</f>
        <v>238921</v>
      </c>
      <c r="C13" s="5">
        <f>C10+C11</f>
        <v>256443</v>
      </c>
      <c r="D13" s="5">
        <f>D10+D11</f>
        <v>263208</v>
      </c>
      <c r="E13" s="5">
        <f>E10+E11</f>
        <v>6765</v>
      </c>
      <c r="F13" s="36">
        <f>F11+F10</f>
        <v>63319</v>
      </c>
      <c r="G13" s="5">
        <f>G10+G11</f>
        <v>70080</v>
      </c>
      <c r="H13" s="5">
        <f>H10+H11</f>
        <v>74320</v>
      </c>
      <c r="I13" s="5">
        <f>I10+I11</f>
        <v>4240</v>
      </c>
      <c r="J13" s="36">
        <f>J11+J10</f>
        <v>159865</v>
      </c>
      <c r="K13" s="5">
        <f>K10+K11</f>
        <v>194093</v>
      </c>
      <c r="L13" s="5">
        <f>L10+L11</f>
        <v>218917</v>
      </c>
      <c r="M13" s="5">
        <f>M10+M11</f>
        <v>24824</v>
      </c>
      <c r="N13" s="5"/>
      <c r="O13" s="5">
        <f>O10+O11</f>
        <v>333</v>
      </c>
      <c r="P13" s="5">
        <f>P10+P11</f>
        <v>593</v>
      </c>
      <c r="Q13" s="5">
        <f>Q10+Q11</f>
        <v>260</v>
      </c>
      <c r="R13" s="5"/>
      <c r="S13" s="5">
        <f>S10+S11</f>
        <v>0</v>
      </c>
      <c r="T13" s="5">
        <f>T10+T11</f>
        <v>0</v>
      </c>
      <c r="U13" s="5">
        <f>U10+U11</f>
        <v>0</v>
      </c>
      <c r="V13" s="5"/>
      <c r="W13" s="5">
        <f aca="true" t="shared" si="3" ref="W13:AW13">W10+W11</f>
        <v>0</v>
      </c>
      <c r="X13" s="5">
        <f t="shared" si="3"/>
        <v>0</v>
      </c>
      <c r="Y13" s="5">
        <f t="shared" si="3"/>
        <v>0</v>
      </c>
      <c r="Z13" s="5">
        <f t="shared" si="3"/>
        <v>140</v>
      </c>
      <c r="AA13" s="5">
        <f t="shared" si="3"/>
        <v>140</v>
      </c>
      <c r="AB13" s="5">
        <f t="shared" si="3"/>
        <v>140</v>
      </c>
      <c r="AC13" s="5">
        <f t="shared" si="3"/>
        <v>0</v>
      </c>
      <c r="AD13" s="5">
        <f t="shared" si="3"/>
        <v>0</v>
      </c>
      <c r="AE13" s="5">
        <f t="shared" si="3"/>
        <v>13078</v>
      </c>
      <c r="AF13" s="5">
        <f t="shared" si="3"/>
        <v>13498</v>
      </c>
      <c r="AG13" s="5">
        <f t="shared" si="3"/>
        <v>420</v>
      </c>
      <c r="AH13" s="5">
        <f t="shared" si="3"/>
        <v>0</v>
      </c>
      <c r="AI13" s="5">
        <f t="shared" si="3"/>
        <v>0</v>
      </c>
      <c r="AJ13" s="5">
        <f t="shared" si="3"/>
        <v>0</v>
      </c>
      <c r="AK13" s="5">
        <f t="shared" si="3"/>
        <v>0</v>
      </c>
      <c r="AL13" s="5">
        <f t="shared" si="3"/>
        <v>0</v>
      </c>
      <c r="AM13" s="5">
        <f t="shared" si="3"/>
        <v>0</v>
      </c>
      <c r="AN13" s="5">
        <f t="shared" si="3"/>
        <v>0</v>
      </c>
      <c r="AO13" s="5">
        <f t="shared" si="3"/>
        <v>0</v>
      </c>
      <c r="AP13" s="8">
        <f t="shared" si="3"/>
        <v>462245</v>
      </c>
      <c r="AQ13" s="8">
        <f t="shared" si="3"/>
        <v>534167</v>
      </c>
      <c r="AR13" s="8">
        <f t="shared" si="3"/>
        <v>570676</v>
      </c>
      <c r="AS13" s="8">
        <f t="shared" si="3"/>
        <v>36509</v>
      </c>
      <c r="AT13" s="23">
        <f t="shared" si="3"/>
        <v>64</v>
      </c>
      <c r="AU13" s="23">
        <f t="shared" si="3"/>
        <v>18</v>
      </c>
      <c r="AV13" s="23">
        <f t="shared" si="3"/>
        <v>5</v>
      </c>
      <c r="AW13" s="23">
        <f t="shared" si="3"/>
        <v>87</v>
      </c>
    </row>
    <row r="14" spans="1:49" ht="15" customHeight="1">
      <c r="A14" s="32" t="s">
        <v>58</v>
      </c>
      <c r="B14" s="33">
        <v>36529</v>
      </c>
      <c r="C14" s="7">
        <v>42653</v>
      </c>
      <c r="D14" s="7">
        <v>44274</v>
      </c>
      <c r="E14" s="7">
        <f>D14-C14</f>
        <v>1621</v>
      </c>
      <c r="F14" s="33">
        <v>9334</v>
      </c>
      <c r="G14" s="7">
        <v>9637</v>
      </c>
      <c r="H14" s="7">
        <v>13587</v>
      </c>
      <c r="I14" s="7">
        <f>H14-G14</f>
        <v>3950</v>
      </c>
      <c r="J14" s="33">
        <v>499017</v>
      </c>
      <c r="K14" s="7">
        <v>551200</v>
      </c>
      <c r="L14" s="7">
        <v>616505</v>
      </c>
      <c r="M14" s="7">
        <f>L14-K14</f>
        <v>65305</v>
      </c>
      <c r="N14" s="33">
        <v>494332</v>
      </c>
      <c r="O14" s="7">
        <v>604711</v>
      </c>
      <c r="P14" s="7">
        <v>635147</v>
      </c>
      <c r="Q14" s="7">
        <f>P14-O14</f>
        <v>30436</v>
      </c>
      <c r="R14" s="7">
        <v>70150</v>
      </c>
      <c r="S14" s="7">
        <v>70180</v>
      </c>
      <c r="T14" s="7">
        <v>54917</v>
      </c>
      <c r="U14" s="38">
        <f>T14-S14</f>
        <v>-15263</v>
      </c>
      <c r="V14" s="33">
        <v>2450</v>
      </c>
      <c r="W14" s="7">
        <v>2450</v>
      </c>
      <c r="X14" s="7">
        <v>2450</v>
      </c>
      <c r="Y14" s="38">
        <f>X14-W14</f>
        <v>0</v>
      </c>
      <c r="Z14" s="33">
        <v>30208</v>
      </c>
      <c r="AA14" s="7">
        <v>76139</v>
      </c>
      <c r="AB14" s="7">
        <v>70621</v>
      </c>
      <c r="AC14" s="7">
        <f>AB14-AA14</f>
        <v>-5518</v>
      </c>
      <c r="AD14" s="33">
        <v>572512</v>
      </c>
      <c r="AE14" s="7">
        <v>653976</v>
      </c>
      <c r="AF14" s="7">
        <v>566713</v>
      </c>
      <c r="AG14" s="7">
        <f>AF14-AE14</f>
        <v>-87263</v>
      </c>
      <c r="AH14" s="33"/>
      <c r="AI14" s="7">
        <v>4398</v>
      </c>
      <c r="AJ14" s="7">
        <v>29537</v>
      </c>
      <c r="AK14" s="7">
        <f>AJ14-AI14</f>
        <v>25139</v>
      </c>
      <c r="AL14" s="33">
        <v>40545</v>
      </c>
      <c r="AM14" s="7">
        <v>33636</v>
      </c>
      <c r="AN14" s="7">
        <v>98386</v>
      </c>
      <c r="AO14" s="7">
        <f>AN14-AM14</f>
        <v>64750</v>
      </c>
      <c r="AP14" s="8">
        <f>B14+F14+J14+N14+R14+V14+Z14+AD14+AH14+AL14</f>
        <v>1755077</v>
      </c>
      <c r="AQ14" s="8">
        <f>C14+G14+K14+O14+S14+W14+AA14+AE14+AI14+AM14</f>
        <v>2048980</v>
      </c>
      <c r="AR14" s="8">
        <f>D14+H14+L14+P14+T14+X14+AB14+AF14+AJ14+AN14</f>
        <v>2132137</v>
      </c>
      <c r="AS14" s="8">
        <f>AR14-AQ14</f>
        <v>83157</v>
      </c>
      <c r="AV14" s="22">
        <v>3</v>
      </c>
      <c r="AW14" s="21">
        <f>AT14+AU14+AV14</f>
        <v>3</v>
      </c>
    </row>
    <row r="15" spans="1:49" s="6" customFormat="1" ht="28.5" customHeight="1">
      <c r="A15" s="39" t="s">
        <v>59</v>
      </c>
      <c r="B15" s="36">
        <f aca="true" t="shared" si="4" ref="B15:AV15">B13+B14</f>
        <v>275450</v>
      </c>
      <c r="C15" s="5">
        <f t="shared" si="4"/>
        <v>299096</v>
      </c>
      <c r="D15" s="5">
        <f t="shared" si="4"/>
        <v>307482</v>
      </c>
      <c r="E15" s="5">
        <f t="shared" si="4"/>
        <v>8386</v>
      </c>
      <c r="F15" s="36">
        <f t="shared" si="4"/>
        <v>72653</v>
      </c>
      <c r="G15" s="5">
        <f t="shared" si="4"/>
        <v>79717</v>
      </c>
      <c r="H15" s="5">
        <f t="shared" si="4"/>
        <v>87907</v>
      </c>
      <c r="I15" s="5">
        <f t="shared" si="4"/>
        <v>8190</v>
      </c>
      <c r="J15" s="36">
        <f t="shared" si="4"/>
        <v>658882</v>
      </c>
      <c r="K15" s="5">
        <f t="shared" si="4"/>
        <v>745293</v>
      </c>
      <c r="L15" s="5">
        <f t="shared" si="4"/>
        <v>835422</v>
      </c>
      <c r="M15" s="5">
        <f t="shared" si="4"/>
        <v>90129</v>
      </c>
      <c r="N15" s="36">
        <f t="shared" si="4"/>
        <v>494332</v>
      </c>
      <c r="O15" s="5">
        <f t="shared" si="4"/>
        <v>605044</v>
      </c>
      <c r="P15" s="5">
        <f t="shared" si="4"/>
        <v>635740</v>
      </c>
      <c r="Q15" s="5">
        <f t="shared" si="4"/>
        <v>30696</v>
      </c>
      <c r="R15" s="5">
        <f t="shared" si="4"/>
        <v>70150</v>
      </c>
      <c r="S15" s="5">
        <f t="shared" si="4"/>
        <v>70180</v>
      </c>
      <c r="T15" s="5">
        <f t="shared" si="4"/>
        <v>54917</v>
      </c>
      <c r="U15" s="5">
        <f t="shared" si="4"/>
        <v>-15263</v>
      </c>
      <c r="V15" s="36">
        <f t="shared" si="4"/>
        <v>2450</v>
      </c>
      <c r="W15" s="5">
        <f t="shared" si="4"/>
        <v>2450</v>
      </c>
      <c r="X15" s="5">
        <f t="shared" si="4"/>
        <v>2450</v>
      </c>
      <c r="Y15" s="5">
        <f t="shared" si="4"/>
        <v>0</v>
      </c>
      <c r="Z15" s="36">
        <f t="shared" si="4"/>
        <v>30348</v>
      </c>
      <c r="AA15" s="5">
        <f t="shared" si="4"/>
        <v>76279</v>
      </c>
      <c r="AB15" s="5">
        <f t="shared" si="4"/>
        <v>70761</v>
      </c>
      <c r="AC15" s="5">
        <f t="shared" si="4"/>
        <v>-5518</v>
      </c>
      <c r="AD15" s="5">
        <f t="shared" si="4"/>
        <v>572512</v>
      </c>
      <c r="AE15" s="5">
        <f t="shared" si="4"/>
        <v>667054</v>
      </c>
      <c r="AF15" s="5">
        <f t="shared" si="4"/>
        <v>580211</v>
      </c>
      <c r="AG15" s="5">
        <f t="shared" si="4"/>
        <v>-86843</v>
      </c>
      <c r="AH15" s="36">
        <f t="shared" si="4"/>
        <v>0</v>
      </c>
      <c r="AI15" s="5">
        <f t="shared" si="4"/>
        <v>4398</v>
      </c>
      <c r="AJ15" s="5">
        <f t="shared" si="4"/>
        <v>29537</v>
      </c>
      <c r="AK15" s="5">
        <f t="shared" si="4"/>
        <v>25139</v>
      </c>
      <c r="AL15" s="36">
        <f t="shared" si="4"/>
        <v>40545</v>
      </c>
      <c r="AM15" s="5">
        <f t="shared" si="4"/>
        <v>33636</v>
      </c>
      <c r="AN15" s="5">
        <f t="shared" si="4"/>
        <v>98386</v>
      </c>
      <c r="AO15" s="5">
        <f t="shared" si="4"/>
        <v>64750</v>
      </c>
      <c r="AP15" s="8">
        <f t="shared" si="4"/>
        <v>2217322</v>
      </c>
      <c r="AQ15" s="8">
        <f t="shared" si="4"/>
        <v>2583147</v>
      </c>
      <c r="AR15" s="8">
        <f t="shared" si="4"/>
        <v>2702813</v>
      </c>
      <c r="AS15" s="8">
        <f t="shared" si="4"/>
        <v>119666</v>
      </c>
      <c r="AT15" s="23">
        <f t="shared" si="4"/>
        <v>64</v>
      </c>
      <c r="AU15" s="23">
        <f t="shared" si="4"/>
        <v>18</v>
      </c>
      <c r="AV15" s="23">
        <f t="shared" si="4"/>
        <v>8</v>
      </c>
      <c r="AW15" s="21">
        <f>AT15+AU15+AV15</f>
        <v>90</v>
      </c>
    </row>
    <row r="16" spans="1:49" s="6" customFormat="1" ht="15" customHeight="1">
      <c r="A16" s="35" t="s">
        <v>47</v>
      </c>
      <c r="B16" s="35"/>
      <c r="C16" s="8"/>
      <c r="E16" s="8"/>
      <c r="F16" s="8"/>
      <c r="G16" s="8"/>
      <c r="H16" s="8"/>
      <c r="I16" s="8"/>
      <c r="J16" s="36"/>
      <c r="K16" s="8"/>
      <c r="L16" s="8"/>
      <c r="M16" s="8"/>
      <c r="N16" s="36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21"/>
      <c r="AU16" s="21"/>
      <c r="AV16" s="21"/>
      <c r="AW16" s="21"/>
    </row>
    <row r="17" spans="1:49" s="6" customFormat="1" ht="15" customHeight="1">
      <c r="A17" s="35"/>
      <c r="B17" s="35"/>
      <c r="C17" s="8"/>
      <c r="D17" s="8"/>
      <c r="E17" s="8"/>
      <c r="F17" s="8"/>
      <c r="G17" s="8"/>
      <c r="H17" s="8"/>
      <c r="I17" s="8"/>
      <c r="J17" s="36"/>
      <c r="K17" s="8"/>
      <c r="L17" s="8"/>
      <c r="M17" s="8"/>
      <c r="N17" s="36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21"/>
      <c r="AU17" s="21"/>
      <c r="AV17" s="21"/>
      <c r="AW17" s="21"/>
    </row>
    <row r="18" spans="3:42" ht="12.75">
      <c r="C18" s="9"/>
      <c r="D18" s="9"/>
      <c r="E18" s="9"/>
      <c r="F18" s="9"/>
      <c r="G18" s="9"/>
      <c r="H18" s="9"/>
      <c r="I18" s="9"/>
      <c r="J18" s="36"/>
      <c r="K18" s="9"/>
      <c r="L18" s="9"/>
      <c r="M18" s="9"/>
      <c r="N18" s="36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8"/>
      <c r="AB18" s="8"/>
      <c r="AC18" s="8"/>
      <c r="AD18" s="8"/>
      <c r="AP18" s="6"/>
    </row>
    <row r="19" spans="1:42" ht="25.5">
      <c r="A19" s="14" t="s">
        <v>75</v>
      </c>
      <c r="B19" s="14"/>
      <c r="C19" s="9"/>
      <c r="D19" s="9"/>
      <c r="E19" s="9"/>
      <c r="F19" s="9"/>
      <c r="G19" s="9"/>
      <c r="H19" s="9"/>
      <c r="I19" s="9"/>
      <c r="K19" s="9"/>
      <c r="L19" s="9"/>
      <c r="M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8"/>
      <c r="AB19" s="8"/>
      <c r="AC19" s="8"/>
      <c r="AD19" s="8"/>
      <c r="AP19" s="6"/>
    </row>
    <row r="20" spans="1:49" ht="12.75">
      <c r="A20" s="11" t="s">
        <v>76</v>
      </c>
      <c r="B20" s="33">
        <v>192567</v>
      </c>
      <c r="C20" s="9">
        <v>210510</v>
      </c>
      <c r="D20" s="9">
        <f>D15-D21-D22</f>
        <v>218896</v>
      </c>
      <c r="E20" s="9">
        <f>D20-C20</f>
        <v>8386</v>
      </c>
      <c r="F20" s="33">
        <v>51061</v>
      </c>
      <c r="G20" s="9">
        <v>58072</v>
      </c>
      <c r="H20" s="9">
        <f>H15-H21-H22</f>
        <v>66262</v>
      </c>
      <c r="I20" s="9">
        <f>H20-G20</f>
        <v>8190</v>
      </c>
      <c r="J20" s="33">
        <v>547798</v>
      </c>
      <c r="K20" s="9">
        <v>636227</v>
      </c>
      <c r="L20" s="9">
        <f>636227-240+6542+1215+617-19960-6040+97480-6175</f>
        <v>709666</v>
      </c>
      <c r="M20" s="9">
        <f>L20-K20</f>
        <v>73439</v>
      </c>
      <c r="N20" s="33">
        <v>475650</v>
      </c>
      <c r="O20" s="9">
        <v>584462</v>
      </c>
      <c r="P20" s="9">
        <f>635740-22182</f>
        <v>613558</v>
      </c>
      <c r="Q20" s="9">
        <f>P20-O20</f>
        <v>29096</v>
      </c>
      <c r="R20" s="9">
        <v>59050</v>
      </c>
      <c r="S20" s="9">
        <v>59080</v>
      </c>
      <c r="T20" s="9">
        <f>54917-11100</f>
        <v>43817</v>
      </c>
      <c r="U20" s="9">
        <f>T20-S20</f>
        <v>-15263</v>
      </c>
      <c r="V20" s="9"/>
      <c r="W20" s="9"/>
      <c r="X20" s="9"/>
      <c r="Y20" s="9"/>
      <c r="Z20" s="33">
        <v>30348</v>
      </c>
      <c r="AA20" s="9">
        <v>76279</v>
      </c>
      <c r="AB20" s="9">
        <v>70761</v>
      </c>
      <c r="AC20" s="9">
        <f>AB20-AA20</f>
        <v>-5518</v>
      </c>
      <c r="AD20" s="33">
        <v>551231</v>
      </c>
      <c r="AE20" s="9">
        <v>627673</v>
      </c>
      <c r="AF20" s="9">
        <f>580211-39381</f>
        <v>540830</v>
      </c>
      <c r="AG20" s="9">
        <f>AF20-AE20</f>
        <v>-86843</v>
      </c>
      <c r="AH20" s="9"/>
      <c r="AI20" s="9">
        <v>4398</v>
      </c>
      <c r="AJ20" s="9">
        <v>29537</v>
      </c>
      <c r="AK20" s="9">
        <f>AJ20-AI20</f>
        <v>25139</v>
      </c>
      <c r="AL20" s="33">
        <v>34000</v>
      </c>
      <c r="AM20" s="9">
        <v>33636</v>
      </c>
      <c r="AN20" s="9">
        <v>98386</v>
      </c>
      <c r="AO20" s="9">
        <f>AN20-AM20</f>
        <v>64750</v>
      </c>
      <c r="AP20" s="8">
        <f aca="true" t="shared" si="5" ref="AP20:AR22">B20+F20+J20+N20+R20+V20+Z20+AD20+AH20+AL20</f>
        <v>1941705</v>
      </c>
      <c r="AQ20" s="8">
        <f t="shared" si="5"/>
        <v>2290337</v>
      </c>
      <c r="AR20" s="8">
        <f t="shared" si="5"/>
        <v>2391713</v>
      </c>
      <c r="AS20" s="8">
        <f>AR20-AQ20</f>
        <v>101376</v>
      </c>
      <c r="AT20" s="9"/>
      <c r="AU20" s="9"/>
      <c r="AV20" s="9"/>
      <c r="AW20" s="9"/>
    </row>
    <row r="21" spans="1:49" ht="12.75">
      <c r="A21" s="11" t="s">
        <v>77</v>
      </c>
      <c r="B21" s="33">
        <v>38893</v>
      </c>
      <c r="C21" s="9">
        <v>44596</v>
      </c>
      <c r="D21" s="9">
        <f>39596+5000</f>
        <v>44596</v>
      </c>
      <c r="E21" s="9">
        <f>D21-C21</f>
        <v>0</v>
      </c>
      <c r="F21" s="33">
        <v>9922</v>
      </c>
      <c r="G21" s="9">
        <v>9975</v>
      </c>
      <c r="H21" s="9">
        <v>9975</v>
      </c>
      <c r="I21" s="9">
        <f>H21-G21</f>
        <v>0</v>
      </c>
      <c r="J21" s="33">
        <v>93484</v>
      </c>
      <c r="K21" s="9">
        <v>91466</v>
      </c>
      <c r="L21" s="9">
        <f>L15-L20-L22</f>
        <v>108156</v>
      </c>
      <c r="M21" s="9">
        <f>L21-K21</f>
        <v>16690</v>
      </c>
      <c r="N21" s="33">
        <v>18682</v>
      </c>
      <c r="O21" s="9">
        <v>20582</v>
      </c>
      <c r="P21" s="9">
        <f>19682+900+1300+300</f>
        <v>22182</v>
      </c>
      <c r="Q21" s="9">
        <f>P21-O21</f>
        <v>1600</v>
      </c>
      <c r="R21" s="9">
        <v>11100</v>
      </c>
      <c r="S21" s="9">
        <v>11100</v>
      </c>
      <c r="T21" s="9">
        <v>11100</v>
      </c>
      <c r="U21" s="9">
        <f>T21-S21</f>
        <v>0</v>
      </c>
      <c r="V21" s="33">
        <v>2450</v>
      </c>
      <c r="W21" s="9">
        <v>2450</v>
      </c>
      <c r="X21" s="9">
        <v>2450</v>
      </c>
      <c r="Y21" s="9">
        <f>X21-W21</f>
        <v>0</v>
      </c>
      <c r="Z21" s="33"/>
      <c r="AA21" s="9"/>
      <c r="AB21" s="9"/>
      <c r="AC21" s="9">
        <f>AB21-AA21</f>
        <v>0</v>
      </c>
      <c r="AD21" s="33">
        <v>21281</v>
      </c>
      <c r="AE21" s="9">
        <v>39381</v>
      </c>
      <c r="AF21" s="9">
        <v>39381</v>
      </c>
      <c r="AG21" s="9">
        <f>AF21-AE21</f>
        <v>0</v>
      </c>
      <c r="AH21" s="9"/>
      <c r="AI21" s="9"/>
      <c r="AJ21" s="9"/>
      <c r="AK21" s="9"/>
      <c r="AL21" s="33">
        <v>6545</v>
      </c>
      <c r="AM21" s="9">
        <v>0</v>
      </c>
      <c r="AN21" s="9">
        <f>4047-430-3617</f>
        <v>0</v>
      </c>
      <c r="AO21" s="9">
        <f>AN21-AM21</f>
        <v>0</v>
      </c>
      <c r="AP21" s="8">
        <f t="shared" si="5"/>
        <v>202357</v>
      </c>
      <c r="AQ21" s="8">
        <f t="shared" si="5"/>
        <v>219550</v>
      </c>
      <c r="AR21" s="8">
        <f t="shared" si="5"/>
        <v>237840</v>
      </c>
      <c r="AS21" s="8">
        <f>AR21-AQ21</f>
        <v>18290</v>
      </c>
      <c r="AT21" s="9"/>
      <c r="AU21" s="9"/>
      <c r="AV21" s="9"/>
      <c r="AW21" s="9"/>
    </row>
    <row r="22" spans="1:49" ht="12.75">
      <c r="A22" s="11" t="s">
        <v>78</v>
      </c>
      <c r="B22" s="33">
        <v>43990</v>
      </c>
      <c r="C22" s="9">
        <v>43990</v>
      </c>
      <c r="D22" s="9">
        <v>43990</v>
      </c>
      <c r="E22" s="9">
        <f>D22-C22</f>
        <v>0</v>
      </c>
      <c r="F22" s="33">
        <v>11670</v>
      </c>
      <c r="G22" s="9">
        <v>11670</v>
      </c>
      <c r="H22" s="9">
        <v>11670</v>
      </c>
      <c r="I22" s="9">
        <f>H22-G22</f>
        <v>0</v>
      </c>
      <c r="J22" s="33">
        <v>17600</v>
      </c>
      <c r="K22" s="9">
        <v>17600</v>
      </c>
      <c r="L22" s="9">
        <v>17600</v>
      </c>
      <c r="M22" s="9">
        <f>L22-K22</f>
        <v>0</v>
      </c>
      <c r="N22" s="33"/>
      <c r="O22" s="9"/>
      <c r="P22" s="9"/>
      <c r="Q22" s="9">
        <f>P22-O22</f>
        <v>0</v>
      </c>
      <c r="R22" s="9"/>
      <c r="S22" s="9"/>
      <c r="T22" s="9"/>
      <c r="U22" s="9">
        <f>T22-S22</f>
        <v>0</v>
      </c>
      <c r="V22" s="33"/>
      <c r="W22" s="9"/>
      <c r="X22" s="9"/>
      <c r="Y22" s="9"/>
      <c r="Z22" s="33"/>
      <c r="AA22" s="9"/>
      <c r="AB22" s="9"/>
      <c r="AC22" s="9">
        <f>AB22-AA22</f>
        <v>0</v>
      </c>
      <c r="AD22" s="33"/>
      <c r="AE22" s="9"/>
      <c r="AF22" s="9"/>
      <c r="AG22" s="9">
        <f>AF22-AE22</f>
        <v>0</v>
      </c>
      <c r="AH22" s="9"/>
      <c r="AI22" s="9"/>
      <c r="AJ22" s="9"/>
      <c r="AK22" s="9"/>
      <c r="AL22" s="33"/>
      <c r="AM22" s="9"/>
      <c r="AN22" s="9"/>
      <c r="AO22" s="9">
        <f>AN22-AM22</f>
        <v>0</v>
      </c>
      <c r="AP22" s="8">
        <f t="shared" si="5"/>
        <v>73260</v>
      </c>
      <c r="AQ22" s="8">
        <f t="shared" si="5"/>
        <v>73260</v>
      </c>
      <c r="AR22" s="8">
        <f t="shared" si="5"/>
        <v>73260</v>
      </c>
      <c r="AS22" s="8">
        <f>AR22-AQ22</f>
        <v>0</v>
      </c>
      <c r="AT22" s="9"/>
      <c r="AU22" s="9"/>
      <c r="AV22" s="9"/>
      <c r="AW22" s="9"/>
    </row>
    <row r="23" spans="1:49" s="6" customFormat="1" ht="12.75">
      <c r="A23" s="13" t="s">
        <v>14</v>
      </c>
      <c r="B23" s="36">
        <f aca="true" t="shared" si="6" ref="B23:AS23">SUM(B20:B22)</f>
        <v>275450</v>
      </c>
      <c r="C23" s="8">
        <f t="shared" si="6"/>
        <v>299096</v>
      </c>
      <c r="D23" s="8">
        <f t="shared" si="6"/>
        <v>307482</v>
      </c>
      <c r="E23" s="8">
        <f t="shared" si="6"/>
        <v>8386</v>
      </c>
      <c r="F23" s="36">
        <f t="shared" si="6"/>
        <v>72653</v>
      </c>
      <c r="G23" s="8">
        <f t="shared" si="6"/>
        <v>79717</v>
      </c>
      <c r="H23" s="8">
        <f t="shared" si="6"/>
        <v>87907</v>
      </c>
      <c r="I23" s="8">
        <f t="shared" si="6"/>
        <v>8190</v>
      </c>
      <c r="J23" s="36">
        <f t="shared" si="6"/>
        <v>658882</v>
      </c>
      <c r="K23" s="8">
        <f t="shared" si="6"/>
        <v>745293</v>
      </c>
      <c r="L23" s="8">
        <f t="shared" si="6"/>
        <v>835422</v>
      </c>
      <c r="M23" s="8">
        <f t="shared" si="6"/>
        <v>90129</v>
      </c>
      <c r="N23" s="36">
        <f t="shared" si="6"/>
        <v>494332</v>
      </c>
      <c r="O23" s="8">
        <f t="shared" si="6"/>
        <v>605044</v>
      </c>
      <c r="P23" s="8">
        <f t="shared" si="6"/>
        <v>635740</v>
      </c>
      <c r="Q23" s="8">
        <f t="shared" si="6"/>
        <v>30696</v>
      </c>
      <c r="R23" s="8">
        <f t="shared" si="6"/>
        <v>70150</v>
      </c>
      <c r="S23" s="8">
        <f t="shared" si="6"/>
        <v>70180</v>
      </c>
      <c r="T23" s="8">
        <f t="shared" si="6"/>
        <v>54917</v>
      </c>
      <c r="U23" s="8">
        <f t="shared" si="6"/>
        <v>-15263</v>
      </c>
      <c r="V23" s="36">
        <f t="shared" si="6"/>
        <v>2450</v>
      </c>
      <c r="W23" s="8">
        <f t="shared" si="6"/>
        <v>2450</v>
      </c>
      <c r="X23" s="8">
        <f t="shared" si="6"/>
        <v>2450</v>
      </c>
      <c r="Y23" s="8">
        <f t="shared" si="6"/>
        <v>0</v>
      </c>
      <c r="Z23" s="36">
        <f t="shared" si="6"/>
        <v>30348</v>
      </c>
      <c r="AA23" s="8">
        <f t="shared" si="6"/>
        <v>76279</v>
      </c>
      <c r="AB23" s="8">
        <f t="shared" si="6"/>
        <v>70761</v>
      </c>
      <c r="AC23" s="8">
        <f t="shared" si="6"/>
        <v>-5518</v>
      </c>
      <c r="AD23" s="36">
        <f t="shared" si="6"/>
        <v>572512</v>
      </c>
      <c r="AE23" s="8">
        <f t="shared" si="6"/>
        <v>667054</v>
      </c>
      <c r="AF23" s="8">
        <f t="shared" si="6"/>
        <v>580211</v>
      </c>
      <c r="AG23" s="8">
        <f t="shared" si="6"/>
        <v>-86843</v>
      </c>
      <c r="AH23" s="8">
        <f t="shared" si="6"/>
        <v>0</v>
      </c>
      <c r="AI23" s="8">
        <f t="shared" si="6"/>
        <v>4398</v>
      </c>
      <c r="AJ23" s="8">
        <f t="shared" si="6"/>
        <v>29537</v>
      </c>
      <c r="AK23" s="8">
        <f t="shared" si="6"/>
        <v>25139</v>
      </c>
      <c r="AL23" s="36">
        <f t="shared" si="6"/>
        <v>40545</v>
      </c>
      <c r="AM23" s="8">
        <f t="shared" si="6"/>
        <v>33636</v>
      </c>
      <c r="AN23" s="8">
        <f t="shared" si="6"/>
        <v>98386</v>
      </c>
      <c r="AO23" s="8">
        <f t="shared" si="6"/>
        <v>64750</v>
      </c>
      <c r="AP23" s="8">
        <f t="shared" si="6"/>
        <v>2217322</v>
      </c>
      <c r="AQ23" s="8">
        <f t="shared" si="6"/>
        <v>2583147</v>
      </c>
      <c r="AR23" s="8">
        <f t="shared" si="6"/>
        <v>2702813</v>
      </c>
      <c r="AS23" s="8">
        <f t="shared" si="6"/>
        <v>119666</v>
      </c>
      <c r="AT23" s="8"/>
      <c r="AU23" s="8"/>
      <c r="AV23" s="8"/>
      <c r="AW23" s="185" t="s">
        <v>79</v>
      </c>
    </row>
    <row r="24" ht="12.75">
      <c r="Z24" s="29"/>
    </row>
    <row r="25" ht="12.75" hidden="1"/>
  </sheetData>
  <sheetProtection/>
  <mergeCells count="16">
    <mergeCell ref="AL4:AW4"/>
    <mergeCell ref="AT5:AW5"/>
    <mergeCell ref="AH5:AK5"/>
    <mergeCell ref="AL5:AO5"/>
    <mergeCell ref="AP5:AS5"/>
    <mergeCell ref="Z5:AC5"/>
    <mergeCell ref="N4:Y4"/>
    <mergeCell ref="Z4:AK4"/>
    <mergeCell ref="AD5:AG5"/>
    <mergeCell ref="N5:Q5"/>
    <mergeCell ref="B4:M4"/>
    <mergeCell ref="R5:U5"/>
    <mergeCell ref="V5:Y5"/>
    <mergeCell ref="B5:E5"/>
    <mergeCell ref="F5:I5"/>
    <mergeCell ref="J5:M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="60" zoomScaleNormal="60" workbookViewId="0" topLeftCell="A1">
      <selection activeCell="I14" sqref="I14"/>
    </sheetView>
  </sheetViews>
  <sheetFormatPr defaultColWidth="9.140625" defaultRowHeight="12.75"/>
  <cols>
    <col min="1" max="1" width="3.7109375" style="71" customWidth="1"/>
    <col min="2" max="2" width="43.421875" style="72" customWidth="1"/>
    <col min="3" max="3" width="8.7109375" style="71" customWidth="1"/>
    <col min="4" max="4" width="10.7109375" style="71" customWidth="1"/>
    <col min="5" max="5" width="9.8515625" style="71" customWidth="1"/>
    <col min="6" max="6" width="8.00390625" style="71" customWidth="1"/>
    <col min="7" max="7" width="3.421875" style="71" customWidth="1"/>
    <col min="8" max="16384" width="9.140625" style="71" customWidth="1"/>
  </cols>
  <sheetData>
    <row r="1" spans="1:5" ht="13.5" customHeight="1">
      <c r="A1" s="195" t="s">
        <v>312</v>
      </c>
      <c r="B1" s="195"/>
      <c r="C1" s="195"/>
      <c r="D1" s="69"/>
      <c r="E1" s="70"/>
    </row>
    <row r="2" spans="1:5" ht="13.5">
      <c r="A2" s="195" t="s">
        <v>216</v>
      </c>
      <c r="B2" s="195"/>
      <c r="C2" s="195"/>
      <c r="D2" s="69"/>
      <c r="E2" s="70"/>
    </row>
    <row r="3" spans="1:5" ht="13.5">
      <c r="A3" s="147"/>
      <c r="B3" s="147"/>
      <c r="C3" s="147"/>
      <c r="D3" s="69"/>
      <c r="E3" s="70"/>
    </row>
    <row r="4" spans="1:6" ht="16.5" customHeight="1">
      <c r="A4" s="196" t="s">
        <v>119</v>
      </c>
      <c r="B4" s="196"/>
      <c r="C4" s="196"/>
      <c r="D4" s="196"/>
      <c r="E4" s="196"/>
      <c r="F4" s="196"/>
    </row>
    <row r="5" spans="1:6" ht="12.75">
      <c r="A5" s="196" t="s">
        <v>28</v>
      </c>
      <c r="B5" s="196"/>
      <c r="C5" s="196"/>
      <c r="D5" s="196"/>
      <c r="E5" s="196"/>
      <c r="F5" s="196"/>
    </row>
    <row r="6" spans="1:6" ht="26.25" customHeight="1">
      <c r="A6" s="73"/>
      <c r="B6" s="73"/>
      <c r="C6" s="73"/>
      <c r="D6" s="73"/>
      <c r="E6" s="73"/>
      <c r="F6" s="73"/>
    </row>
    <row r="7" spans="1:6" s="77" customFormat="1" ht="33" customHeight="1">
      <c r="A7" s="75" t="s">
        <v>1</v>
      </c>
      <c r="B7" s="76" t="s">
        <v>29</v>
      </c>
      <c r="C7" s="136" t="s">
        <v>112</v>
      </c>
      <c r="D7" s="137" t="s">
        <v>234</v>
      </c>
      <c r="E7" s="137" t="s">
        <v>300</v>
      </c>
      <c r="F7" s="137" t="s">
        <v>0</v>
      </c>
    </row>
    <row r="8" spans="1:6" ht="27" customHeight="1">
      <c r="A8" s="78" t="s">
        <v>2</v>
      </c>
      <c r="B8" s="79" t="s">
        <v>120</v>
      </c>
      <c r="C8" s="80">
        <f>46446+5288+46016-2000</f>
        <v>95750</v>
      </c>
      <c r="D8" s="80">
        <f>46446+5288+46016-2000</f>
        <v>95750</v>
      </c>
      <c r="E8" s="80">
        <f>95750-19960</f>
        <v>75790</v>
      </c>
      <c r="F8" s="143">
        <f aca="true" t="shared" si="0" ref="F8:F14">E8-D8</f>
        <v>-19960</v>
      </c>
    </row>
    <row r="9" spans="1:6" s="84" customFormat="1" ht="15" customHeight="1">
      <c r="A9" s="82" t="s">
        <v>3</v>
      </c>
      <c r="B9" s="79" t="s">
        <v>121</v>
      </c>
      <c r="C9" s="80">
        <v>4039</v>
      </c>
      <c r="D9" s="80">
        <v>4039</v>
      </c>
      <c r="E9" s="80">
        <v>4039</v>
      </c>
      <c r="F9" s="143">
        <f t="shared" si="0"/>
        <v>0</v>
      </c>
    </row>
    <row r="10" spans="1:6" s="84" customFormat="1" ht="15" customHeight="1">
      <c r="A10" s="85" t="s">
        <v>4</v>
      </c>
      <c r="B10" s="86" t="s">
        <v>122</v>
      </c>
      <c r="C10" s="87">
        <v>17000</v>
      </c>
      <c r="D10" s="87">
        <f>17000-8900</f>
        <v>8100</v>
      </c>
      <c r="E10" s="87">
        <f>17000-8900</f>
        <v>8100</v>
      </c>
      <c r="F10" s="142">
        <f t="shared" si="0"/>
        <v>0</v>
      </c>
    </row>
    <row r="11" spans="1:6" s="84" customFormat="1" ht="15" customHeight="1">
      <c r="A11" s="85" t="s">
        <v>5</v>
      </c>
      <c r="B11" s="86" t="s">
        <v>62</v>
      </c>
      <c r="C11" s="87">
        <v>22000</v>
      </c>
      <c r="D11" s="87">
        <v>0</v>
      </c>
      <c r="E11" s="87">
        <v>0</v>
      </c>
      <c r="F11" s="142">
        <f t="shared" si="0"/>
        <v>0</v>
      </c>
    </row>
    <row r="12" spans="1:6" s="84" customFormat="1" ht="15" customHeight="1">
      <c r="A12" s="85" t="s">
        <v>6</v>
      </c>
      <c r="B12" s="86" t="s">
        <v>232</v>
      </c>
      <c r="C12" s="87"/>
      <c r="D12" s="87">
        <v>2100</v>
      </c>
      <c r="E12" s="87">
        <v>2100</v>
      </c>
      <c r="F12" s="142">
        <f t="shared" si="0"/>
        <v>0</v>
      </c>
    </row>
    <row r="13" spans="1:6" s="84" customFormat="1" ht="27.75" customHeight="1">
      <c r="A13" s="95" t="s">
        <v>7</v>
      </c>
      <c r="B13" s="86" t="s">
        <v>301</v>
      </c>
      <c r="C13" s="87"/>
      <c r="D13" s="87"/>
      <c r="E13" s="87">
        <v>173</v>
      </c>
      <c r="F13" s="142">
        <f t="shared" si="0"/>
        <v>173</v>
      </c>
    </row>
    <row r="14" spans="1:6" s="84" customFormat="1" ht="15" customHeight="1">
      <c r="A14" s="85" t="s">
        <v>8</v>
      </c>
      <c r="B14" s="86" t="s">
        <v>233</v>
      </c>
      <c r="C14" s="87"/>
      <c r="D14" s="87">
        <v>2500</v>
      </c>
      <c r="E14" s="87">
        <v>1969</v>
      </c>
      <c r="F14" s="142">
        <f t="shared" si="0"/>
        <v>-531</v>
      </c>
    </row>
    <row r="15" spans="2:6" s="88" customFormat="1" ht="15" customHeight="1">
      <c r="B15" s="89" t="s">
        <v>14</v>
      </c>
      <c r="C15" s="90">
        <f>SUM(C8:C14)</f>
        <v>138789</v>
      </c>
      <c r="D15" s="90">
        <f>SUM(D8:D14)</f>
        <v>112489</v>
      </c>
      <c r="E15" s="90">
        <f>SUM(E8:E14)</f>
        <v>92171</v>
      </c>
      <c r="F15" s="90">
        <f>SUM(F8:F14)</f>
        <v>-20318</v>
      </c>
    </row>
    <row r="16" spans="3:5" ht="27" customHeight="1">
      <c r="C16" s="70"/>
      <c r="D16" s="70"/>
      <c r="E16" s="70"/>
    </row>
    <row r="17" spans="1:5" s="88" customFormat="1" ht="15" customHeight="1">
      <c r="A17" s="88" t="s">
        <v>30</v>
      </c>
      <c r="B17" s="76" t="s">
        <v>123</v>
      </c>
      <c r="C17" s="94"/>
      <c r="D17" s="94"/>
      <c r="E17" s="94"/>
    </row>
    <row r="18" spans="1:6" ht="15" customHeight="1">
      <c r="A18" s="95" t="s">
        <v>2</v>
      </c>
      <c r="B18" s="86" t="s">
        <v>124</v>
      </c>
      <c r="C18" s="87">
        <f>151293+12489-82306</f>
        <v>81476</v>
      </c>
      <c r="D18" s="87">
        <f>151293+12489-82306</f>
        <v>81476</v>
      </c>
      <c r="E18" s="87">
        <f>151293+12489-82306</f>
        <v>81476</v>
      </c>
      <c r="F18" s="142">
        <f aca="true" t="shared" si="1" ref="F18:F24">E18-D18</f>
        <v>0</v>
      </c>
    </row>
    <row r="19" spans="1:6" ht="15" customHeight="1">
      <c r="A19" s="85" t="s">
        <v>3</v>
      </c>
      <c r="B19" s="86" t="s">
        <v>125</v>
      </c>
      <c r="C19" s="87">
        <v>200000</v>
      </c>
      <c r="D19" s="87">
        <v>200000</v>
      </c>
      <c r="E19" s="87">
        <v>165700</v>
      </c>
      <c r="F19" s="142">
        <f t="shared" si="1"/>
        <v>-34300</v>
      </c>
    </row>
    <row r="20" spans="1:6" ht="15" customHeight="1">
      <c r="A20" s="95" t="s">
        <v>4</v>
      </c>
      <c r="B20" s="86" t="s">
        <v>126</v>
      </c>
      <c r="C20" s="87">
        <v>3554</v>
      </c>
      <c r="D20" s="87">
        <f>3554-174+8931</f>
        <v>12311</v>
      </c>
      <c r="E20" s="87">
        <f>3554-174+8931-2580</f>
        <v>9731</v>
      </c>
      <c r="F20" s="142">
        <f t="shared" si="1"/>
        <v>-2580</v>
      </c>
    </row>
    <row r="21" spans="1:6" ht="15" customHeight="1">
      <c r="A21" s="85" t="s">
        <v>5</v>
      </c>
      <c r="B21" s="86" t="s">
        <v>55</v>
      </c>
      <c r="C21" s="87">
        <v>5802</v>
      </c>
      <c r="D21" s="87">
        <v>5802</v>
      </c>
      <c r="E21" s="87">
        <v>5802</v>
      </c>
      <c r="F21" s="142">
        <f t="shared" si="1"/>
        <v>0</v>
      </c>
    </row>
    <row r="22" spans="1:6" s="97" customFormat="1" ht="15" customHeight="1">
      <c r="A22" s="85" t="s">
        <v>6</v>
      </c>
      <c r="B22" s="86" t="s">
        <v>127</v>
      </c>
      <c r="C22" s="87">
        <v>40000</v>
      </c>
      <c r="D22" s="87">
        <v>0</v>
      </c>
      <c r="E22" s="87">
        <v>0</v>
      </c>
      <c r="F22" s="142">
        <f t="shared" si="1"/>
        <v>0</v>
      </c>
    </row>
    <row r="23" spans="1:6" ht="15" customHeight="1">
      <c r="A23" s="85" t="s">
        <v>7</v>
      </c>
      <c r="B23" s="86" t="s">
        <v>128</v>
      </c>
      <c r="C23" s="87">
        <v>7000</v>
      </c>
      <c r="D23" s="87">
        <v>7000</v>
      </c>
      <c r="E23" s="87">
        <v>7000</v>
      </c>
      <c r="F23" s="142">
        <f t="shared" si="1"/>
        <v>0</v>
      </c>
    </row>
    <row r="24" spans="1:6" s="97" customFormat="1" ht="15" customHeight="1">
      <c r="A24" s="85" t="s">
        <v>8</v>
      </c>
      <c r="B24" s="86" t="s">
        <v>129</v>
      </c>
      <c r="C24" s="87">
        <v>2540</v>
      </c>
      <c r="D24" s="87">
        <v>2540</v>
      </c>
      <c r="E24" s="87">
        <v>0</v>
      </c>
      <c r="F24" s="142">
        <f t="shared" si="1"/>
        <v>-2540</v>
      </c>
    </row>
    <row r="25" spans="1:6" ht="15" customHeight="1" hidden="1">
      <c r="A25" s="82" t="s">
        <v>9</v>
      </c>
      <c r="B25" s="79" t="s">
        <v>130</v>
      </c>
      <c r="C25" s="80">
        <v>53895</v>
      </c>
      <c r="D25" s="80">
        <v>53895</v>
      </c>
      <c r="E25" s="80">
        <v>53895</v>
      </c>
      <c r="F25" s="82">
        <v>0</v>
      </c>
    </row>
    <row r="26" spans="1:6" ht="15" customHeight="1">
      <c r="A26" s="82" t="s">
        <v>10</v>
      </c>
      <c r="B26" s="79" t="s">
        <v>218</v>
      </c>
      <c r="C26" s="80"/>
      <c r="D26" s="80">
        <v>1500</v>
      </c>
      <c r="E26" s="80">
        <v>1500</v>
      </c>
      <c r="F26" s="82">
        <v>0</v>
      </c>
    </row>
    <row r="27" spans="1:6" s="97" customFormat="1" ht="15" customHeight="1">
      <c r="A27" s="82" t="s">
        <v>11</v>
      </c>
      <c r="B27" s="79" t="s">
        <v>131</v>
      </c>
      <c r="C27" s="80">
        <v>2096</v>
      </c>
      <c r="D27" s="80">
        <v>2096</v>
      </c>
      <c r="E27" s="80">
        <v>2096</v>
      </c>
      <c r="F27" s="82">
        <v>0</v>
      </c>
    </row>
    <row r="28" spans="2:6" s="88" customFormat="1" ht="15" customHeight="1">
      <c r="B28" s="89" t="s">
        <v>14</v>
      </c>
      <c r="C28" s="90">
        <f>SUM(C18:C27)</f>
        <v>396363</v>
      </c>
      <c r="D28" s="90">
        <f>SUM(D18:D27)</f>
        <v>366620</v>
      </c>
      <c r="E28" s="90">
        <f>SUM(E18:E27)</f>
        <v>327200</v>
      </c>
      <c r="F28" s="90">
        <f>SUM(F18:F27)</f>
        <v>-39420</v>
      </c>
    </row>
    <row r="29" spans="2:5" ht="26.25" customHeight="1">
      <c r="B29" s="98"/>
      <c r="C29" s="81"/>
      <c r="D29" s="81"/>
      <c r="E29" s="81"/>
    </row>
    <row r="30" spans="1:5" s="88" customFormat="1" ht="15" customHeight="1">
      <c r="A30" s="88" t="s">
        <v>18</v>
      </c>
      <c r="B30" s="76" t="s">
        <v>54</v>
      </c>
      <c r="C30" s="94"/>
      <c r="D30" s="94"/>
      <c r="E30" s="94"/>
    </row>
    <row r="31" spans="1:6" s="97" customFormat="1" ht="15" customHeight="1">
      <c r="A31" s="82" t="s">
        <v>2</v>
      </c>
      <c r="B31" s="79" t="s">
        <v>31</v>
      </c>
      <c r="C31" s="80">
        <v>1100</v>
      </c>
      <c r="D31" s="80">
        <v>1100</v>
      </c>
      <c r="E31" s="80">
        <v>1100</v>
      </c>
      <c r="F31" s="143">
        <f>E31-D31</f>
        <v>0</v>
      </c>
    </row>
    <row r="32" spans="1:6" ht="15" customHeight="1">
      <c r="A32" s="82" t="s">
        <v>3</v>
      </c>
      <c r="B32" s="79" t="s">
        <v>32</v>
      </c>
      <c r="C32" s="80">
        <v>6000</v>
      </c>
      <c r="D32" s="80">
        <v>6000</v>
      </c>
      <c r="E32" s="80">
        <v>6000</v>
      </c>
      <c r="F32" s="143">
        <f>E32-D32</f>
        <v>0</v>
      </c>
    </row>
    <row r="33" spans="1:6" ht="15" customHeight="1">
      <c r="A33" s="82" t="s">
        <v>4</v>
      </c>
      <c r="B33" s="79" t="s">
        <v>17</v>
      </c>
      <c r="C33" s="80">
        <v>1350</v>
      </c>
      <c r="D33" s="80">
        <v>1350</v>
      </c>
      <c r="E33" s="80">
        <v>1350</v>
      </c>
      <c r="F33" s="143">
        <f>E33-D33</f>
        <v>0</v>
      </c>
    </row>
    <row r="34" spans="1:6" s="84" customFormat="1" ht="15" customHeight="1">
      <c r="A34" s="85" t="s">
        <v>5</v>
      </c>
      <c r="B34" s="86" t="s">
        <v>231</v>
      </c>
      <c r="C34" s="87"/>
      <c r="D34" s="87">
        <v>8900</v>
      </c>
      <c r="E34" s="87">
        <v>8900</v>
      </c>
      <c r="F34" s="142">
        <f>E34-D34</f>
        <v>0</v>
      </c>
    </row>
    <row r="35" spans="2:6" s="88" customFormat="1" ht="15" customHeight="1">
      <c r="B35" s="76" t="s">
        <v>14</v>
      </c>
      <c r="C35" s="94">
        <f>C31+C32+C33+C34</f>
        <v>8450</v>
      </c>
      <c r="D35" s="94">
        <f>D31+D32+D33+D34</f>
        <v>17350</v>
      </c>
      <c r="E35" s="94">
        <f>E31+E32+E33+E34</f>
        <v>17350</v>
      </c>
      <c r="F35" s="94">
        <f>F31+F32+F33+F34</f>
        <v>0</v>
      </c>
    </row>
    <row r="36" spans="2:5" s="88" customFormat="1" ht="28.5" customHeight="1">
      <c r="B36" s="76"/>
      <c r="C36" s="94"/>
      <c r="D36" s="94"/>
      <c r="E36" s="94"/>
    </row>
    <row r="37" spans="1:5" s="88" customFormat="1" ht="15" customHeight="1">
      <c r="A37" s="88" t="s">
        <v>20</v>
      </c>
      <c r="B37" s="76" t="s">
        <v>33</v>
      </c>
      <c r="C37" s="94"/>
      <c r="D37" s="94"/>
      <c r="E37" s="94"/>
    </row>
    <row r="38" spans="1:6" s="97" customFormat="1" ht="15" customHeight="1">
      <c r="A38" s="85" t="s">
        <v>2</v>
      </c>
      <c r="B38" s="86" t="s">
        <v>132</v>
      </c>
      <c r="C38" s="87">
        <v>105000</v>
      </c>
      <c r="D38" s="87">
        <v>105000</v>
      </c>
      <c r="E38" s="87">
        <v>105000</v>
      </c>
      <c r="F38" s="85">
        <v>0</v>
      </c>
    </row>
    <row r="39" spans="1:6" s="97" customFormat="1" ht="15" customHeight="1">
      <c r="A39" s="85" t="s">
        <v>3</v>
      </c>
      <c r="B39" s="86" t="s">
        <v>180</v>
      </c>
      <c r="C39" s="87"/>
      <c r="D39" s="87">
        <f>1108+2980+1894+7704</f>
        <v>13686</v>
      </c>
      <c r="E39" s="87">
        <f>1108+2980+1894+7704</f>
        <v>13686</v>
      </c>
      <c r="F39" s="142">
        <f>E39-D39</f>
        <v>0</v>
      </c>
    </row>
    <row r="40" spans="2:6" s="88" customFormat="1" ht="15" customHeight="1">
      <c r="B40" s="76" t="s">
        <v>14</v>
      </c>
      <c r="C40" s="94">
        <f>SUM(C38:C39)</f>
        <v>105000</v>
      </c>
      <c r="D40" s="94">
        <f>SUM(D38:D39)</f>
        <v>118686</v>
      </c>
      <c r="E40" s="94">
        <f>SUM(E38:E39)</f>
        <v>118686</v>
      </c>
      <c r="F40" s="94">
        <f>SUM(F38:F39)</f>
        <v>0</v>
      </c>
    </row>
    <row r="41" spans="3:5" ht="48" customHeight="1">
      <c r="C41" s="93"/>
      <c r="D41" s="93"/>
      <c r="E41" s="93"/>
    </row>
    <row r="42" spans="1:5" s="88" customFormat="1" ht="15" customHeight="1">
      <c r="A42" s="88" t="s">
        <v>25</v>
      </c>
      <c r="B42" s="76" t="s">
        <v>175</v>
      </c>
      <c r="C42" s="94"/>
      <c r="D42" s="94"/>
      <c r="E42" s="94"/>
    </row>
    <row r="43" spans="1:6" s="97" customFormat="1" ht="15" customHeight="1">
      <c r="A43" s="85" t="s">
        <v>2</v>
      </c>
      <c r="B43" s="86" t="s">
        <v>176</v>
      </c>
      <c r="C43" s="87"/>
      <c r="D43" s="87">
        <v>48</v>
      </c>
      <c r="E43" s="87">
        <v>48</v>
      </c>
      <c r="F43" s="142">
        <f aca="true" t="shared" si="2" ref="F43:F48">E43-D43</f>
        <v>0</v>
      </c>
    </row>
    <row r="44" spans="1:6" ht="15" customHeight="1">
      <c r="A44" s="85" t="s">
        <v>3</v>
      </c>
      <c r="B44" s="86" t="s">
        <v>177</v>
      </c>
      <c r="C44" s="87"/>
      <c r="D44" s="87">
        <v>4433</v>
      </c>
      <c r="E44" s="87">
        <v>4433</v>
      </c>
      <c r="F44" s="142">
        <f t="shared" si="2"/>
        <v>0</v>
      </c>
    </row>
    <row r="45" spans="1:6" ht="15" customHeight="1">
      <c r="A45" s="85" t="s">
        <v>4</v>
      </c>
      <c r="B45" s="86" t="s">
        <v>178</v>
      </c>
      <c r="C45" s="87"/>
      <c r="D45" s="87">
        <v>82300</v>
      </c>
      <c r="E45" s="87">
        <v>82300</v>
      </c>
      <c r="F45" s="142">
        <f t="shared" si="2"/>
        <v>0</v>
      </c>
    </row>
    <row r="46" spans="1:6" ht="15" customHeight="1">
      <c r="A46" s="85" t="s">
        <v>5</v>
      </c>
      <c r="B46" s="86" t="s">
        <v>179</v>
      </c>
      <c r="C46" s="87"/>
      <c r="D46" s="87">
        <v>174</v>
      </c>
      <c r="E46" s="87">
        <f>174+2580</f>
        <v>2754</v>
      </c>
      <c r="F46" s="142">
        <f t="shared" si="2"/>
        <v>2580</v>
      </c>
    </row>
    <row r="47" spans="1:6" ht="15" customHeight="1">
      <c r="A47" s="85" t="s">
        <v>6</v>
      </c>
      <c r="B47" s="86" t="s">
        <v>219</v>
      </c>
      <c r="C47" s="87"/>
      <c r="D47" s="87">
        <v>147320</v>
      </c>
      <c r="E47" s="87">
        <v>147320</v>
      </c>
      <c r="F47" s="142">
        <f t="shared" si="2"/>
        <v>0</v>
      </c>
    </row>
    <row r="48" spans="1:6" ht="15" customHeight="1">
      <c r="A48" s="85" t="s">
        <v>7</v>
      </c>
      <c r="B48" s="86" t="s">
        <v>302</v>
      </c>
      <c r="C48" s="87"/>
      <c r="D48" s="87">
        <v>469</v>
      </c>
      <c r="E48" s="87">
        <v>1625</v>
      </c>
      <c r="F48" s="142">
        <f t="shared" si="2"/>
        <v>1156</v>
      </c>
    </row>
    <row r="49" spans="2:6" s="88" customFormat="1" ht="15" customHeight="1">
      <c r="B49" s="76" t="s">
        <v>14</v>
      </c>
      <c r="C49" s="94">
        <f>SUM(C43:C48)</f>
        <v>0</v>
      </c>
      <c r="D49" s="94">
        <f>SUM(D43:D48)</f>
        <v>234744</v>
      </c>
      <c r="E49" s="94">
        <f>SUM(E43:E48)</f>
        <v>238480</v>
      </c>
      <c r="F49" s="94">
        <f>SUM(F43:F48)</f>
        <v>3736</v>
      </c>
    </row>
    <row r="50" spans="2:5" s="88" customFormat="1" ht="8.25" customHeight="1">
      <c r="B50" s="76"/>
      <c r="C50" s="94"/>
      <c r="D50" s="94"/>
      <c r="E50" s="94"/>
    </row>
    <row r="51" spans="2:6" ht="15" customHeight="1">
      <c r="B51" s="89" t="s">
        <v>27</v>
      </c>
      <c r="C51" s="91">
        <f>C15+C28+C35+C40+C49</f>
        <v>648602</v>
      </c>
      <c r="D51" s="91">
        <f>D15+D28+D35+D40+D49</f>
        <v>849889</v>
      </c>
      <c r="E51" s="91">
        <f>E15+E28+E35+E40+E49</f>
        <v>793887</v>
      </c>
      <c r="F51" s="91">
        <f>F15+F28+F35+F40+F49</f>
        <v>-56002</v>
      </c>
    </row>
    <row r="52" spans="3:5" ht="12.75">
      <c r="C52" s="93"/>
      <c r="D52" s="93"/>
      <c r="E52" s="93"/>
    </row>
    <row r="53" spans="2:5" ht="12.75">
      <c r="B53" s="99" t="s">
        <v>133</v>
      </c>
      <c r="C53" s="93"/>
      <c r="D53" s="93"/>
      <c r="E53" s="93"/>
    </row>
    <row r="54" spans="2:6" ht="12.75">
      <c r="B54" s="100" t="s">
        <v>134</v>
      </c>
      <c r="C54" s="101">
        <f>C51-C55</f>
        <v>484372</v>
      </c>
      <c r="D54" s="101">
        <f>D51-D55</f>
        <v>684159</v>
      </c>
      <c r="E54" s="101">
        <f>E51-E55</f>
        <v>648117</v>
      </c>
      <c r="F54" s="101">
        <f>F51-F55</f>
        <v>-36042</v>
      </c>
    </row>
    <row r="55" spans="2:7" ht="12.75">
      <c r="B55" s="102" t="s">
        <v>135</v>
      </c>
      <c r="C55" s="103">
        <f>C33+C32+C31+C27+C26+C25+C9+C8</f>
        <v>164230</v>
      </c>
      <c r="D55" s="103">
        <f>D33+D32+D31+D27+D26+D25+D9+D8</f>
        <v>165730</v>
      </c>
      <c r="E55" s="103">
        <f>E33+E32+E31+E27+E26+E25+E9+E8</f>
        <v>145770</v>
      </c>
      <c r="F55" s="103">
        <f>F33+F32+F31+F27+F26+F9+F8</f>
        <v>-19960</v>
      </c>
      <c r="G55" s="71" t="s">
        <v>79</v>
      </c>
    </row>
    <row r="56" spans="3:5" ht="12.75">
      <c r="C56" s="93"/>
      <c r="D56" s="92"/>
      <c r="E56" s="93"/>
    </row>
    <row r="57" spans="3:5" ht="12.75">
      <c r="C57" s="93"/>
      <c r="D57" s="92"/>
      <c r="E57" s="93"/>
    </row>
  </sheetData>
  <sheetProtection/>
  <mergeCells count="4">
    <mergeCell ref="A1:C1"/>
    <mergeCell ref="A2:C2"/>
    <mergeCell ref="A4:F4"/>
    <mergeCell ref="A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5"/>
  <sheetViews>
    <sheetView zoomScale="60" zoomScaleNormal="60" workbookViewId="0" topLeftCell="A67">
      <selection activeCell="I14" sqref="I14"/>
    </sheetView>
  </sheetViews>
  <sheetFormatPr defaultColWidth="9.140625" defaultRowHeight="12.75"/>
  <cols>
    <col min="1" max="1" width="4.421875" style="71" customWidth="1"/>
    <col min="2" max="2" width="44.00390625" style="72" customWidth="1"/>
    <col min="3" max="3" width="7.8515625" style="81" customWidth="1"/>
    <col min="4" max="4" width="9.7109375" style="81" customWidth="1"/>
    <col min="5" max="5" width="10.00390625" style="71" customWidth="1"/>
    <col min="6" max="6" width="8.28125" style="71" customWidth="1"/>
    <col min="7" max="7" width="2.57421875" style="71" customWidth="1"/>
    <col min="8" max="16384" width="9.140625" style="71" customWidth="1"/>
  </cols>
  <sheetData>
    <row r="1" spans="1:4" ht="13.5" customHeight="1">
      <c r="A1" s="195" t="s">
        <v>313</v>
      </c>
      <c r="B1" s="195"/>
      <c r="C1" s="195"/>
      <c r="D1" s="93"/>
    </row>
    <row r="2" spans="1:4" ht="13.5" customHeight="1">
      <c r="A2" s="195" t="s">
        <v>214</v>
      </c>
      <c r="B2" s="195"/>
      <c r="C2" s="195"/>
      <c r="D2" s="93"/>
    </row>
    <row r="3" spans="1:6" ht="22.5" customHeight="1">
      <c r="A3" s="196" t="s">
        <v>136</v>
      </c>
      <c r="B3" s="196"/>
      <c r="C3" s="196"/>
      <c r="D3" s="196"/>
      <c r="E3" s="196"/>
      <c r="F3" s="196"/>
    </row>
    <row r="4" spans="1:6" ht="33.75" customHeight="1">
      <c r="A4" s="73"/>
      <c r="B4" s="74"/>
      <c r="C4" s="137" t="s">
        <v>236</v>
      </c>
      <c r="D4" s="137" t="s">
        <v>235</v>
      </c>
      <c r="E4" s="137" t="s">
        <v>303</v>
      </c>
      <c r="F4" s="137" t="s">
        <v>0</v>
      </c>
    </row>
    <row r="5" spans="1:3" s="88" customFormat="1" ht="12.75">
      <c r="A5" s="88" t="s">
        <v>1</v>
      </c>
      <c r="B5" s="89" t="s">
        <v>137</v>
      </c>
      <c r="C5" s="94"/>
    </row>
    <row r="6" spans="1:6" ht="12.75">
      <c r="A6" s="85" t="s">
        <v>2</v>
      </c>
      <c r="B6" s="107" t="s">
        <v>56</v>
      </c>
      <c r="C6" s="104">
        <v>5802</v>
      </c>
      <c r="D6" s="104">
        <v>5802</v>
      </c>
      <c r="E6" s="104">
        <v>5802</v>
      </c>
      <c r="F6" s="104">
        <f aca="true" t="shared" si="0" ref="F6:F15">E6-D6</f>
        <v>0</v>
      </c>
    </row>
    <row r="7" spans="1:6" ht="12.75">
      <c r="A7" s="85" t="s">
        <v>3</v>
      </c>
      <c r="B7" s="107" t="s">
        <v>62</v>
      </c>
      <c r="C7" s="104">
        <v>22000</v>
      </c>
      <c r="D7" s="104">
        <v>0</v>
      </c>
      <c r="E7" s="104">
        <v>0</v>
      </c>
      <c r="F7" s="104">
        <f t="shared" si="0"/>
        <v>0</v>
      </c>
    </row>
    <row r="8" spans="1:6" ht="12.75">
      <c r="A8" s="85" t="s">
        <v>4</v>
      </c>
      <c r="B8" s="107" t="s">
        <v>138</v>
      </c>
      <c r="C8" s="104">
        <v>520</v>
      </c>
      <c r="D8" s="104">
        <v>520</v>
      </c>
      <c r="E8" s="104">
        <v>520</v>
      </c>
      <c r="F8" s="104">
        <f t="shared" si="0"/>
        <v>0</v>
      </c>
    </row>
    <row r="9" spans="1:6" ht="12.75">
      <c r="A9" s="85" t="s">
        <v>5</v>
      </c>
      <c r="B9" s="107" t="s">
        <v>139</v>
      </c>
      <c r="C9" s="104">
        <v>750</v>
      </c>
      <c r="D9" s="104">
        <v>750</v>
      </c>
      <c r="E9" s="104">
        <v>750</v>
      </c>
      <c r="F9" s="104">
        <f t="shared" si="0"/>
        <v>0</v>
      </c>
    </row>
    <row r="10" spans="1:6" s="72" customFormat="1" ht="39" customHeight="1">
      <c r="A10" s="106" t="s">
        <v>6</v>
      </c>
      <c r="B10" s="107" t="s">
        <v>140</v>
      </c>
      <c r="C10" s="108">
        <v>1875</v>
      </c>
      <c r="D10" s="108">
        <v>0</v>
      </c>
      <c r="E10" s="108">
        <v>0</v>
      </c>
      <c r="F10" s="146">
        <f t="shared" si="0"/>
        <v>0</v>
      </c>
    </row>
    <row r="11" spans="1:6" ht="12.75">
      <c r="A11" s="85" t="s">
        <v>7</v>
      </c>
      <c r="B11" s="107" t="s">
        <v>141</v>
      </c>
      <c r="C11" s="104">
        <v>1000</v>
      </c>
      <c r="D11" s="104">
        <v>1000</v>
      </c>
      <c r="E11" s="104">
        <v>1000</v>
      </c>
      <c r="F11" s="104">
        <f t="shared" si="0"/>
        <v>0</v>
      </c>
    </row>
    <row r="12" spans="1:6" ht="25.5">
      <c r="A12" s="95" t="s">
        <v>8</v>
      </c>
      <c r="B12" s="107" t="s">
        <v>229</v>
      </c>
      <c r="C12" s="104"/>
      <c r="D12" s="104">
        <v>250</v>
      </c>
      <c r="E12" s="104">
        <v>250</v>
      </c>
      <c r="F12" s="104">
        <f t="shared" si="0"/>
        <v>0</v>
      </c>
    </row>
    <row r="13" spans="1:6" ht="25.5">
      <c r="A13" s="95" t="s">
        <v>9</v>
      </c>
      <c r="B13" s="107" t="s">
        <v>142</v>
      </c>
      <c r="C13" s="104">
        <v>600</v>
      </c>
      <c r="D13" s="104">
        <v>600</v>
      </c>
      <c r="E13" s="104">
        <v>600</v>
      </c>
      <c r="F13" s="104">
        <f t="shared" si="0"/>
        <v>0</v>
      </c>
    </row>
    <row r="14" spans="1:6" ht="12.75">
      <c r="A14" s="85" t="s">
        <v>10</v>
      </c>
      <c r="B14" s="107" t="s">
        <v>174</v>
      </c>
      <c r="C14" s="104"/>
      <c r="D14" s="104">
        <v>48</v>
      </c>
      <c r="E14" s="104">
        <v>48</v>
      </c>
      <c r="F14" s="104">
        <f t="shared" si="0"/>
        <v>0</v>
      </c>
    </row>
    <row r="15" spans="1:6" ht="12.75">
      <c r="A15" s="82" t="s">
        <v>11</v>
      </c>
      <c r="B15" s="138" t="s">
        <v>67</v>
      </c>
      <c r="C15" s="109">
        <v>4000</v>
      </c>
      <c r="D15" s="109">
        <v>5000</v>
      </c>
      <c r="E15" s="109">
        <v>5000</v>
      </c>
      <c r="F15" s="109">
        <f t="shared" si="0"/>
        <v>0</v>
      </c>
    </row>
    <row r="16" spans="1:6" ht="12.75">
      <c r="A16" s="82" t="s">
        <v>12</v>
      </c>
      <c r="B16" s="138" t="s">
        <v>143</v>
      </c>
      <c r="C16" s="109">
        <v>1500</v>
      </c>
      <c r="D16" s="109">
        <v>1500</v>
      </c>
      <c r="E16" s="109">
        <v>1500</v>
      </c>
      <c r="F16" s="109">
        <v>0</v>
      </c>
    </row>
    <row r="17" spans="2:6" s="88" customFormat="1" ht="12.75">
      <c r="B17" s="89" t="s">
        <v>14</v>
      </c>
      <c r="C17" s="94">
        <f>SUM(C6:C16)</f>
        <v>38047</v>
      </c>
      <c r="D17" s="94">
        <f>SUM(D6:D16)</f>
        <v>15470</v>
      </c>
      <c r="E17" s="94">
        <f>SUM(E6:E16)</f>
        <v>15470</v>
      </c>
      <c r="F17" s="94">
        <f>SUM(F6:F16)</f>
        <v>0</v>
      </c>
    </row>
    <row r="18" spans="2:6" s="88" customFormat="1" ht="9" customHeight="1">
      <c r="B18" s="89"/>
      <c r="C18" s="94"/>
      <c r="D18" s="94"/>
      <c r="E18" s="94"/>
      <c r="F18" s="94"/>
    </row>
    <row r="19" spans="1:6" s="88" customFormat="1" ht="12.75">
      <c r="A19" s="88" t="s">
        <v>15</v>
      </c>
      <c r="B19" s="89" t="s">
        <v>16</v>
      </c>
      <c r="C19" s="94"/>
      <c r="D19" s="94"/>
      <c r="E19" s="94"/>
      <c r="F19" s="94"/>
    </row>
    <row r="20" spans="1:6" ht="12.75">
      <c r="A20" s="82" t="s">
        <v>2</v>
      </c>
      <c r="B20" s="138" t="s">
        <v>17</v>
      </c>
      <c r="C20" s="109">
        <v>1350</v>
      </c>
      <c r="D20" s="109">
        <v>1350</v>
      </c>
      <c r="E20" s="109">
        <v>1350</v>
      </c>
      <c r="F20" s="109">
        <v>0</v>
      </c>
    </row>
    <row r="21" spans="1:6" ht="12.75">
      <c r="A21" s="82" t="s">
        <v>3</v>
      </c>
      <c r="B21" s="138" t="s">
        <v>144</v>
      </c>
      <c r="C21" s="109">
        <v>1100</v>
      </c>
      <c r="D21" s="109">
        <v>1100</v>
      </c>
      <c r="E21" s="109">
        <v>1100</v>
      </c>
      <c r="F21" s="109">
        <v>0</v>
      </c>
    </row>
    <row r="22" spans="2:6" s="88" customFormat="1" ht="12.75">
      <c r="B22" s="89" t="s">
        <v>14</v>
      </c>
      <c r="C22" s="94">
        <f>SUM(C20:C21)</f>
        <v>2450</v>
      </c>
      <c r="D22" s="94">
        <f>SUM(D20:D21)</f>
        <v>2450</v>
      </c>
      <c r="E22" s="94">
        <f>SUM(E20:E21)</f>
        <v>2450</v>
      </c>
      <c r="F22" s="94">
        <f>SUM(F20:F21)</f>
        <v>0</v>
      </c>
    </row>
    <row r="23" spans="2:6" s="88" customFormat="1" ht="8.25" customHeight="1">
      <c r="B23" s="89"/>
      <c r="C23" s="94"/>
      <c r="D23" s="94"/>
      <c r="E23" s="94"/>
      <c r="F23" s="94"/>
    </row>
    <row r="24" spans="1:6" ht="12.75">
      <c r="A24" s="88" t="s">
        <v>18</v>
      </c>
      <c r="B24" s="89" t="s">
        <v>19</v>
      </c>
      <c r="C24" s="94"/>
      <c r="D24" s="94"/>
      <c r="E24" s="94"/>
      <c r="F24" s="94"/>
    </row>
    <row r="25" spans="1:6" ht="12.75" hidden="1">
      <c r="A25" s="85" t="s">
        <v>2</v>
      </c>
      <c r="B25" s="107" t="s">
        <v>145</v>
      </c>
      <c r="C25" s="104">
        <v>4000</v>
      </c>
      <c r="D25" s="104">
        <v>4000</v>
      </c>
      <c r="E25" s="104">
        <v>4000</v>
      </c>
      <c r="F25" s="104">
        <v>0</v>
      </c>
    </row>
    <row r="26" spans="1:6" s="114" customFormat="1" ht="26.25">
      <c r="A26" s="110" t="s">
        <v>3</v>
      </c>
      <c r="B26" s="111" t="s">
        <v>146</v>
      </c>
      <c r="C26" s="112">
        <v>635</v>
      </c>
      <c r="D26" s="112">
        <v>635</v>
      </c>
      <c r="E26" s="112">
        <v>635</v>
      </c>
      <c r="F26" s="112">
        <v>0</v>
      </c>
    </row>
    <row r="27" spans="1:6" s="114" customFormat="1" ht="26.25">
      <c r="A27" s="110" t="s">
        <v>4</v>
      </c>
      <c r="B27" s="111" t="s">
        <v>147</v>
      </c>
      <c r="C27" s="112">
        <v>1000</v>
      </c>
      <c r="D27" s="112">
        <v>1000</v>
      </c>
      <c r="E27" s="112">
        <v>1000</v>
      </c>
      <c r="F27" s="112">
        <v>0</v>
      </c>
    </row>
    <row r="28" spans="1:6" s="114" customFormat="1" ht="26.25">
      <c r="A28" s="110" t="s">
        <v>5</v>
      </c>
      <c r="B28" s="111" t="s">
        <v>148</v>
      </c>
      <c r="C28" s="112">
        <v>1500</v>
      </c>
      <c r="D28" s="112">
        <v>1500</v>
      </c>
      <c r="E28" s="112">
        <v>1500</v>
      </c>
      <c r="F28" s="112">
        <v>0</v>
      </c>
    </row>
    <row r="29" spans="1:6" ht="25.5">
      <c r="A29" s="95" t="s">
        <v>171</v>
      </c>
      <c r="B29" s="107" t="s">
        <v>181</v>
      </c>
      <c r="C29" s="104"/>
      <c r="D29" s="104">
        <v>22000</v>
      </c>
      <c r="E29" s="104">
        <v>22000</v>
      </c>
      <c r="F29" s="104">
        <f aca="true" t="shared" si="1" ref="F29:F34">E29-D29</f>
        <v>0</v>
      </c>
    </row>
    <row r="30" spans="1:6" s="113" customFormat="1" ht="12.75">
      <c r="A30" s="110" t="s">
        <v>7</v>
      </c>
      <c r="B30" s="115" t="s">
        <v>149</v>
      </c>
      <c r="C30" s="116">
        <v>10000</v>
      </c>
      <c r="D30" s="116">
        <v>0</v>
      </c>
      <c r="E30" s="116">
        <v>0</v>
      </c>
      <c r="F30" s="104">
        <f t="shared" si="1"/>
        <v>0</v>
      </c>
    </row>
    <row r="31" spans="1:6" s="113" customFormat="1" ht="12.75">
      <c r="A31" s="110" t="s">
        <v>8</v>
      </c>
      <c r="B31" s="115" t="s">
        <v>150</v>
      </c>
      <c r="C31" s="116">
        <v>7996</v>
      </c>
      <c r="D31" s="116">
        <v>7996</v>
      </c>
      <c r="E31" s="116">
        <f>7996-1291</f>
        <v>6705</v>
      </c>
      <c r="F31" s="104">
        <f t="shared" si="1"/>
        <v>-1291</v>
      </c>
    </row>
    <row r="32" spans="1:6" s="113" customFormat="1" ht="12.75">
      <c r="A32" s="110" t="s">
        <v>9</v>
      </c>
      <c r="B32" s="115" t="s">
        <v>151</v>
      </c>
      <c r="C32" s="116">
        <v>5077</v>
      </c>
      <c r="D32" s="116">
        <f>5077+8931</f>
        <v>14008</v>
      </c>
      <c r="E32" s="116">
        <f>5077+8931</f>
        <v>14008</v>
      </c>
      <c r="F32" s="104">
        <f t="shared" si="1"/>
        <v>0</v>
      </c>
    </row>
    <row r="33" spans="1:6" s="113" customFormat="1" ht="12.75">
      <c r="A33" s="110" t="s">
        <v>10</v>
      </c>
      <c r="B33" s="115" t="s">
        <v>220</v>
      </c>
      <c r="C33" s="116"/>
      <c r="D33" s="116">
        <v>25000</v>
      </c>
      <c r="E33" s="116">
        <f>25000-2850-1377</f>
        <v>20773</v>
      </c>
      <c r="F33" s="104">
        <f t="shared" si="1"/>
        <v>-4227</v>
      </c>
    </row>
    <row r="34" spans="1:6" s="113" customFormat="1" ht="25.5">
      <c r="A34" s="110" t="s">
        <v>11</v>
      </c>
      <c r="B34" s="115" t="s">
        <v>152</v>
      </c>
      <c r="C34" s="116">
        <v>140</v>
      </c>
      <c r="D34" s="116">
        <v>140</v>
      </c>
      <c r="E34" s="116">
        <v>140</v>
      </c>
      <c r="F34" s="104">
        <f t="shared" si="1"/>
        <v>0</v>
      </c>
    </row>
    <row r="35" spans="1:6" s="88" customFormat="1" ht="12.75">
      <c r="A35" s="71"/>
      <c r="B35" s="89" t="s">
        <v>14</v>
      </c>
      <c r="C35" s="117">
        <f>SUM(C25:C34)</f>
        <v>30348</v>
      </c>
      <c r="D35" s="117">
        <f>SUM(D25:D34)</f>
        <v>76279</v>
      </c>
      <c r="E35" s="117">
        <f>SUM(E25:E34)</f>
        <v>70761</v>
      </c>
      <c r="F35" s="117">
        <f>SUM(F25:F34)</f>
        <v>-5518</v>
      </c>
    </row>
    <row r="36" spans="2:6" s="88" customFormat="1" ht="10.5" customHeight="1">
      <c r="B36" s="89"/>
      <c r="C36" s="94"/>
      <c r="D36" s="94"/>
      <c r="E36" s="94"/>
      <c r="F36" s="94"/>
    </row>
    <row r="37" spans="1:6" ht="12.75">
      <c r="A37" s="88" t="s">
        <v>20</v>
      </c>
      <c r="B37" s="89" t="s">
        <v>153</v>
      </c>
      <c r="C37" s="94"/>
      <c r="D37" s="94"/>
      <c r="E37" s="94"/>
      <c r="F37" s="94"/>
    </row>
    <row r="38" spans="1:6" s="114" customFormat="1" ht="15.75">
      <c r="A38" s="110" t="s">
        <v>2</v>
      </c>
      <c r="B38" s="111" t="s">
        <v>22</v>
      </c>
      <c r="C38" s="112">
        <v>3000</v>
      </c>
      <c r="D38" s="112">
        <f>3000+254</f>
        <v>3254</v>
      </c>
      <c r="E38" s="112">
        <f>3000+254-873</f>
        <v>2381</v>
      </c>
      <c r="F38" s="112">
        <f aca="true" t="shared" si="2" ref="F38:F73">E38-D38</f>
        <v>-873</v>
      </c>
    </row>
    <row r="39" spans="1:6" s="114" customFormat="1" ht="15.75">
      <c r="A39" s="110" t="s">
        <v>3</v>
      </c>
      <c r="B39" s="111" t="s">
        <v>23</v>
      </c>
      <c r="C39" s="112">
        <v>2800</v>
      </c>
      <c r="D39" s="112">
        <f>2800+1850</f>
        <v>4650</v>
      </c>
      <c r="E39" s="112">
        <f>2800+1850+848</f>
        <v>5498</v>
      </c>
      <c r="F39" s="112">
        <f t="shared" si="2"/>
        <v>848</v>
      </c>
    </row>
    <row r="40" spans="1:6" s="114" customFormat="1" ht="15.75">
      <c r="A40" s="110" t="s">
        <v>4</v>
      </c>
      <c r="B40" s="111" t="s">
        <v>57</v>
      </c>
      <c r="C40" s="112">
        <v>5100</v>
      </c>
      <c r="D40" s="112">
        <v>5100</v>
      </c>
      <c r="E40" s="112">
        <v>5100</v>
      </c>
      <c r="F40" s="112">
        <f t="shared" si="2"/>
        <v>0</v>
      </c>
    </row>
    <row r="41" spans="1:6" s="113" customFormat="1" ht="12.75">
      <c r="A41" s="110" t="s">
        <v>5</v>
      </c>
      <c r="B41" s="115" t="s">
        <v>154</v>
      </c>
      <c r="C41" s="116">
        <v>889</v>
      </c>
      <c r="D41" s="116">
        <v>889</v>
      </c>
      <c r="E41" s="116">
        <v>889</v>
      </c>
      <c r="F41" s="112">
        <f t="shared" si="2"/>
        <v>0</v>
      </c>
    </row>
    <row r="42" spans="1:6" s="113" customFormat="1" ht="25.5">
      <c r="A42" s="110" t="s">
        <v>6</v>
      </c>
      <c r="B42" s="115" t="s">
        <v>155</v>
      </c>
      <c r="C42" s="116">
        <v>103484</v>
      </c>
      <c r="D42" s="116">
        <f>103484+82300</f>
        <v>185784</v>
      </c>
      <c r="E42" s="116">
        <f>103484+82300-28245</f>
        <v>157539</v>
      </c>
      <c r="F42" s="144">
        <f t="shared" si="2"/>
        <v>-28245</v>
      </c>
    </row>
    <row r="43" spans="1:6" s="113" customFormat="1" ht="38.25">
      <c r="A43" s="110" t="s">
        <v>7</v>
      </c>
      <c r="B43" s="115" t="s">
        <v>156</v>
      </c>
      <c r="C43" s="116">
        <v>326885</v>
      </c>
      <c r="D43" s="116">
        <v>326885</v>
      </c>
      <c r="E43" s="116">
        <f>326885-62587</f>
        <v>264298</v>
      </c>
      <c r="F43" s="144">
        <f t="shared" si="2"/>
        <v>-62587</v>
      </c>
    </row>
    <row r="44" spans="1:6" s="113" customFormat="1" ht="12.75">
      <c r="A44" s="110" t="s">
        <v>8</v>
      </c>
      <c r="B44" s="115" t="s">
        <v>221</v>
      </c>
      <c r="C44" s="116"/>
      <c r="D44" s="116">
        <v>1360</v>
      </c>
      <c r="E44" s="116">
        <v>1360</v>
      </c>
      <c r="F44" s="144">
        <f t="shared" si="2"/>
        <v>0</v>
      </c>
    </row>
    <row r="45" spans="1:6" s="113" customFormat="1" ht="12.75">
      <c r="A45" s="110" t="s">
        <v>9</v>
      </c>
      <c r="B45" s="115" t="s">
        <v>157</v>
      </c>
      <c r="C45" s="116">
        <f>7420+416</f>
        <v>7836</v>
      </c>
      <c r="D45" s="116">
        <f>7420+416</f>
        <v>7836</v>
      </c>
      <c r="E45" s="116">
        <f>7420+416-1130</f>
        <v>6706</v>
      </c>
      <c r="F45" s="112">
        <f t="shared" si="2"/>
        <v>-1130</v>
      </c>
    </row>
    <row r="46" spans="1:6" s="114" customFormat="1" ht="15.75">
      <c r="A46" s="110" t="s">
        <v>10</v>
      </c>
      <c r="B46" s="111" t="s">
        <v>158</v>
      </c>
      <c r="C46" s="112">
        <v>2000</v>
      </c>
      <c r="D46" s="112">
        <v>0</v>
      </c>
      <c r="E46" s="112">
        <v>0</v>
      </c>
      <c r="F46" s="112">
        <f t="shared" si="2"/>
        <v>0</v>
      </c>
    </row>
    <row r="47" spans="1:6" s="113" customFormat="1" ht="21" customHeight="1">
      <c r="A47" s="110" t="s">
        <v>11</v>
      </c>
      <c r="B47" s="115" t="s">
        <v>159</v>
      </c>
      <c r="C47" s="116">
        <v>2500</v>
      </c>
      <c r="D47" s="116">
        <v>2500</v>
      </c>
      <c r="E47" s="116">
        <v>2500</v>
      </c>
      <c r="F47" s="112">
        <f t="shared" si="2"/>
        <v>0</v>
      </c>
    </row>
    <row r="48" spans="1:6" s="113" customFormat="1" ht="15.75" customHeight="1">
      <c r="A48" s="110" t="s">
        <v>12</v>
      </c>
      <c r="B48" s="115" t="s">
        <v>160</v>
      </c>
      <c r="C48" s="116">
        <v>48231</v>
      </c>
      <c r="D48" s="116">
        <v>48231</v>
      </c>
      <c r="E48" s="116">
        <v>48231</v>
      </c>
      <c r="F48" s="112">
        <f t="shared" si="2"/>
        <v>0</v>
      </c>
    </row>
    <row r="49" spans="1:6" s="113" customFormat="1" ht="12.75">
      <c r="A49" s="110" t="s">
        <v>13</v>
      </c>
      <c r="B49" s="86" t="s">
        <v>161</v>
      </c>
      <c r="C49" s="116">
        <v>3406</v>
      </c>
      <c r="D49" s="116">
        <v>3406</v>
      </c>
      <c r="E49" s="116">
        <v>3406</v>
      </c>
      <c r="F49" s="112">
        <f t="shared" si="2"/>
        <v>0</v>
      </c>
    </row>
    <row r="50" spans="1:6" s="113" customFormat="1" ht="15.75" customHeight="1">
      <c r="A50" s="110" t="s">
        <v>24</v>
      </c>
      <c r="B50" s="115" t="s">
        <v>162</v>
      </c>
      <c r="C50" s="116">
        <v>3449</v>
      </c>
      <c r="D50" s="116">
        <v>3449</v>
      </c>
      <c r="E50" s="116">
        <v>3449</v>
      </c>
      <c r="F50" s="112">
        <f t="shared" si="2"/>
        <v>0</v>
      </c>
    </row>
    <row r="51" spans="1:6" s="113" customFormat="1" ht="12.75">
      <c r="A51" s="110" t="s">
        <v>61</v>
      </c>
      <c r="B51" s="115" t="s">
        <v>163</v>
      </c>
      <c r="C51" s="116">
        <v>36000</v>
      </c>
      <c r="D51" s="116">
        <v>0</v>
      </c>
      <c r="E51" s="116">
        <v>0</v>
      </c>
      <c r="F51" s="112">
        <f t="shared" si="2"/>
        <v>0</v>
      </c>
    </row>
    <row r="52" spans="1:6" s="113" customFormat="1" ht="12.75">
      <c r="A52" s="110" t="s">
        <v>63</v>
      </c>
      <c r="B52" s="115" t="s">
        <v>164</v>
      </c>
      <c r="C52" s="116">
        <v>4275</v>
      </c>
      <c r="D52" s="116">
        <v>4275</v>
      </c>
      <c r="E52" s="116">
        <v>4275</v>
      </c>
      <c r="F52" s="112">
        <f t="shared" si="2"/>
        <v>0</v>
      </c>
    </row>
    <row r="53" spans="1:6" s="113" customFormat="1" ht="25.5">
      <c r="A53" s="110" t="s">
        <v>64</v>
      </c>
      <c r="B53" s="86" t="s">
        <v>165</v>
      </c>
      <c r="C53" s="116">
        <v>1376</v>
      </c>
      <c r="D53" s="116">
        <v>1376</v>
      </c>
      <c r="E53" s="116">
        <v>1376</v>
      </c>
      <c r="F53" s="112">
        <f t="shared" si="2"/>
        <v>0</v>
      </c>
    </row>
    <row r="54" spans="1:6" s="113" customFormat="1" ht="12.75">
      <c r="A54" s="110" t="s">
        <v>65</v>
      </c>
      <c r="B54" s="86" t="s">
        <v>226</v>
      </c>
      <c r="C54" s="116"/>
      <c r="D54" s="116">
        <v>12000</v>
      </c>
      <c r="E54" s="116">
        <v>12000</v>
      </c>
      <c r="F54" s="112">
        <f t="shared" si="2"/>
        <v>0</v>
      </c>
    </row>
    <row r="55" spans="1:6" s="113" customFormat="1" ht="12.75">
      <c r="A55" s="110" t="s">
        <v>66</v>
      </c>
      <c r="B55" s="86" t="s">
        <v>305</v>
      </c>
      <c r="C55" s="116"/>
      <c r="D55" s="116"/>
      <c r="E55" s="116">
        <v>4699</v>
      </c>
      <c r="F55" s="112">
        <f t="shared" si="2"/>
        <v>4699</v>
      </c>
    </row>
    <row r="56" spans="1:6" s="113" customFormat="1" ht="25.5">
      <c r="A56" s="110" t="s">
        <v>68</v>
      </c>
      <c r="B56" s="86" t="s">
        <v>202</v>
      </c>
      <c r="C56" s="116"/>
      <c r="D56" s="116">
        <v>7450</v>
      </c>
      <c r="E56" s="116">
        <f>7450+25</f>
        <v>7475</v>
      </c>
      <c r="F56" s="144">
        <f t="shared" si="2"/>
        <v>25</v>
      </c>
    </row>
    <row r="57" spans="1:6" s="113" customFormat="1" ht="12.75">
      <c r="A57" s="110" t="s">
        <v>187</v>
      </c>
      <c r="B57" s="86" t="s">
        <v>227</v>
      </c>
      <c r="C57" s="116"/>
      <c r="D57" s="116">
        <v>150</v>
      </c>
      <c r="E57" s="116">
        <v>150</v>
      </c>
      <c r="F57" s="144">
        <f t="shared" si="2"/>
        <v>0</v>
      </c>
    </row>
    <row r="58" spans="1:6" s="113" customFormat="1" ht="29.25" customHeight="1">
      <c r="A58" s="110" t="s">
        <v>188</v>
      </c>
      <c r="B58" s="115" t="s">
        <v>193</v>
      </c>
      <c r="C58" s="116"/>
      <c r="D58" s="116">
        <v>178</v>
      </c>
      <c r="E58" s="116">
        <v>178</v>
      </c>
      <c r="F58" s="144">
        <f t="shared" si="2"/>
        <v>0</v>
      </c>
    </row>
    <row r="59" spans="1:6" s="113" customFormat="1" ht="25.5">
      <c r="A59" s="110" t="s">
        <v>189</v>
      </c>
      <c r="B59" s="115" t="s">
        <v>182</v>
      </c>
      <c r="C59" s="116"/>
      <c r="D59" s="116">
        <v>930</v>
      </c>
      <c r="E59" s="116">
        <v>952</v>
      </c>
      <c r="F59" s="144">
        <f t="shared" si="2"/>
        <v>22</v>
      </c>
    </row>
    <row r="60" spans="1:6" s="113" customFormat="1" ht="26.25" customHeight="1">
      <c r="A60" s="110" t="s">
        <v>190</v>
      </c>
      <c r="B60" s="115" t="s">
        <v>183</v>
      </c>
      <c r="C60" s="116"/>
      <c r="D60" s="116">
        <v>127</v>
      </c>
      <c r="E60" s="116">
        <f>127+218</f>
        <v>345</v>
      </c>
      <c r="F60" s="144">
        <f t="shared" si="2"/>
        <v>218</v>
      </c>
    </row>
    <row r="61" spans="1:6" s="113" customFormat="1" ht="25.5">
      <c r="A61" s="110" t="s">
        <v>191</v>
      </c>
      <c r="B61" s="115" t="s">
        <v>186</v>
      </c>
      <c r="C61" s="116"/>
      <c r="D61" s="116">
        <f>4854+2500</f>
        <v>7354</v>
      </c>
      <c r="E61" s="116">
        <f>4854+2500</f>
        <v>7354</v>
      </c>
      <c r="F61" s="144">
        <f t="shared" si="2"/>
        <v>0</v>
      </c>
    </row>
    <row r="62" spans="1:6" s="113" customFormat="1" ht="25.5">
      <c r="A62" s="110" t="s">
        <v>192</v>
      </c>
      <c r="B62" s="115" t="s">
        <v>185</v>
      </c>
      <c r="C62" s="116"/>
      <c r="D62" s="116">
        <f>127+95</f>
        <v>222</v>
      </c>
      <c r="E62" s="116">
        <f>127+95+210+95</f>
        <v>527</v>
      </c>
      <c r="F62" s="144">
        <f t="shared" si="2"/>
        <v>305</v>
      </c>
    </row>
    <row r="63" spans="1:6" s="113" customFormat="1" ht="29.25" customHeight="1">
      <c r="A63" s="110" t="s">
        <v>197</v>
      </c>
      <c r="B63" s="115" t="s">
        <v>194</v>
      </c>
      <c r="C63" s="116"/>
      <c r="D63" s="116">
        <v>351</v>
      </c>
      <c r="E63" s="116">
        <v>351</v>
      </c>
      <c r="F63" s="144">
        <f t="shared" si="2"/>
        <v>0</v>
      </c>
    </row>
    <row r="64" spans="1:6" s="113" customFormat="1" ht="25.5">
      <c r="A64" s="110" t="s">
        <v>198</v>
      </c>
      <c r="B64" s="115" t="s">
        <v>195</v>
      </c>
      <c r="C64" s="116"/>
      <c r="D64" s="116">
        <f>93+760+690</f>
        <v>1543</v>
      </c>
      <c r="E64" s="116">
        <f>93+760+690-155</f>
        <v>1388</v>
      </c>
      <c r="F64" s="144">
        <f t="shared" si="2"/>
        <v>-155</v>
      </c>
    </row>
    <row r="65" spans="1:6" s="113" customFormat="1" ht="25.5">
      <c r="A65" s="110" t="s">
        <v>199</v>
      </c>
      <c r="B65" s="115" t="s">
        <v>196</v>
      </c>
      <c r="C65" s="116"/>
      <c r="D65" s="116">
        <v>150</v>
      </c>
      <c r="E65" s="116">
        <v>150</v>
      </c>
      <c r="F65" s="144">
        <f t="shared" si="2"/>
        <v>0</v>
      </c>
    </row>
    <row r="66" spans="1:6" s="113" customFormat="1" ht="25.5">
      <c r="A66" s="110" t="s">
        <v>203</v>
      </c>
      <c r="B66" s="115" t="s">
        <v>184</v>
      </c>
      <c r="C66" s="116"/>
      <c r="D66" s="116">
        <v>2223</v>
      </c>
      <c r="E66" s="116">
        <v>2253</v>
      </c>
      <c r="F66" s="144">
        <f t="shared" si="2"/>
        <v>30</v>
      </c>
    </row>
    <row r="67" spans="1:6" s="113" customFormat="1" ht="12.75">
      <c r="A67" s="119" t="s">
        <v>204</v>
      </c>
      <c r="B67" s="120" t="s">
        <v>166</v>
      </c>
      <c r="C67" s="121">
        <v>10097</v>
      </c>
      <c r="D67" s="121">
        <v>10097</v>
      </c>
      <c r="E67" s="121">
        <v>10097</v>
      </c>
      <c r="F67" s="121">
        <f t="shared" si="2"/>
        <v>0</v>
      </c>
    </row>
    <row r="68" spans="1:6" s="113" customFormat="1" ht="12.75">
      <c r="A68" s="119" t="s">
        <v>205</v>
      </c>
      <c r="B68" s="120" t="s">
        <v>167</v>
      </c>
      <c r="C68" s="121">
        <v>1588</v>
      </c>
      <c r="D68" s="121">
        <v>1588</v>
      </c>
      <c r="E68" s="121">
        <v>1588</v>
      </c>
      <c r="F68" s="121">
        <f t="shared" si="2"/>
        <v>0</v>
      </c>
    </row>
    <row r="69" spans="1:6" s="113" customFormat="1" ht="25.5">
      <c r="A69" s="119" t="s">
        <v>222</v>
      </c>
      <c r="B69" s="120" t="s">
        <v>69</v>
      </c>
      <c r="C69" s="121">
        <v>7500</v>
      </c>
      <c r="D69" s="121">
        <v>3500</v>
      </c>
      <c r="E69" s="121">
        <v>3500</v>
      </c>
      <c r="F69" s="121">
        <f t="shared" si="2"/>
        <v>0</v>
      </c>
    </row>
    <row r="70" spans="1:6" s="113" customFormat="1" ht="25.5" customHeight="1">
      <c r="A70" s="119" t="s">
        <v>223</v>
      </c>
      <c r="B70" s="120" t="s">
        <v>168</v>
      </c>
      <c r="C70" s="121">
        <v>2096</v>
      </c>
      <c r="D70" s="121">
        <v>2096</v>
      </c>
      <c r="E70" s="121">
        <v>2096</v>
      </c>
      <c r="F70" s="121">
        <f t="shared" si="2"/>
        <v>0</v>
      </c>
    </row>
    <row r="71" spans="1:6" s="113" customFormat="1" ht="12.75">
      <c r="A71" s="119" t="s">
        <v>224</v>
      </c>
      <c r="B71" s="120" t="s">
        <v>200</v>
      </c>
      <c r="C71" s="121"/>
      <c r="D71" s="121">
        <v>3800</v>
      </c>
      <c r="E71" s="121">
        <v>3800</v>
      </c>
      <c r="F71" s="121">
        <f t="shared" si="2"/>
        <v>0</v>
      </c>
    </row>
    <row r="72" spans="1:6" s="113" customFormat="1" ht="19.5" customHeight="1">
      <c r="A72" s="119" t="s">
        <v>228</v>
      </c>
      <c r="B72" s="120" t="s">
        <v>201</v>
      </c>
      <c r="C72" s="121"/>
      <c r="D72" s="121">
        <v>12000</v>
      </c>
      <c r="E72" s="121">
        <v>12000</v>
      </c>
      <c r="F72" s="121">
        <f t="shared" si="2"/>
        <v>0</v>
      </c>
    </row>
    <row r="73" spans="1:6" s="113" customFormat="1" ht="19.5" customHeight="1">
      <c r="A73" s="119" t="s">
        <v>304</v>
      </c>
      <c r="B73" s="120" t="s">
        <v>218</v>
      </c>
      <c r="C73" s="121"/>
      <c r="D73" s="121">
        <v>2300</v>
      </c>
      <c r="E73" s="121">
        <v>2300</v>
      </c>
      <c r="F73" s="121">
        <f t="shared" si="2"/>
        <v>0</v>
      </c>
    </row>
    <row r="74" spans="1:6" ht="12.75">
      <c r="A74" s="122"/>
      <c r="B74" s="89" t="s">
        <v>14</v>
      </c>
      <c r="C74" s="117">
        <f>SUM(C38:C73)</f>
        <v>572512</v>
      </c>
      <c r="D74" s="117">
        <f>SUM(D38:D73)</f>
        <v>667054</v>
      </c>
      <c r="E74" s="117">
        <f>SUM(E38:E73)</f>
        <v>580211</v>
      </c>
      <c r="F74" s="117">
        <f>SUM(F38:F73)</f>
        <v>-86843</v>
      </c>
    </row>
    <row r="75" spans="2:6" s="97" customFormat="1" ht="25.5" customHeight="1">
      <c r="B75" s="89"/>
      <c r="C75" s="94"/>
      <c r="D75" s="94"/>
      <c r="E75" s="94"/>
      <c r="F75" s="94"/>
    </row>
    <row r="76" spans="1:6" ht="12.75" customHeight="1">
      <c r="A76" s="73" t="s">
        <v>25</v>
      </c>
      <c r="B76" s="76" t="s">
        <v>207</v>
      </c>
      <c r="C76" s="123"/>
      <c r="D76" s="123"/>
      <c r="E76" s="123"/>
      <c r="F76" s="123"/>
    </row>
    <row r="77" spans="1:6" s="114" customFormat="1" ht="15.75" customHeight="1">
      <c r="A77" s="145" t="s">
        <v>169</v>
      </c>
      <c r="B77" s="111" t="s">
        <v>209</v>
      </c>
      <c r="C77" s="112"/>
      <c r="D77" s="112">
        <v>3717</v>
      </c>
      <c r="E77" s="112">
        <v>3717</v>
      </c>
      <c r="F77" s="112">
        <f>E77-D77</f>
        <v>0</v>
      </c>
    </row>
    <row r="78" spans="1:6" s="114" customFormat="1" ht="15.75" customHeight="1">
      <c r="A78" s="145" t="s">
        <v>208</v>
      </c>
      <c r="B78" s="111" t="s">
        <v>170</v>
      </c>
      <c r="C78" s="112"/>
      <c r="D78" s="112">
        <v>681</v>
      </c>
      <c r="E78" s="112">
        <v>681</v>
      </c>
      <c r="F78" s="112">
        <f>E78-D78</f>
        <v>0</v>
      </c>
    </row>
    <row r="79" spans="1:6" ht="15" customHeight="1">
      <c r="A79" s="73"/>
      <c r="B79" s="76" t="s">
        <v>14</v>
      </c>
      <c r="C79" s="91">
        <f>SUM(C77:C78)</f>
        <v>0</v>
      </c>
      <c r="D79" s="91">
        <f>SUM(D77:D78)</f>
        <v>4398</v>
      </c>
      <c r="E79" s="91">
        <f>SUM(E77:E78)</f>
        <v>4398</v>
      </c>
      <c r="F79" s="91">
        <f>SUM(F77:F78)</f>
        <v>0</v>
      </c>
    </row>
    <row r="80" spans="1:6" s="88" customFormat="1" ht="12.75">
      <c r="A80" s="71"/>
      <c r="B80" s="89"/>
      <c r="C80" s="94"/>
      <c r="D80" s="94"/>
      <c r="E80" s="94"/>
      <c r="F80" s="94"/>
    </row>
    <row r="81" spans="1:6" ht="12.75" customHeight="1">
      <c r="A81" s="73" t="s">
        <v>206</v>
      </c>
      <c r="B81" s="76" t="s">
        <v>211</v>
      </c>
      <c r="C81" s="123"/>
      <c r="D81" s="123"/>
      <c r="E81" s="123"/>
      <c r="F81" s="123"/>
    </row>
    <row r="82" spans="1:6" s="114" customFormat="1" ht="15.75" customHeight="1">
      <c r="A82" s="145" t="s">
        <v>169</v>
      </c>
      <c r="B82" s="111" t="s">
        <v>212</v>
      </c>
      <c r="C82" s="112"/>
      <c r="D82" s="112">
        <v>35</v>
      </c>
      <c r="E82" s="112">
        <v>35</v>
      </c>
      <c r="F82" s="112">
        <f>E82-D82</f>
        <v>0</v>
      </c>
    </row>
    <row r="83" spans="1:6" ht="15" customHeight="1">
      <c r="A83" s="73"/>
      <c r="B83" s="76" t="s">
        <v>14</v>
      </c>
      <c r="C83" s="91">
        <f>SUM(C82:C82)</f>
        <v>0</v>
      </c>
      <c r="D83" s="91">
        <f>SUM(D82:D82)</f>
        <v>35</v>
      </c>
      <c r="E83" s="91">
        <f>SUM(E82:E82)</f>
        <v>35</v>
      </c>
      <c r="F83" s="91">
        <f>SUM(F82:F82)</f>
        <v>0</v>
      </c>
    </row>
    <row r="84" spans="1:6" s="88" customFormat="1" ht="12.75">
      <c r="A84" s="71"/>
      <c r="B84" s="89"/>
      <c r="C84" s="94"/>
      <c r="D84" s="94"/>
      <c r="E84" s="94"/>
      <c r="F84" s="94"/>
    </row>
    <row r="85" spans="1:6" ht="12.75" customHeight="1">
      <c r="A85" s="73" t="s">
        <v>210</v>
      </c>
      <c r="B85" s="76" t="s">
        <v>26</v>
      </c>
      <c r="C85" s="123"/>
      <c r="D85" s="123"/>
      <c r="E85" s="123"/>
      <c r="F85" s="123"/>
    </row>
    <row r="86" spans="1:6" s="114" customFormat="1" ht="15.75" customHeight="1">
      <c r="A86" s="124" t="s">
        <v>169</v>
      </c>
      <c r="B86" s="139" t="s">
        <v>170</v>
      </c>
      <c r="C86" s="125">
        <v>5245</v>
      </c>
      <c r="D86" s="125">
        <f>5245+15537-12000-4000-1000-1850-1360+1875+2000-150-250-430-3617</f>
        <v>0</v>
      </c>
      <c r="E86" s="125">
        <f>5245+15537-12000-4000-1000-1850-1360+1875+2000-150-250-430-3617</f>
        <v>0</v>
      </c>
      <c r="F86" s="125">
        <f>E86-D86</f>
        <v>0</v>
      </c>
    </row>
    <row r="87" spans="1:6" s="114" customFormat="1" ht="15.75" customHeight="1">
      <c r="A87" s="145" t="s">
        <v>208</v>
      </c>
      <c r="B87" s="111" t="s">
        <v>225</v>
      </c>
      <c r="C87" s="112"/>
      <c r="D87" s="112">
        <f>147320-140000</f>
        <v>7320</v>
      </c>
      <c r="E87" s="112">
        <f>7320-4699</f>
        <v>2621</v>
      </c>
      <c r="F87" s="112">
        <f>E87-D87</f>
        <v>-4699</v>
      </c>
    </row>
    <row r="88" spans="1:6" ht="15" customHeight="1">
      <c r="A88" s="73"/>
      <c r="B88" s="76" t="s">
        <v>14</v>
      </c>
      <c r="C88" s="91">
        <f>SUM(C86:C87)</f>
        <v>5245</v>
      </c>
      <c r="D88" s="91">
        <f>SUM(D86:D87)</f>
        <v>7320</v>
      </c>
      <c r="E88" s="91">
        <f>SUM(E86:E87)</f>
        <v>2621</v>
      </c>
      <c r="F88" s="91">
        <f>SUM(F86:F87)</f>
        <v>-4699</v>
      </c>
    </row>
    <row r="89" spans="1:6" s="88" customFormat="1" ht="12.75">
      <c r="A89" s="71"/>
      <c r="B89" s="89"/>
      <c r="C89" s="94"/>
      <c r="D89" s="94"/>
      <c r="E89" s="94"/>
      <c r="F89" s="94"/>
    </row>
    <row r="90" spans="1:6" s="88" customFormat="1" ht="12.75">
      <c r="A90" s="71"/>
      <c r="B90" s="89" t="s">
        <v>27</v>
      </c>
      <c r="C90" s="94">
        <f>C17+C79+C74+C35+C22+C83+C88</f>
        <v>648602</v>
      </c>
      <c r="D90" s="94">
        <f>D17+D79+D74+D35+D22+D83+D88</f>
        <v>773006</v>
      </c>
      <c r="E90" s="94">
        <f>E17+E79+E74+E35+E22+E83+E88</f>
        <v>675946</v>
      </c>
      <c r="F90" s="94">
        <f>F17+F79+F74+F35+F22+F83+F88</f>
        <v>-97060</v>
      </c>
    </row>
    <row r="91" spans="1:6" s="88" customFormat="1" ht="27" customHeight="1">
      <c r="A91" s="71"/>
      <c r="B91" s="89" t="s">
        <v>133</v>
      </c>
      <c r="C91" s="94"/>
      <c r="D91" s="94"/>
      <c r="E91" s="94"/>
      <c r="F91" s="94"/>
    </row>
    <row r="92" spans="2:6" ht="15.75" customHeight="1">
      <c r="B92" s="140" t="s">
        <v>134</v>
      </c>
      <c r="C92" s="126">
        <f>C90-C93</f>
        <v>614126</v>
      </c>
      <c r="D92" s="126">
        <f>D90-D93</f>
        <v>728675</v>
      </c>
      <c r="E92" s="126">
        <f>E90-E93</f>
        <v>631615</v>
      </c>
      <c r="F92" s="126">
        <f>F90-F93</f>
        <v>-97060</v>
      </c>
    </row>
    <row r="93" spans="2:7" ht="19.5" customHeight="1">
      <c r="B93" s="141" t="s">
        <v>135</v>
      </c>
      <c r="C93" s="127">
        <f>C72+C73+C71+C68+C67+C69+C70+C86+C21+C20+C16+C15</f>
        <v>34476</v>
      </c>
      <c r="D93" s="127">
        <f>D72+D73+D71+D68+D67+D69+D70+D86+D21+D20+D16+D15</f>
        <v>44331</v>
      </c>
      <c r="E93" s="127">
        <f>E72+E73+E71+E68+E67+E69+E70+E86+E21+E20+E16+E15</f>
        <v>44331</v>
      </c>
      <c r="F93" s="127">
        <f>F72+F73+F71+F68+F67+F69+F70+F86+F21+F20+F16+F15</f>
        <v>0</v>
      </c>
      <c r="G93" s="71" t="s">
        <v>79</v>
      </c>
    </row>
    <row r="94" ht="11.25" customHeight="1"/>
    <row r="95" ht="11.25" customHeight="1"/>
    <row r="96" ht="11.25" customHeight="1"/>
    <row r="97" ht="13.5" customHeight="1"/>
    <row r="99" ht="12.75">
      <c r="D99" s="128"/>
    </row>
    <row r="100" spans="2:4" ht="12.75">
      <c r="B100" s="89"/>
      <c r="C100" s="94"/>
      <c r="D100" s="105"/>
    </row>
    <row r="101" ht="12.75">
      <c r="D101" s="105"/>
    </row>
    <row r="102" ht="12.75">
      <c r="D102" s="105"/>
    </row>
    <row r="103" ht="12.75">
      <c r="D103" s="105"/>
    </row>
    <row r="104" ht="12.75">
      <c r="D104" s="105"/>
    </row>
    <row r="105" ht="12.75">
      <c r="D105" s="105"/>
    </row>
    <row r="106" ht="12.75">
      <c r="D106" s="118"/>
    </row>
    <row r="107" ht="12.75">
      <c r="D107" s="105"/>
    </row>
    <row r="108" ht="12.75">
      <c r="D108" s="118"/>
    </row>
    <row r="109" ht="12.75">
      <c r="D109" s="118"/>
    </row>
    <row r="110" ht="12.75">
      <c r="D110" s="118"/>
    </row>
    <row r="111" ht="12.75">
      <c r="D111" s="118"/>
    </row>
    <row r="112" ht="12.75">
      <c r="D112" s="118"/>
    </row>
    <row r="113" ht="12.75">
      <c r="D113" s="118"/>
    </row>
    <row r="114" ht="12.75">
      <c r="D114" s="118"/>
    </row>
    <row r="115" ht="12.75">
      <c r="D115" s="118"/>
    </row>
    <row r="116" ht="12.75">
      <c r="D116" s="118"/>
    </row>
    <row r="117" ht="12.75">
      <c r="D117" s="118"/>
    </row>
    <row r="118" ht="12.75">
      <c r="D118" s="118"/>
    </row>
    <row r="119" ht="12.75">
      <c r="D119" s="118"/>
    </row>
    <row r="120" ht="12.75">
      <c r="D120" s="118"/>
    </row>
    <row r="121" ht="12.75">
      <c r="D121" s="118"/>
    </row>
    <row r="122" ht="12.75">
      <c r="D122" s="118"/>
    </row>
    <row r="123" spans="3:4" ht="12.75">
      <c r="C123" s="70"/>
      <c r="D123" s="118"/>
    </row>
    <row r="124" spans="3:4" ht="12.75">
      <c r="C124" s="70"/>
      <c r="D124" s="118"/>
    </row>
    <row r="125" spans="3:4" ht="12.75">
      <c r="C125" s="70"/>
      <c r="D125" s="118"/>
    </row>
    <row r="126" ht="12.75">
      <c r="C126" s="70"/>
    </row>
    <row r="127" spans="1:4" s="97" customFormat="1" ht="13.5">
      <c r="A127" s="71"/>
      <c r="B127" s="72"/>
      <c r="C127" s="70"/>
      <c r="D127" s="96"/>
    </row>
    <row r="128" spans="1:4" s="88" customFormat="1" ht="12.75">
      <c r="A128" s="71"/>
      <c r="B128" s="72"/>
      <c r="C128" s="70"/>
      <c r="D128" s="91"/>
    </row>
    <row r="129" spans="1:4" s="84" customFormat="1" ht="12.75">
      <c r="A129" s="71"/>
      <c r="B129" s="72"/>
      <c r="C129" s="70"/>
      <c r="D129" s="83"/>
    </row>
    <row r="130" spans="3:4" ht="12.75">
      <c r="C130" s="70"/>
      <c r="D130" s="93"/>
    </row>
    <row r="131" spans="3:4" ht="12.75">
      <c r="C131" s="70"/>
      <c r="D131" s="93"/>
    </row>
    <row r="132" spans="3:4" ht="12.75">
      <c r="C132" s="70"/>
      <c r="D132" s="93"/>
    </row>
    <row r="133" spans="3:4" ht="12.75">
      <c r="C133" s="70"/>
      <c r="D133" s="93"/>
    </row>
    <row r="134" spans="3:4" ht="12.75">
      <c r="C134" s="70"/>
      <c r="D134" s="93"/>
    </row>
    <row r="135" spans="3:4" ht="12.75">
      <c r="C135" s="70"/>
      <c r="D135" s="93"/>
    </row>
    <row r="136" spans="3:4" ht="12.75">
      <c r="C136" s="70"/>
      <c r="D136" s="93"/>
    </row>
    <row r="137" spans="1:4" ht="12.75">
      <c r="A137" s="77"/>
      <c r="C137" s="70"/>
      <c r="D137" s="93"/>
    </row>
    <row r="138" spans="1:4" ht="12.75">
      <c r="A138" s="77"/>
      <c r="C138" s="70"/>
      <c r="D138" s="93"/>
    </row>
    <row r="139" spans="3:4" ht="12.75">
      <c r="C139" s="70"/>
      <c r="D139" s="93"/>
    </row>
    <row r="140" spans="3:4" ht="12.75">
      <c r="C140" s="70"/>
      <c r="D140" s="93"/>
    </row>
    <row r="141" spans="1:4" ht="12.75">
      <c r="A141" s="88"/>
      <c r="B141" s="89"/>
      <c r="C141" s="91"/>
      <c r="D141" s="93"/>
    </row>
    <row r="142" ht="12.75">
      <c r="D142" s="93"/>
    </row>
    <row r="143" ht="12.75">
      <c r="D143" s="93"/>
    </row>
    <row r="144" spans="2:4" s="88" customFormat="1" ht="12.75">
      <c r="B144" s="89"/>
      <c r="C144" s="94"/>
      <c r="D144" s="91"/>
    </row>
    <row r="145" ht="12.75">
      <c r="D145" s="118"/>
    </row>
    <row r="146" ht="12.75">
      <c r="D146" s="118"/>
    </row>
    <row r="147" spans="2:4" s="88" customFormat="1" ht="12.75">
      <c r="B147" s="89"/>
      <c r="C147" s="81"/>
      <c r="D147" s="94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spans="2:3" ht="12.75">
      <c r="B156" s="89"/>
      <c r="C156" s="94"/>
    </row>
    <row r="157" ht="12.75">
      <c r="B157" s="89"/>
    </row>
    <row r="158" ht="12.75">
      <c r="C158" s="94"/>
    </row>
    <row r="159" spans="1:2" ht="12.75">
      <c r="A159" s="88"/>
      <c r="B159" s="89"/>
    </row>
    <row r="161" ht="12.75">
      <c r="C161" s="94"/>
    </row>
    <row r="162" spans="1:3" ht="12.75">
      <c r="A162" s="88"/>
      <c r="B162" s="89"/>
      <c r="C162" s="94"/>
    </row>
    <row r="163" spans="1:2" ht="12.75">
      <c r="A163" s="88"/>
      <c r="B163" s="89"/>
    </row>
    <row r="164" ht="12.75">
      <c r="C164" s="94"/>
    </row>
    <row r="165" spans="1:3" ht="12.75">
      <c r="A165" s="88"/>
      <c r="B165" s="89"/>
      <c r="C165" s="93"/>
    </row>
    <row r="166" spans="2:3" ht="12.75">
      <c r="B166" s="98"/>
      <c r="C166" s="93"/>
    </row>
    <row r="167" spans="2:3" ht="12.75">
      <c r="B167" s="98"/>
      <c r="C167" s="93"/>
    </row>
    <row r="168" spans="2:3" ht="12.75">
      <c r="B168" s="98"/>
      <c r="C168" s="93"/>
    </row>
    <row r="169" spans="2:3" ht="12.75">
      <c r="B169" s="98"/>
      <c r="C169" s="93"/>
    </row>
    <row r="170" spans="2:3" ht="12.75">
      <c r="B170" s="98"/>
      <c r="C170" s="93"/>
    </row>
    <row r="171" spans="2:3" ht="12.75">
      <c r="B171" s="98"/>
      <c r="C171" s="93"/>
    </row>
    <row r="172" spans="2:3" ht="12.75">
      <c r="B172" s="98"/>
      <c r="C172" s="93"/>
    </row>
    <row r="173" spans="2:3" ht="12.75">
      <c r="B173" s="98"/>
      <c r="C173" s="93"/>
    </row>
    <row r="174" ht="12.75">
      <c r="B174" s="98"/>
    </row>
    <row r="181" ht="12.75">
      <c r="C181" s="94"/>
    </row>
    <row r="182" ht="12.75">
      <c r="B182" s="89"/>
    </row>
    <row r="183" ht="12.75">
      <c r="C183" s="94"/>
    </row>
    <row r="184" spans="1:2" ht="12.75">
      <c r="A184" s="88"/>
      <c r="B184" s="89"/>
    </row>
    <row r="187" ht="12.75">
      <c r="C187" s="94"/>
    </row>
    <row r="189" ht="12.75">
      <c r="C189" s="94"/>
    </row>
    <row r="190" spans="1:3" ht="12.75">
      <c r="A190" s="88"/>
      <c r="B190" s="89"/>
      <c r="C190" s="93"/>
    </row>
    <row r="191" ht="12.75">
      <c r="B191" s="98"/>
    </row>
    <row r="192" ht="12.75">
      <c r="C192" s="94"/>
    </row>
    <row r="193" spans="1:2" ht="12.75">
      <c r="A193" s="88"/>
      <c r="B193" s="89"/>
    </row>
    <row r="194" ht="12.75">
      <c r="C194" s="94"/>
    </row>
    <row r="195" spans="1:2" ht="12.75">
      <c r="A195" s="88"/>
      <c r="B195" s="89"/>
    </row>
  </sheetData>
  <sheetProtection/>
  <mergeCells count="3">
    <mergeCell ref="A1:C1"/>
    <mergeCell ref="A3:F3"/>
    <mergeCell ref="A2:C2"/>
  </mergeCells>
  <printOptions/>
  <pageMargins left="0.7874015748031497" right="0.7874015748031497" top="1.1023622047244095" bottom="1.1811023622047245" header="0.7874015748031497" footer="0.90551181102362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</dc:creator>
  <cp:keywords/>
  <dc:description/>
  <cp:lastModifiedBy>Otthon</cp:lastModifiedBy>
  <cp:lastPrinted>2015-05-18T13:06:15Z</cp:lastPrinted>
  <dcterms:created xsi:type="dcterms:W3CDTF">2009-10-21T11:24:54Z</dcterms:created>
  <dcterms:modified xsi:type="dcterms:W3CDTF">2015-10-05T13:16:07Z</dcterms:modified>
  <cp:category/>
  <cp:version/>
  <cp:contentType/>
  <cp:contentStatus/>
</cp:coreProperties>
</file>