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Ügyek\Nagyréde 2018\Szűcsi\Költségvetés\"/>
    </mc:Choice>
  </mc:AlternateContent>
  <bookViews>
    <workbookView xWindow="0" yWindow="0" windowWidth="17970" windowHeight="5940" tabRatio="746" firstSheet="5" activeTab="9"/>
  </bookViews>
  <sheets>
    <sheet name="1.melléklet-Összevont mérleg" sheetId="17" r:id="rId1"/>
    <sheet name="2.melléklÖnkormányzati összesen" sheetId="13" r:id="rId2"/>
    <sheet name="3mell-Önkormányzat bev és kiadá" sheetId="18" r:id="rId3"/>
    <sheet name="4mell-Önkormányzat Bevétel" sheetId="19" r:id="rId4"/>
    <sheet name="5mell-Normatíva" sheetId="1" r:id="rId5"/>
    <sheet name="6mellékletKözhatalmi bevételek" sheetId="2" r:id="rId6"/>
    <sheet name="7melléklet Működési bevétel" sheetId="6" r:id="rId7"/>
    <sheet name="8melléklet Önkormányzat kiadás" sheetId="20" r:id="rId8"/>
    <sheet name="9melléklet Személyi jell." sheetId="15" r:id="rId9"/>
    <sheet name="10mell. Dologi kiadások" sheetId="21" r:id="rId10"/>
    <sheet name="11melléklet Települési támogatá" sheetId="22" r:id="rId11"/>
    <sheet name="12 melléklet Átadott pénzeszköz" sheetId="23" r:id="rId12"/>
    <sheet name="13mellBeruházások felújítások" sheetId="12" r:id="rId13"/>
    <sheet name="14mellIntézményi összesített" sheetId="3" r:id="rId14"/>
    <sheet name="15mell Óvoda" sheetId="10" r:id="rId15"/>
    <sheet name="16 mell Ei felhaszn" sheetId="26" r:id="rId16"/>
    <sheet name="17 mellEngedélyezett létszám" sheetId="24" r:id="rId17"/>
    <sheet name="18 mell Közvetett tám" sheetId="25" r:id="rId18"/>
    <sheet name="19mell Adósságot kel" sheetId="27" r:id="rId19"/>
    <sheet name="20 mell Kötelezettség" sheetId="28" r:id="rId20"/>
  </sheets>
  <externalReferences>
    <externalReference r:id="rId21"/>
  </externalReferences>
  <definedNames>
    <definedName name="_xlnm.Print_Titles" localSheetId="7">'8melléklet Önkormányzat kiadás'!$A:$J</definedName>
    <definedName name="_xlnm.Print_Area" localSheetId="9">'10mell. Dologi kiadások'!$A$1:$AG$66</definedName>
    <definedName name="_xlnm.Print_Area" localSheetId="6">'7melléklet Működési bevétel'!$A$1:$C$16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L15" i="26"/>
  <c r="I15" i="26"/>
  <c r="G15" i="26"/>
  <c r="D15" i="26"/>
  <c r="C15" i="26"/>
  <c r="H13" i="13"/>
  <c r="C10" i="13"/>
  <c r="C16" i="13" s="1"/>
  <c r="I22" i="19"/>
  <c r="O20" i="18"/>
  <c r="B16" i="17"/>
  <c r="H12" i="17"/>
  <c r="D12" i="17"/>
  <c r="F12" i="17"/>
  <c r="B12" i="17"/>
  <c r="H21" i="13"/>
  <c r="H20" i="13"/>
  <c r="C21" i="13"/>
  <c r="E20" i="13"/>
  <c r="C20" i="13"/>
  <c r="Y83" i="20"/>
  <c r="Y81" i="20"/>
  <c r="Y80" i="20" s="1"/>
  <c r="Z81" i="20"/>
  <c r="Z80" i="20" s="1"/>
  <c r="X113" i="20"/>
  <c r="Y116" i="20"/>
  <c r="Z116" i="20" s="1"/>
  <c r="Y115" i="20"/>
  <c r="Y114" i="20"/>
  <c r="U117" i="20"/>
  <c r="V117" i="20"/>
  <c r="W117" i="20"/>
  <c r="X117" i="20"/>
  <c r="T117" i="20"/>
  <c r="S116" i="20"/>
  <c r="P117" i="20"/>
  <c r="Q117" i="20"/>
  <c r="O117" i="20"/>
  <c r="G30" i="18"/>
  <c r="J56" i="19"/>
  <c r="L59" i="20"/>
  <c r="K59" i="20"/>
  <c r="L82" i="20"/>
  <c r="N82" i="20"/>
  <c r="O82" i="20"/>
  <c r="P82" i="20"/>
  <c r="Q82" i="20"/>
  <c r="R82" i="20"/>
  <c r="K82" i="20"/>
  <c r="L83" i="20"/>
  <c r="N83" i="20"/>
  <c r="O83" i="20"/>
  <c r="P83" i="20"/>
  <c r="Q83" i="20"/>
  <c r="R83" i="20"/>
  <c r="K83" i="20"/>
  <c r="S81" i="20"/>
  <c r="L80" i="20"/>
  <c r="K80" i="20"/>
  <c r="Q98" i="20"/>
  <c r="G22" i="15"/>
  <c r="G20" i="15"/>
  <c r="G16" i="15"/>
  <c r="G21" i="15" s="1"/>
  <c r="T23" i="21"/>
  <c r="AB23" i="21"/>
  <c r="AA23" i="21"/>
  <c r="AB53" i="21"/>
  <c r="AB59" i="21"/>
  <c r="AB63" i="21" s="1"/>
  <c r="AB54" i="21"/>
  <c r="AB39" i="21"/>
  <c r="AB43" i="21"/>
  <c r="C56" i="21"/>
  <c r="C55" i="21"/>
  <c r="C52" i="21"/>
  <c r="C51" i="21"/>
  <c r="C49" i="21"/>
  <c r="C48" i="21"/>
  <c r="C47" i="21"/>
  <c r="C46" i="21"/>
  <c r="C45" i="21"/>
  <c r="C44" i="21"/>
  <c r="C42" i="21"/>
  <c r="C41" i="21"/>
  <c r="C40" i="21"/>
  <c r="C38" i="21"/>
  <c r="C37" i="21"/>
  <c r="C36" i="21"/>
  <c r="C35" i="21"/>
  <c r="C34" i="21"/>
  <c r="C33" i="21"/>
  <c r="C30" i="21"/>
  <c r="C29" i="21"/>
  <c r="C27" i="21"/>
  <c r="C26" i="21"/>
  <c r="C25" i="21"/>
  <c r="C24" i="21"/>
  <c r="C21" i="21"/>
  <c r="C20" i="21"/>
  <c r="C19" i="21"/>
  <c r="C18" i="21"/>
  <c r="C17" i="21"/>
  <c r="C16" i="21"/>
  <c r="C15" i="21"/>
  <c r="C10" i="21"/>
  <c r="C11" i="21"/>
  <c r="C12" i="21"/>
  <c r="C13" i="21"/>
  <c r="C9" i="21"/>
  <c r="AB32" i="21"/>
  <c r="AB50" i="21" s="1"/>
  <c r="AB28" i="21"/>
  <c r="AA28" i="21"/>
  <c r="AB14" i="21"/>
  <c r="AC9" i="21"/>
  <c r="AC10" i="21"/>
  <c r="AC11" i="21"/>
  <c r="AC12" i="21"/>
  <c r="AC13" i="21"/>
  <c r="AC15" i="21"/>
  <c r="AC16" i="21"/>
  <c r="AC17" i="21"/>
  <c r="AC18" i="21"/>
  <c r="AC19" i="21"/>
  <c r="AC20" i="21"/>
  <c r="AC21" i="21"/>
  <c r="AC23" i="21"/>
  <c r="AC24" i="21"/>
  <c r="AC25" i="21"/>
  <c r="AC26" i="21"/>
  <c r="AC27" i="21"/>
  <c r="AC29" i="21"/>
  <c r="AC30" i="21"/>
  <c r="AC33" i="21"/>
  <c r="AC34" i="21"/>
  <c r="AC35" i="21"/>
  <c r="AC36" i="21"/>
  <c r="AC37" i="21"/>
  <c r="AC38" i="21"/>
  <c r="AC40" i="21"/>
  <c r="AC41" i="21"/>
  <c r="AC42" i="21"/>
  <c r="AC44" i="21"/>
  <c r="AC45" i="21"/>
  <c r="AC46" i="21"/>
  <c r="AC47" i="21"/>
  <c r="AC48" i="21"/>
  <c r="AC49" i="21"/>
  <c r="AC51" i="21"/>
  <c r="AC52" i="21"/>
  <c r="AC55" i="21"/>
  <c r="AC56" i="21"/>
  <c r="AC57" i="21"/>
  <c r="AC58" i="21"/>
  <c r="AC60" i="21"/>
  <c r="AC61" i="21"/>
  <c r="AC62" i="21"/>
  <c r="AB8" i="21"/>
  <c r="E28" i="21"/>
  <c r="F28" i="21"/>
  <c r="G28" i="21"/>
  <c r="H28" i="21"/>
  <c r="I28" i="21"/>
  <c r="J28" i="21"/>
  <c r="K28" i="21"/>
  <c r="J78" i="10"/>
  <c r="J36" i="10"/>
  <c r="J69" i="10"/>
  <c r="J108" i="10"/>
  <c r="C10" i="23"/>
  <c r="I112" i="10"/>
  <c r="I111" i="10"/>
  <c r="I109" i="10"/>
  <c r="I108" i="10"/>
  <c r="I10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9" i="10"/>
  <c r="I60" i="10"/>
  <c r="I61" i="10"/>
  <c r="I62" i="10"/>
  <c r="I63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7" i="10"/>
  <c r="E17" i="24"/>
  <c r="F17" i="24"/>
  <c r="G17" i="24"/>
  <c r="H17" i="24"/>
  <c r="I17" i="24"/>
  <c r="D17" i="24"/>
  <c r="H10" i="24"/>
  <c r="E10" i="24"/>
  <c r="F10" i="24"/>
  <c r="G10" i="24"/>
  <c r="I10" i="24"/>
  <c r="J10" i="24"/>
  <c r="D10" i="24"/>
  <c r="J111" i="10"/>
  <c r="K112" i="10"/>
  <c r="K111" i="10"/>
  <c r="K109" i="10"/>
  <c r="K108" i="10"/>
  <c r="K107" i="10"/>
  <c r="K27" i="10"/>
  <c r="K28" i="10"/>
  <c r="K29" i="10"/>
  <c r="K30" i="10"/>
  <c r="K32" i="10"/>
  <c r="K33" i="10"/>
  <c r="K34" i="10"/>
  <c r="K35" i="10"/>
  <c r="K36" i="10"/>
  <c r="K37" i="10"/>
  <c r="K40" i="10"/>
  <c r="K42" i="10"/>
  <c r="K43" i="10"/>
  <c r="K46" i="10"/>
  <c r="K47" i="10"/>
  <c r="K48" i="10"/>
  <c r="K50" i="10"/>
  <c r="K51" i="10"/>
  <c r="K52" i="10"/>
  <c r="K53" i="10"/>
  <c r="K55" i="10"/>
  <c r="K56" i="10"/>
  <c r="K57" i="10"/>
  <c r="K59" i="10"/>
  <c r="K60" i="10"/>
  <c r="K61" i="10"/>
  <c r="K62" i="10"/>
  <c r="K63" i="10"/>
  <c r="K65" i="10"/>
  <c r="K66" i="10"/>
  <c r="K68" i="10"/>
  <c r="K69" i="10"/>
  <c r="K70" i="10"/>
  <c r="K71" i="10"/>
  <c r="K73" i="10"/>
  <c r="K74" i="10"/>
  <c r="K75" i="10"/>
  <c r="K76" i="10"/>
  <c r="K77" i="10"/>
  <c r="K80" i="10"/>
  <c r="K81" i="10"/>
  <c r="K82" i="10"/>
  <c r="K83" i="10"/>
  <c r="K84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100" i="10"/>
  <c r="K101" i="10"/>
  <c r="K102" i="10"/>
  <c r="K103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1" i="10"/>
  <c r="K7" i="10"/>
  <c r="C8" i="6"/>
  <c r="F39" i="1"/>
  <c r="F47" i="1"/>
  <c r="AC28" i="21" l="1"/>
  <c r="AB31" i="21"/>
  <c r="AB22" i="21"/>
  <c r="C8" i="21"/>
  <c r="C10" i="24"/>
  <c r="C17" i="24"/>
  <c r="O55" i="20"/>
  <c r="F8" i="21"/>
  <c r="G8" i="21"/>
  <c r="H8" i="21"/>
  <c r="I8" i="21"/>
  <c r="E8" i="21"/>
  <c r="AB64" i="21" l="1"/>
  <c r="M80" i="20" s="1"/>
  <c r="S80" i="20" s="1"/>
  <c r="D16" i="3"/>
  <c r="D17" i="3"/>
  <c r="D14" i="3"/>
  <c r="H16" i="15" l="1"/>
  <c r="C7" i="22"/>
  <c r="C11" i="22" s="1"/>
  <c r="F49" i="1" l="1"/>
  <c r="I14" i="19" s="1"/>
  <c r="F33" i="1"/>
  <c r="C14" i="23"/>
  <c r="C13" i="23" s="1"/>
  <c r="C16" i="23"/>
  <c r="I21" i="19"/>
  <c r="F43" i="1"/>
  <c r="I13" i="19"/>
  <c r="F32" i="1"/>
  <c r="F29" i="1"/>
  <c r="F13" i="1"/>
  <c r="F23" i="1" s="1"/>
  <c r="I11" i="19" s="1"/>
  <c r="E112" i="10" l="1"/>
  <c r="F37" i="1"/>
  <c r="I12" i="19" s="1"/>
  <c r="F50" i="1" l="1"/>
  <c r="D15" i="2"/>
  <c r="D6" i="2"/>
  <c r="D10" i="2"/>
  <c r="D14" i="2" s="1"/>
  <c r="D19" i="2" l="1"/>
  <c r="C11" i="25"/>
  <c r="B11" i="25"/>
  <c r="C14" i="12"/>
  <c r="C30" i="12"/>
  <c r="C25" i="12"/>
  <c r="C7" i="12"/>
  <c r="C32" i="12" l="1"/>
  <c r="G14" i="28"/>
  <c r="K14" i="28"/>
  <c r="E13" i="28"/>
  <c r="E14" i="28" s="1"/>
  <c r="F13" i="28"/>
  <c r="F14" i="28" s="1"/>
  <c r="G13" i="28"/>
  <c r="H13" i="28"/>
  <c r="H14" i="28" s="1"/>
  <c r="I13" i="28"/>
  <c r="I14" i="28" s="1"/>
  <c r="J13" i="28"/>
  <c r="J14" i="28" s="1"/>
  <c r="D13" i="28"/>
  <c r="D14" i="28" s="1"/>
  <c r="L12" i="28"/>
  <c r="L13" i="28" s="1"/>
  <c r="L14" i="28" s="1"/>
  <c r="P9" i="21"/>
  <c r="R101" i="20" l="1"/>
  <c r="K104" i="20"/>
  <c r="G26" i="18"/>
  <c r="L104" i="20" l="1"/>
  <c r="M104" i="20"/>
  <c r="N104" i="20"/>
  <c r="O104" i="20"/>
  <c r="P104" i="20"/>
  <c r="Q104" i="20"/>
  <c r="R104" i="20"/>
  <c r="S102" i="20"/>
  <c r="Q101" i="20"/>
  <c r="P101" i="20"/>
  <c r="O101" i="20"/>
  <c r="S101" i="20" s="1"/>
  <c r="N101" i="20"/>
  <c r="M101" i="20"/>
  <c r="L101" i="20"/>
  <c r="K101" i="20"/>
  <c r="C20" i="12"/>
  <c r="P56" i="20"/>
  <c r="X59" i="21"/>
  <c r="Y59" i="21"/>
  <c r="Y54" i="21"/>
  <c r="X53" i="21"/>
  <c r="Y53" i="21"/>
  <c r="X43" i="21"/>
  <c r="Y43" i="21"/>
  <c r="X39" i="21"/>
  <c r="Y39" i="21"/>
  <c r="Y32" i="21"/>
  <c r="Y28" i="21"/>
  <c r="Y23" i="21"/>
  <c r="Y14" i="21"/>
  <c r="Y8" i="21"/>
  <c r="Z9" i="21"/>
  <c r="Z10" i="21"/>
  <c r="Z11" i="21"/>
  <c r="Z12" i="21"/>
  <c r="Z13" i="21"/>
  <c r="Z15" i="21"/>
  <c r="Z16" i="21"/>
  <c r="Z17" i="21"/>
  <c r="Z18" i="21"/>
  <c r="Z19" i="21"/>
  <c r="Z20" i="21"/>
  <c r="Z21" i="21"/>
  <c r="Z24" i="21"/>
  <c r="Z25" i="21"/>
  <c r="Z26" i="21"/>
  <c r="Z27" i="21"/>
  <c r="Z29" i="21"/>
  <c r="Z30" i="21"/>
  <c r="Z33" i="21"/>
  <c r="Z34" i="21"/>
  <c r="Z35" i="21"/>
  <c r="Z36" i="21"/>
  <c r="Z37" i="21"/>
  <c r="Z38" i="21"/>
  <c r="Z40" i="21"/>
  <c r="Z41" i="21"/>
  <c r="Z42" i="21"/>
  <c r="Z44" i="21"/>
  <c r="Z45" i="21"/>
  <c r="Z46" i="21"/>
  <c r="Z47" i="21"/>
  <c r="Z48" i="21"/>
  <c r="Z49" i="21"/>
  <c r="Z51" i="21"/>
  <c r="Z52" i="21"/>
  <c r="Z55" i="21"/>
  <c r="Z56" i="21"/>
  <c r="Z57" i="21"/>
  <c r="Z58" i="21"/>
  <c r="Z60" i="21"/>
  <c r="Z61" i="21"/>
  <c r="Z62" i="21"/>
  <c r="V54" i="21"/>
  <c r="W54" i="21"/>
  <c r="X54" i="21"/>
  <c r="R32" i="21"/>
  <c r="Q32" i="21"/>
  <c r="X32" i="21"/>
  <c r="T28" i="21"/>
  <c r="W28" i="21"/>
  <c r="X28" i="21"/>
  <c r="W23" i="21"/>
  <c r="X23" i="21"/>
  <c r="W14" i="21"/>
  <c r="X14" i="21"/>
  <c r="X8" i="21"/>
  <c r="O43" i="21"/>
  <c r="I43" i="21"/>
  <c r="J43" i="21"/>
  <c r="K43" i="21"/>
  <c r="L43" i="21"/>
  <c r="F14" i="21"/>
  <c r="G14" i="21"/>
  <c r="H14" i="21"/>
  <c r="I14" i="21"/>
  <c r="J14" i="21"/>
  <c r="K14" i="21"/>
  <c r="E23" i="21"/>
  <c r="F23" i="21"/>
  <c r="G23" i="21"/>
  <c r="H23" i="21"/>
  <c r="I23" i="21"/>
  <c r="J23" i="21"/>
  <c r="K23" i="21"/>
  <c r="Y63" i="21" l="1"/>
  <c r="X63" i="21"/>
  <c r="Y31" i="21"/>
  <c r="X50" i="21"/>
  <c r="X31" i="21"/>
  <c r="Y22" i="21"/>
  <c r="X22" i="21"/>
  <c r="C19" i="12"/>
  <c r="C24" i="12" s="1"/>
  <c r="Y50" i="21"/>
  <c r="X64" i="21" l="1"/>
  <c r="M74" i="20" s="1"/>
  <c r="Y64" i="21"/>
  <c r="M68" i="20" s="1"/>
  <c r="C15" i="6" l="1"/>
  <c r="C13" i="28" l="1"/>
  <c r="G27" i="18"/>
  <c r="D21" i="17"/>
  <c r="B22" i="17"/>
  <c r="D22" i="17" s="1"/>
  <c r="J55" i="19"/>
  <c r="H18" i="13"/>
  <c r="F15" i="17" s="1"/>
  <c r="C11" i="13"/>
  <c r="E11" i="13" s="1"/>
  <c r="J15" i="13"/>
  <c r="L10" i="28"/>
  <c r="F10" i="28"/>
  <c r="E10" i="28"/>
  <c r="D10" i="28"/>
  <c r="C10" i="28"/>
  <c r="G34" i="27"/>
  <c r="G33" i="27"/>
  <c r="G32" i="27"/>
  <c r="G31" i="27"/>
  <c r="G30" i="27"/>
  <c r="G29" i="27"/>
  <c r="G28" i="27"/>
  <c r="F27" i="27"/>
  <c r="E27" i="27"/>
  <c r="D27" i="27"/>
  <c r="C27" i="27"/>
  <c r="G27" i="27" s="1"/>
  <c r="G26" i="27"/>
  <c r="G25" i="27"/>
  <c r="G24" i="27"/>
  <c r="G23" i="27"/>
  <c r="G22" i="27"/>
  <c r="G21" i="27"/>
  <c r="G20" i="27"/>
  <c r="F19" i="27"/>
  <c r="F35" i="27" s="1"/>
  <c r="E19" i="27"/>
  <c r="E35" i="27" s="1"/>
  <c r="D19" i="27"/>
  <c r="D35" i="27" s="1"/>
  <c r="C19" i="27"/>
  <c r="C35" i="27" s="1"/>
  <c r="G16" i="27"/>
  <c r="G15" i="27"/>
  <c r="G14" i="27"/>
  <c r="D13" i="27"/>
  <c r="E13" i="27" s="1"/>
  <c r="E12" i="27"/>
  <c r="F12" i="27" s="1"/>
  <c r="G12" i="27" s="1"/>
  <c r="D11" i="27"/>
  <c r="E11" i="27" s="1"/>
  <c r="F11" i="27" s="1"/>
  <c r="B36" i="17" l="1"/>
  <c r="B10" i="26" s="1"/>
  <c r="C10" i="26" s="1"/>
  <c r="D10" i="26" s="1"/>
  <c r="E10" i="26" s="1"/>
  <c r="F10" i="26" s="1"/>
  <c r="B18" i="26"/>
  <c r="N18" i="26" s="1"/>
  <c r="J18" i="13"/>
  <c r="F13" i="27"/>
  <c r="G13" i="27" s="1"/>
  <c r="G35" i="27"/>
  <c r="G11" i="27"/>
  <c r="G19" i="27"/>
  <c r="N10" i="26" l="1"/>
  <c r="I19" i="19" l="1"/>
  <c r="Y61" i="20"/>
  <c r="I23" i="19"/>
  <c r="J23" i="19" l="1"/>
  <c r="L105" i="20" l="1"/>
  <c r="M105" i="20"/>
  <c r="N105" i="20"/>
  <c r="O105" i="20"/>
  <c r="P105" i="20"/>
  <c r="R105" i="20"/>
  <c r="AA18" i="20"/>
  <c r="AA19" i="20"/>
  <c r="AA38" i="20"/>
  <c r="AA39" i="20"/>
  <c r="AA46" i="20"/>
  <c r="AA49" i="20"/>
  <c r="AA54" i="20"/>
  <c r="AA57" i="20"/>
  <c r="AA64" i="20"/>
  <c r="AA77" i="20"/>
  <c r="AA84" i="20"/>
  <c r="AA91" i="20"/>
  <c r="AA96" i="20"/>
  <c r="AA106" i="20"/>
  <c r="N53" i="20"/>
  <c r="K105" i="20"/>
  <c r="I9" i="15"/>
  <c r="I10" i="15"/>
  <c r="I11" i="15"/>
  <c r="I12" i="15"/>
  <c r="I13" i="15"/>
  <c r="I14" i="15"/>
  <c r="I15" i="15"/>
  <c r="I8" i="15"/>
  <c r="N76" i="20"/>
  <c r="O76" i="20"/>
  <c r="P76" i="20"/>
  <c r="Q76" i="20"/>
  <c r="R76" i="20"/>
  <c r="T76" i="20"/>
  <c r="U76" i="20"/>
  <c r="V76" i="20"/>
  <c r="W76" i="20"/>
  <c r="Y74" i="20"/>
  <c r="W73" i="20"/>
  <c r="V73" i="20"/>
  <c r="U73" i="20"/>
  <c r="T73" i="20"/>
  <c r="R73" i="20"/>
  <c r="Q73" i="20"/>
  <c r="P73" i="20"/>
  <c r="O73" i="20"/>
  <c r="N73" i="20"/>
  <c r="M73" i="20"/>
  <c r="I16" i="15" l="1"/>
  <c r="Y73" i="20"/>
  <c r="F20" i="15" l="1"/>
  <c r="F16" i="15"/>
  <c r="F21" i="15" l="1"/>
  <c r="F22" i="15" s="1"/>
  <c r="L73" i="20" l="1"/>
  <c r="K73" i="20" l="1"/>
  <c r="S74" i="20"/>
  <c r="C9" i="23"/>
  <c r="C18" i="23" s="1"/>
  <c r="N51" i="20"/>
  <c r="Q105" i="20" l="1"/>
  <c r="S73" i="20"/>
  <c r="Z74" i="20"/>
  <c r="T90" i="20"/>
  <c r="T89" i="20" s="1"/>
  <c r="U90" i="20"/>
  <c r="U89" i="20" s="1"/>
  <c r="V90" i="20"/>
  <c r="V89" i="20" s="1"/>
  <c r="W90" i="20"/>
  <c r="W89" i="20" s="1"/>
  <c r="L90" i="20"/>
  <c r="N90" i="20"/>
  <c r="N89" i="20" s="1"/>
  <c r="O90" i="20"/>
  <c r="O89" i="20" s="1"/>
  <c r="P90" i="20"/>
  <c r="P89" i="20" s="1"/>
  <c r="Q90" i="20"/>
  <c r="Q89" i="20" s="1"/>
  <c r="R90" i="20"/>
  <c r="R89" i="20" s="1"/>
  <c r="K90" i="20"/>
  <c r="Y88" i="20"/>
  <c r="Y87" i="20" s="1"/>
  <c r="Y86" i="20"/>
  <c r="Y85" i="20" s="1"/>
  <c r="S88" i="20"/>
  <c r="L87" i="20"/>
  <c r="M87" i="20"/>
  <c r="N87" i="20"/>
  <c r="O87" i="20"/>
  <c r="P87" i="20"/>
  <c r="Q87" i="20"/>
  <c r="R87" i="20"/>
  <c r="K87" i="20"/>
  <c r="L85" i="20"/>
  <c r="N85" i="20"/>
  <c r="O85" i="20"/>
  <c r="P85" i="20"/>
  <c r="Q85" i="20"/>
  <c r="R85" i="20"/>
  <c r="K85" i="20"/>
  <c r="R54" i="21"/>
  <c r="E54" i="21"/>
  <c r="F54" i="21"/>
  <c r="H54" i="21"/>
  <c r="I54" i="21"/>
  <c r="J54" i="21"/>
  <c r="K54" i="21"/>
  <c r="L54" i="21"/>
  <c r="D54" i="21"/>
  <c r="F43" i="21"/>
  <c r="G43" i="21"/>
  <c r="AA8" i="21"/>
  <c r="W8" i="21"/>
  <c r="V8" i="21"/>
  <c r="U8" i="21"/>
  <c r="T8" i="21"/>
  <c r="Z8" i="21" s="1"/>
  <c r="R8" i="21"/>
  <c r="Q8" i="21"/>
  <c r="AE8" i="21"/>
  <c r="AD8" i="21"/>
  <c r="R22" i="21"/>
  <c r="D39" i="21"/>
  <c r="AA39" i="21"/>
  <c r="V39" i="21"/>
  <c r="Z39" i="21" s="1"/>
  <c r="U39" i="21"/>
  <c r="T39" i="21"/>
  <c r="R39" i="21"/>
  <c r="Q39" i="21"/>
  <c r="AE39" i="21"/>
  <c r="AD39" i="21"/>
  <c r="O39" i="21"/>
  <c r="N39" i="21"/>
  <c r="P39" i="21" s="1"/>
  <c r="L39" i="21"/>
  <c r="K39" i="21"/>
  <c r="J39" i="21"/>
  <c r="I39" i="21"/>
  <c r="H39" i="21"/>
  <c r="G39" i="21"/>
  <c r="F39" i="21"/>
  <c r="E39" i="21"/>
  <c r="W39" i="21"/>
  <c r="N32" i="21"/>
  <c r="F32" i="21"/>
  <c r="G32" i="21"/>
  <c r="H32" i="21"/>
  <c r="I32" i="21"/>
  <c r="J32" i="21"/>
  <c r="K32" i="21"/>
  <c r="L32" i="21"/>
  <c r="C62" i="21"/>
  <c r="C61" i="21"/>
  <c r="C60" i="21"/>
  <c r="C58" i="21"/>
  <c r="C57" i="21"/>
  <c r="M10" i="21"/>
  <c r="M11" i="21"/>
  <c r="M12" i="21"/>
  <c r="M13" i="21"/>
  <c r="M15" i="21"/>
  <c r="M16" i="21"/>
  <c r="M17" i="21"/>
  <c r="M18" i="21"/>
  <c r="M19" i="21"/>
  <c r="M20" i="21"/>
  <c r="M21" i="21"/>
  <c r="M24" i="21"/>
  <c r="M25" i="21"/>
  <c r="M26" i="21"/>
  <c r="M27" i="21"/>
  <c r="M29" i="21"/>
  <c r="M30" i="21"/>
  <c r="M33" i="21"/>
  <c r="M34" i="21"/>
  <c r="M35" i="21"/>
  <c r="M36" i="21"/>
  <c r="M37" i="21"/>
  <c r="M38" i="21"/>
  <c r="M40" i="21"/>
  <c r="M41" i="21"/>
  <c r="M42" i="21"/>
  <c r="M44" i="21"/>
  <c r="M45" i="21"/>
  <c r="M46" i="21"/>
  <c r="M47" i="21"/>
  <c r="M48" i="21"/>
  <c r="M49" i="21"/>
  <c r="M51" i="21"/>
  <c r="M52" i="21"/>
  <c r="M55" i="21"/>
  <c r="M57" i="21"/>
  <c r="M58" i="21"/>
  <c r="M60" i="21"/>
  <c r="M61" i="21"/>
  <c r="M62" i="21"/>
  <c r="Y60" i="20"/>
  <c r="U60" i="20"/>
  <c r="V60" i="20"/>
  <c r="W60" i="20"/>
  <c r="T60" i="20"/>
  <c r="L60" i="20"/>
  <c r="N60" i="20"/>
  <c r="O60" i="20"/>
  <c r="P60" i="20"/>
  <c r="Q60" i="20"/>
  <c r="R60" i="20"/>
  <c r="K60" i="20"/>
  <c r="U45" i="20"/>
  <c r="V45" i="20"/>
  <c r="W45" i="20"/>
  <c r="T45" i="20"/>
  <c r="L45" i="20"/>
  <c r="N45" i="20"/>
  <c r="N109" i="20" s="1"/>
  <c r="O45" i="20"/>
  <c r="O109" i="20" s="1"/>
  <c r="P45" i="20"/>
  <c r="Q45" i="20"/>
  <c r="R45" i="20"/>
  <c r="R109" i="20" s="1"/>
  <c r="K45" i="20"/>
  <c r="T37" i="20"/>
  <c r="U37" i="20"/>
  <c r="V37" i="20"/>
  <c r="W37" i="20"/>
  <c r="N37" i="20"/>
  <c r="O37" i="20"/>
  <c r="P37" i="20"/>
  <c r="Q37" i="20"/>
  <c r="R37" i="20"/>
  <c r="Y33" i="20"/>
  <c r="Y32" i="20" s="1"/>
  <c r="W32" i="20"/>
  <c r="V32" i="20"/>
  <c r="U32" i="20"/>
  <c r="T32" i="20"/>
  <c r="R32" i="20"/>
  <c r="Q32" i="20"/>
  <c r="P32" i="20"/>
  <c r="O32" i="20"/>
  <c r="N32" i="20"/>
  <c r="L32" i="20"/>
  <c r="K32" i="20"/>
  <c r="Y31" i="20"/>
  <c r="Y30" i="20" s="1"/>
  <c r="W30" i="20"/>
  <c r="V30" i="20"/>
  <c r="U30" i="20"/>
  <c r="T30" i="20"/>
  <c r="L30" i="20"/>
  <c r="N30" i="20"/>
  <c r="O30" i="20"/>
  <c r="P30" i="20"/>
  <c r="Q30" i="20"/>
  <c r="R30" i="20"/>
  <c r="K30" i="20"/>
  <c r="S9" i="21"/>
  <c r="S10" i="21"/>
  <c r="AG10" i="21" s="1"/>
  <c r="S11" i="21"/>
  <c r="S12" i="21"/>
  <c r="S13" i="21"/>
  <c r="S15" i="21"/>
  <c r="AG15" i="21" s="1"/>
  <c r="S16" i="21"/>
  <c r="S17" i="21"/>
  <c r="S18" i="21"/>
  <c r="S19" i="21"/>
  <c r="AG19" i="21" s="1"/>
  <c r="S20" i="21"/>
  <c r="S21" i="21"/>
  <c r="S24" i="21"/>
  <c r="S25" i="21"/>
  <c r="AG25" i="21" s="1"/>
  <c r="S26" i="21"/>
  <c r="S27" i="21"/>
  <c r="S29" i="21"/>
  <c r="S30" i="21"/>
  <c r="AG30" i="21" s="1"/>
  <c r="S32" i="21"/>
  <c r="S33" i="21"/>
  <c r="S34" i="21"/>
  <c r="S35" i="21"/>
  <c r="AG35" i="21" s="1"/>
  <c r="S36" i="21"/>
  <c r="S37" i="21"/>
  <c r="S38" i="21"/>
  <c r="S40" i="21"/>
  <c r="AG40" i="21" s="1"/>
  <c r="S41" i="21"/>
  <c r="S42" i="21"/>
  <c r="S44" i="21"/>
  <c r="S45" i="21"/>
  <c r="AG45" i="21" s="1"/>
  <c r="S46" i="21"/>
  <c r="S47" i="21"/>
  <c r="S48" i="21"/>
  <c r="S49" i="21"/>
  <c r="S51" i="21"/>
  <c r="S52" i="21"/>
  <c r="S56" i="21"/>
  <c r="S57" i="21"/>
  <c r="AG57" i="21" s="1"/>
  <c r="S58" i="21"/>
  <c r="S60" i="21"/>
  <c r="S61" i="21"/>
  <c r="S62" i="21"/>
  <c r="AG62" i="21" s="1"/>
  <c r="AF9" i="21"/>
  <c r="AF10" i="21"/>
  <c r="AF11" i="21"/>
  <c r="AF12" i="21"/>
  <c r="AF13" i="21"/>
  <c r="AF15" i="21"/>
  <c r="AF16" i="21"/>
  <c r="AF17" i="21"/>
  <c r="AF18" i="21"/>
  <c r="AF19" i="21"/>
  <c r="AF20" i="21"/>
  <c r="AF21" i="21"/>
  <c r="AF24" i="21"/>
  <c r="AF25" i="21"/>
  <c r="AF26" i="21"/>
  <c r="AF27" i="21"/>
  <c r="AF29" i="21"/>
  <c r="AF30" i="21"/>
  <c r="AF33" i="21"/>
  <c r="AF34" i="21"/>
  <c r="AF35" i="21"/>
  <c r="AF36" i="21"/>
  <c r="AF37" i="21"/>
  <c r="AF38" i="21"/>
  <c r="AF40" i="21"/>
  <c r="AF41" i="21"/>
  <c r="AF42" i="21"/>
  <c r="AF44" i="21"/>
  <c r="AF45" i="21"/>
  <c r="AF46" i="21"/>
  <c r="AF47" i="21"/>
  <c r="AF48" i="21"/>
  <c r="AF49" i="21"/>
  <c r="AF51" i="21"/>
  <c r="AF52" i="21"/>
  <c r="AF55" i="21"/>
  <c r="AF57" i="21"/>
  <c r="AF58" i="21"/>
  <c r="AF60" i="21"/>
  <c r="AF61" i="21"/>
  <c r="AF62" i="21"/>
  <c r="P10" i="21"/>
  <c r="P11" i="21"/>
  <c r="P12" i="21"/>
  <c r="P13" i="21"/>
  <c r="P15" i="21"/>
  <c r="P16" i="21"/>
  <c r="P17" i="21"/>
  <c r="P18" i="21"/>
  <c r="P19" i="21"/>
  <c r="P20" i="21"/>
  <c r="P21" i="21"/>
  <c r="P24" i="21"/>
  <c r="P25" i="21"/>
  <c r="P26" i="21"/>
  <c r="P27" i="21"/>
  <c r="P29" i="21"/>
  <c r="P30" i="21"/>
  <c r="P33" i="21"/>
  <c r="P34" i="21"/>
  <c r="P35" i="21"/>
  <c r="P36" i="21"/>
  <c r="P37" i="21"/>
  <c r="P38" i="21"/>
  <c r="P40" i="21"/>
  <c r="P41" i="21"/>
  <c r="P42" i="21"/>
  <c r="P43" i="21"/>
  <c r="P44" i="21"/>
  <c r="P45" i="21"/>
  <c r="P46" i="21"/>
  <c r="P47" i="21"/>
  <c r="P48" i="21"/>
  <c r="P49" i="21"/>
  <c r="P51" i="21"/>
  <c r="P52" i="21"/>
  <c r="P55" i="21"/>
  <c r="P57" i="21"/>
  <c r="P58" i="21"/>
  <c r="P60" i="21"/>
  <c r="P61" i="21"/>
  <c r="P62" i="21"/>
  <c r="G11" i="18"/>
  <c r="I45" i="19"/>
  <c r="I43" i="19"/>
  <c r="I41" i="19"/>
  <c r="J41" i="19" s="1"/>
  <c r="I35" i="19"/>
  <c r="I34" i="19"/>
  <c r="I32" i="19"/>
  <c r="J32" i="19" s="1"/>
  <c r="I31" i="19"/>
  <c r="J31" i="19" s="1"/>
  <c r="I30" i="19"/>
  <c r="AG49" i="21" l="1"/>
  <c r="P109" i="20"/>
  <c r="AG61" i="21"/>
  <c r="AG48" i="21"/>
  <c r="AG44" i="21"/>
  <c r="AG38" i="21"/>
  <c r="AG34" i="21"/>
  <c r="AG29" i="21"/>
  <c r="AG24" i="21"/>
  <c r="AG18" i="21"/>
  <c r="AG13" i="21"/>
  <c r="AG9" i="21"/>
  <c r="AC39" i="21"/>
  <c r="AG60" i="21"/>
  <c r="AG52" i="21"/>
  <c r="AG47" i="21"/>
  <c r="AG42" i="21"/>
  <c r="AG37" i="21"/>
  <c r="AG33" i="21"/>
  <c r="AG27" i="21"/>
  <c r="AG21" i="21"/>
  <c r="AG17" i="21"/>
  <c r="AG12" i="21"/>
  <c r="AC8" i="21"/>
  <c r="AG58" i="21"/>
  <c r="AG51" i="21"/>
  <c r="AG46" i="21"/>
  <c r="AG41" i="21"/>
  <c r="AG36" i="21"/>
  <c r="AG26" i="21"/>
  <c r="AG20" i="21"/>
  <c r="AG16" i="21"/>
  <c r="AG11" i="21"/>
  <c r="Q109" i="20"/>
  <c r="W22" i="21"/>
  <c r="M39" i="21"/>
  <c r="K89" i="20"/>
  <c r="K109" i="20"/>
  <c r="L89" i="20"/>
  <c r="L109" i="20"/>
  <c r="Z73" i="20"/>
  <c r="AA73" i="20" s="1"/>
  <c r="AA74" i="20"/>
  <c r="I29" i="19"/>
  <c r="G19" i="18"/>
  <c r="S87" i="20"/>
  <c r="Y90" i="20"/>
  <c r="Y89" i="20" s="1"/>
  <c r="Z88" i="20"/>
  <c r="C39" i="21"/>
  <c r="G50" i="21"/>
  <c r="M56" i="21" s="1"/>
  <c r="I18" i="15"/>
  <c r="I19" i="15"/>
  <c r="I17" i="15"/>
  <c r="D20" i="15"/>
  <c r="E20" i="15"/>
  <c r="H20" i="15"/>
  <c r="C20" i="15"/>
  <c r="C16" i="15"/>
  <c r="D16" i="15"/>
  <c r="E16" i="15"/>
  <c r="H59" i="21"/>
  <c r="L59" i="21"/>
  <c r="K59" i="21"/>
  <c r="F59" i="21"/>
  <c r="E59" i="21"/>
  <c r="I59" i="21"/>
  <c r="J59" i="21"/>
  <c r="W59" i="21"/>
  <c r="V59" i="21"/>
  <c r="V63" i="21" s="1"/>
  <c r="U59" i="21"/>
  <c r="T59" i="21"/>
  <c r="AA59" i="21"/>
  <c r="R59" i="21"/>
  <c r="R63" i="21" s="1"/>
  <c r="Q59" i="21"/>
  <c r="AE59" i="21"/>
  <c r="AD59" i="21"/>
  <c r="O59" i="21"/>
  <c r="N59" i="21"/>
  <c r="D59" i="21"/>
  <c r="F63" i="21"/>
  <c r="U54" i="21"/>
  <c r="AE54" i="21"/>
  <c r="H53" i="21"/>
  <c r="L53" i="21"/>
  <c r="K53" i="21"/>
  <c r="F53" i="21"/>
  <c r="E53" i="21"/>
  <c r="I53" i="21"/>
  <c r="J53" i="21"/>
  <c r="W53" i="21"/>
  <c r="V53" i="21"/>
  <c r="U53" i="21"/>
  <c r="T53" i="21"/>
  <c r="AA53" i="21"/>
  <c r="R53" i="21"/>
  <c r="Q53" i="21"/>
  <c r="AE53" i="21"/>
  <c r="AD53" i="21"/>
  <c r="O53" i="21"/>
  <c r="N53" i="21"/>
  <c r="D53" i="21"/>
  <c r="C53" i="21"/>
  <c r="K50" i="21"/>
  <c r="F50" i="21"/>
  <c r="I50" i="21"/>
  <c r="R50" i="21"/>
  <c r="N50" i="21"/>
  <c r="H43" i="21"/>
  <c r="H50" i="21" s="1"/>
  <c r="E43" i="21"/>
  <c r="W43" i="21"/>
  <c r="V43" i="21"/>
  <c r="U43" i="21"/>
  <c r="T43" i="21"/>
  <c r="AA43" i="21"/>
  <c r="AC43" i="21" s="1"/>
  <c r="Q43" i="21"/>
  <c r="S43" i="21" s="1"/>
  <c r="AE43" i="21"/>
  <c r="AD43" i="21"/>
  <c r="S39" i="21"/>
  <c r="AF39" i="21"/>
  <c r="E32" i="21"/>
  <c r="M32" i="21" s="1"/>
  <c r="W32" i="21"/>
  <c r="V32" i="21"/>
  <c r="U32" i="21"/>
  <c r="T32" i="21"/>
  <c r="AA32" i="21"/>
  <c r="AE32" i="21"/>
  <c r="AD32" i="21"/>
  <c r="O32" i="21"/>
  <c r="D32" i="21"/>
  <c r="H31" i="21"/>
  <c r="K31" i="21"/>
  <c r="F31" i="21"/>
  <c r="E31" i="21"/>
  <c r="I31" i="21"/>
  <c r="J31" i="21"/>
  <c r="W31" i="21"/>
  <c r="T31" i="21"/>
  <c r="AA31" i="21"/>
  <c r="R31" i="21"/>
  <c r="N31" i="21"/>
  <c r="L28" i="21"/>
  <c r="M28" i="21" s="1"/>
  <c r="V28" i="21"/>
  <c r="U28" i="21"/>
  <c r="Z28" i="21" s="1"/>
  <c r="Q28" i="21"/>
  <c r="S28" i="21" s="1"/>
  <c r="AE28" i="21"/>
  <c r="AD28" i="21"/>
  <c r="O28" i="21"/>
  <c r="P28" i="21" s="1"/>
  <c r="D28" i="21"/>
  <c r="L23" i="21"/>
  <c r="M23" i="21" s="1"/>
  <c r="V23" i="21"/>
  <c r="V31" i="21" s="1"/>
  <c r="U23" i="21"/>
  <c r="Q23" i="21"/>
  <c r="S23" i="21" s="1"/>
  <c r="AD23" i="21"/>
  <c r="O23" i="21"/>
  <c r="P23" i="21" s="1"/>
  <c r="D23" i="21"/>
  <c r="L14" i="21"/>
  <c r="E14" i="21"/>
  <c r="V14" i="21"/>
  <c r="V22" i="21" s="1"/>
  <c r="U14" i="21"/>
  <c r="U22" i="21" s="1"/>
  <c r="T14" i="21"/>
  <c r="AA14" i="21"/>
  <c r="Q14" i="21"/>
  <c r="AE14" i="21"/>
  <c r="AE22" i="21" s="1"/>
  <c r="AD14" i="21"/>
  <c r="O14" i="21"/>
  <c r="D14" i="21"/>
  <c r="S8" i="21"/>
  <c r="AF8" i="21"/>
  <c r="AG39" i="21" l="1"/>
  <c r="Z23" i="21"/>
  <c r="AC59" i="21"/>
  <c r="AC53" i="21"/>
  <c r="Z59" i="21"/>
  <c r="AA22" i="21"/>
  <c r="AC14" i="21"/>
  <c r="AC32" i="21"/>
  <c r="Z43" i="21"/>
  <c r="Z53" i="21"/>
  <c r="AC31" i="21"/>
  <c r="Z32" i="21"/>
  <c r="T22" i="21"/>
  <c r="Z22" i="21" s="1"/>
  <c r="Z14" i="21"/>
  <c r="H21" i="15"/>
  <c r="H22" i="15" s="1"/>
  <c r="L93" i="20" s="1"/>
  <c r="Z87" i="20"/>
  <c r="AA87" i="20" s="1"/>
  <c r="AA88" i="20"/>
  <c r="E21" i="15"/>
  <c r="E22" i="15" s="1"/>
  <c r="D21" i="15"/>
  <c r="D22" i="15" s="1"/>
  <c r="I20" i="15"/>
  <c r="I21" i="15" s="1"/>
  <c r="C21" i="15"/>
  <c r="C22" i="15" s="1"/>
  <c r="U50" i="21"/>
  <c r="M59" i="21"/>
  <c r="W63" i="21"/>
  <c r="M43" i="21"/>
  <c r="M53" i="21"/>
  <c r="P14" i="21"/>
  <c r="AF14" i="21"/>
  <c r="AD22" i="21"/>
  <c r="AF59" i="21"/>
  <c r="M14" i="21"/>
  <c r="S14" i="21"/>
  <c r="Q22" i="21"/>
  <c r="S22" i="21" s="1"/>
  <c r="G54" i="21"/>
  <c r="L50" i="21"/>
  <c r="U31" i="21"/>
  <c r="Z31" i="21" s="1"/>
  <c r="O50" i="21"/>
  <c r="P50" i="21" s="1"/>
  <c r="P32" i="21"/>
  <c r="AG32" i="21" s="1"/>
  <c r="AF43" i="21"/>
  <c r="AF53" i="21"/>
  <c r="AD31" i="21"/>
  <c r="AF23" i="21"/>
  <c r="L31" i="21"/>
  <c r="M31" i="21" s="1"/>
  <c r="AF32" i="21"/>
  <c r="P53" i="21"/>
  <c r="S53" i="21"/>
  <c r="P59" i="21"/>
  <c r="S59" i="21"/>
  <c r="AE31" i="21"/>
  <c r="AF28" i="21"/>
  <c r="AG28" i="21" s="1"/>
  <c r="Q50" i="21"/>
  <c r="N54" i="21"/>
  <c r="C59" i="21"/>
  <c r="AA50" i="21"/>
  <c r="AC50" i="21" s="1"/>
  <c r="W50" i="21"/>
  <c r="E50" i="21"/>
  <c r="D31" i="21"/>
  <c r="D63" i="21"/>
  <c r="O31" i="21"/>
  <c r="P31" i="21" s="1"/>
  <c r="C32" i="21"/>
  <c r="AD50" i="21"/>
  <c r="AE63" i="21"/>
  <c r="C14" i="21"/>
  <c r="C28" i="21"/>
  <c r="U63" i="21"/>
  <c r="I63" i="21"/>
  <c r="L63" i="21"/>
  <c r="AF22" i="21"/>
  <c r="C23" i="21"/>
  <c r="AE50" i="21"/>
  <c r="V50" i="21"/>
  <c r="J63" i="21"/>
  <c r="K63" i="21"/>
  <c r="R64" i="21"/>
  <c r="M61" i="20" s="1"/>
  <c r="S61" i="20" s="1"/>
  <c r="E63" i="21"/>
  <c r="H63" i="21"/>
  <c r="O54" i="21"/>
  <c r="O63" i="21" s="1"/>
  <c r="Q31" i="21"/>
  <c r="S31" i="21" s="1"/>
  <c r="D43" i="21"/>
  <c r="D50" i="21" s="1"/>
  <c r="T50" i="21"/>
  <c r="J50" i="21"/>
  <c r="C43" i="21"/>
  <c r="C6" i="2"/>
  <c r="E55" i="1"/>
  <c r="E51" i="1"/>
  <c r="AG59" i="21" l="1"/>
  <c r="AG43" i="21"/>
  <c r="AG23" i="21"/>
  <c r="AG14" i="21"/>
  <c r="AG53" i="21"/>
  <c r="AC22" i="21"/>
  <c r="AF31" i="21"/>
  <c r="Z50" i="21"/>
  <c r="K93" i="20"/>
  <c r="I18" i="19"/>
  <c r="Z61" i="20"/>
  <c r="S60" i="20"/>
  <c r="W64" i="21"/>
  <c r="L21" i="20"/>
  <c r="L37" i="20" s="1"/>
  <c r="K21" i="20"/>
  <c r="K37" i="20" s="1"/>
  <c r="L66" i="20"/>
  <c r="L76" i="20" s="1"/>
  <c r="K66" i="20"/>
  <c r="K76" i="20" s="1"/>
  <c r="K15" i="20"/>
  <c r="K118" i="20"/>
  <c r="G63" i="21"/>
  <c r="M54" i="21"/>
  <c r="AA54" i="21"/>
  <c r="P54" i="21"/>
  <c r="M50" i="21"/>
  <c r="U64" i="21"/>
  <c r="AF50" i="21"/>
  <c r="M60" i="20"/>
  <c r="P56" i="21"/>
  <c r="S50" i="21"/>
  <c r="N63" i="21"/>
  <c r="P63" i="21" s="1"/>
  <c r="AE64" i="21"/>
  <c r="C31" i="21"/>
  <c r="V64" i="21"/>
  <c r="AD54" i="21"/>
  <c r="C50" i="21"/>
  <c r="AG50" i="21" l="1"/>
  <c r="AG31" i="21"/>
  <c r="AA63" i="21"/>
  <c r="AC54" i="21"/>
  <c r="M70" i="20"/>
  <c r="M69" i="20" s="1"/>
  <c r="M72" i="20"/>
  <c r="AA61" i="20"/>
  <c r="Z60" i="20"/>
  <c r="AA60" i="20" s="1"/>
  <c r="L15" i="20"/>
  <c r="I22" i="15"/>
  <c r="C54" i="21"/>
  <c r="M63" i="21"/>
  <c r="S55" i="21"/>
  <c r="AG55" i="21" s="1"/>
  <c r="Q54" i="21"/>
  <c r="AF54" i="21"/>
  <c r="AF56" i="21"/>
  <c r="AG56" i="21" s="1"/>
  <c r="T54" i="21"/>
  <c r="Z54" i="21" s="1"/>
  <c r="AD63" i="21"/>
  <c r="AF63" i="21" s="1"/>
  <c r="S115" i="20"/>
  <c r="S114" i="20"/>
  <c r="W113" i="20"/>
  <c r="V113" i="20"/>
  <c r="T113" i="20"/>
  <c r="R113" i="20"/>
  <c r="Q113" i="20"/>
  <c r="P113" i="20"/>
  <c r="O113" i="20"/>
  <c r="N113" i="20"/>
  <c r="M113" i="20"/>
  <c r="L113" i="20"/>
  <c r="K113" i="20"/>
  <c r="Y112" i="20"/>
  <c r="S112" i="20"/>
  <c r="S111" i="20"/>
  <c r="W110" i="20"/>
  <c r="V110" i="20"/>
  <c r="U110" i="20"/>
  <c r="R110" i="20"/>
  <c r="R117" i="20" s="1"/>
  <c r="O21" i="18" s="1"/>
  <c r="O31" i="18" s="1"/>
  <c r="Q110" i="20"/>
  <c r="P110" i="20"/>
  <c r="O110" i="20"/>
  <c r="N110" i="20"/>
  <c r="M110" i="20"/>
  <c r="L110" i="20"/>
  <c r="K110" i="20"/>
  <c r="W105" i="20"/>
  <c r="V105" i="20"/>
  <c r="U105" i="20"/>
  <c r="T105" i="20"/>
  <c r="R103" i="20"/>
  <c r="Q103" i="20"/>
  <c r="S100" i="20"/>
  <c r="Z100" i="20" s="1"/>
  <c r="Y99" i="20"/>
  <c r="W99" i="20"/>
  <c r="V99" i="20"/>
  <c r="U99" i="20"/>
  <c r="T99" i="20"/>
  <c r="R99" i="20"/>
  <c r="Q99" i="20"/>
  <c r="P99" i="20"/>
  <c r="O99" i="20"/>
  <c r="N99" i="20"/>
  <c r="M99" i="20"/>
  <c r="L99" i="20"/>
  <c r="K99" i="20"/>
  <c r="Y98" i="20"/>
  <c r="S98" i="20"/>
  <c r="W97" i="20"/>
  <c r="V97" i="20"/>
  <c r="U97" i="20"/>
  <c r="T97" i="20"/>
  <c r="R97" i="20"/>
  <c r="Q97" i="20"/>
  <c r="P97" i="20"/>
  <c r="N97" i="20"/>
  <c r="M97" i="20"/>
  <c r="L97" i="20"/>
  <c r="K97" i="20"/>
  <c r="W83" i="20"/>
  <c r="V83" i="20"/>
  <c r="U83" i="20"/>
  <c r="T83" i="20"/>
  <c r="Y79" i="20"/>
  <c r="Y78" i="20"/>
  <c r="Y82" i="20" s="1"/>
  <c r="W78" i="20"/>
  <c r="W82" i="20" s="1"/>
  <c r="V78" i="20"/>
  <c r="V82" i="20" s="1"/>
  <c r="U78" i="20"/>
  <c r="U82" i="20" s="1"/>
  <c r="T78" i="20"/>
  <c r="T82" i="20" s="1"/>
  <c r="R78" i="20"/>
  <c r="Q78" i="20"/>
  <c r="P78" i="20"/>
  <c r="N78" i="20"/>
  <c r="L78" i="20"/>
  <c r="W95" i="20"/>
  <c r="V95" i="20"/>
  <c r="U95" i="20"/>
  <c r="T95" i="20"/>
  <c r="R95" i="20"/>
  <c r="Q95" i="20"/>
  <c r="P95" i="20"/>
  <c r="O95" i="20"/>
  <c r="N95" i="20"/>
  <c r="M95" i="20"/>
  <c r="O94" i="20"/>
  <c r="Y93" i="20"/>
  <c r="Y95" i="20" s="1"/>
  <c r="L95" i="20"/>
  <c r="W92" i="20"/>
  <c r="W94" i="20" s="1"/>
  <c r="V92" i="20"/>
  <c r="V94" i="20" s="1"/>
  <c r="U92" i="20"/>
  <c r="U94" i="20" s="1"/>
  <c r="T92" i="20"/>
  <c r="T94" i="20" s="1"/>
  <c r="R92" i="20"/>
  <c r="R94" i="20" s="1"/>
  <c r="Q92" i="20"/>
  <c r="Q94" i="20" s="1"/>
  <c r="P92" i="20"/>
  <c r="P94" i="20" s="1"/>
  <c r="N92" i="20"/>
  <c r="N94" i="20" s="1"/>
  <c r="M92" i="20"/>
  <c r="M94" i="20" s="1"/>
  <c r="V75" i="20"/>
  <c r="T75" i="20"/>
  <c r="Q75" i="20"/>
  <c r="P75" i="20"/>
  <c r="O75" i="20"/>
  <c r="N75" i="20"/>
  <c r="W75" i="20"/>
  <c r="U75" i="20"/>
  <c r="R75" i="20"/>
  <c r="Y72" i="20"/>
  <c r="Y71" i="20" s="1"/>
  <c r="W71" i="20"/>
  <c r="V71" i="20"/>
  <c r="U71" i="20"/>
  <c r="T71" i="20"/>
  <c r="R71" i="20"/>
  <c r="Q71" i="20"/>
  <c r="P71" i="20"/>
  <c r="O71" i="20"/>
  <c r="N71" i="20"/>
  <c r="L71" i="20"/>
  <c r="K71" i="20"/>
  <c r="Y70" i="20"/>
  <c r="L69" i="20"/>
  <c r="K75" i="20"/>
  <c r="W69" i="20"/>
  <c r="V69" i="20"/>
  <c r="U69" i="20"/>
  <c r="T69" i="20"/>
  <c r="R69" i="20"/>
  <c r="Q69" i="20"/>
  <c r="P69" i="20"/>
  <c r="O69" i="20"/>
  <c r="N69" i="20"/>
  <c r="Y68" i="20"/>
  <c r="W67" i="20"/>
  <c r="V67" i="20"/>
  <c r="U67" i="20"/>
  <c r="T67" i="20"/>
  <c r="R67" i="20"/>
  <c r="Q67" i="20"/>
  <c r="P67" i="20"/>
  <c r="O67" i="20"/>
  <c r="N67" i="20"/>
  <c r="L67" i="20"/>
  <c r="K67" i="20"/>
  <c r="Y66" i="20"/>
  <c r="W65" i="20"/>
  <c r="V65" i="20"/>
  <c r="U65" i="20"/>
  <c r="T65" i="20"/>
  <c r="R65" i="20"/>
  <c r="Q65" i="20"/>
  <c r="P65" i="20"/>
  <c r="O65" i="20"/>
  <c r="N65" i="20"/>
  <c r="L65" i="20"/>
  <c r="K65" i="20"/>
  <c r="Y59" i="20"/>
  <c r="Y58" i="20" s="1"/>
  <c r="L58" i="20"/>
  <c r="K58" i="20"/>
  <c r="W58" i="20"/>
  <c r="V58" i="20"/>
  <c r="U58" i="20"/>
  <c r="T58" i="20"/>
  <c r="R58" i="20"/>
  <c r="Q58" i="20"/>
  <c r="P58" i="20"/>
  <c r="N58" i="20"/>
  <c r="Y56" i="20"/>
  <c r="Y55" i="20" s="1"/>
  <c r="S56" i="20"/>
  <c r="W55" i="20"/>
  <c r="V55" i="20"/>
  <c r="U55" i="20"/>
  <c r="T55" i="20"/>
  <c r="R55" i="20"/>
  <c r="Q55" i="20"/>
  <c r="P55" i="20"/>
  <c r="N55" i="20"/>
  <c r="M55" i="20"/>
  <c r="L55" i="20"/>
  <c r="K55" i="20"/>
  <c r="Y53" i="20"/>
  <c r="Y52" i="20" s="1"/>
  <c r="S53" i="20"/>
  <c r="W52" i="20"/>
  <c r="V52" i="20"/>
  <c r="U52" i="20"/>
  <c r="T52" i="20"/>
  <c r="R52" i="20"/>
  <c r="Q52" i="20"/>
  <c r="P52" i="20"/>
  <c r="O52" i="20"/>
  <c r="N52" i="20"/>
  <c r="M52" i="20"/>
  <c r="L52" i="20"/>
  <c r="K52" i="20"/>
  <c r="Y51" i="20"/>
  <c r="Y50" i="20" s="1"/>
  <c r="S51" i="20"/>
  <c r="S50" i="20" s="1"/>
  <c r="W50" i="20"/>
  <c r="V50" i="20"/>
  <c r="U50" i="20"/>
  <c r="T50" i="20"/>
  <c r="R50" i="20"/>
  <c r="Q50" i="20"/>
  <c r="P50" i="20"/>
  <c r="O50" i="20"/>
  <c r="N50" i="20"/>
  <c r="M50" i="20"/>
  <c r="L50" i="20"/>
  <c r="K50" i="20"/>
  <c r="W48" i="20"/>
  <c r="W63" i="20" s="1"/>
  <c r="V48" i="20"/>
  <c r="V47" i="20" s="1"/>
  <c r="U48" i="20"/>
  <c r="T48" i="20"/>
  <c r="R48" i="20"/>
  <c r="Q48" i="20"/>
  <c r="P48" i="20"/>
  <c r="P47" i="20" s="1"/>
  <c r="O48" i="20"/>
  <c r="O63" i="20" s="1"/>
  <c r="N48" i="20"/>
  <c r="N47" i="20" s="1"/>
  <c r="M48" i="20"/>
  <c r="M47" i="20" s="1"/>
  <c r="L48" i="20"/>
  <c r="L63" i="20" s="1"/>
  <c r="K48" i="20"/>
  <c r="R47" i="20"/>
  <c r="P44" i="20"/>
  <c r="O44" i="20"/>
  <c r="K44" i="20"/>
  <c r="V44" i="20"/>
  <c r="T44" i="20"/>
  <c r="L44" i="20"/>
  <c r="Y43" i="20"/>
  <c r="W42" i="20"/>
  <c r="V42" i="20"/>
  <c r="U42" i="20"/>
  <c r="T42" i="20"/>
  <c r="R42" i="20"/>
  <c r="Q42" i="20"/>
  <c r="P42" i="20"/>
  <c r="N42" i="20"/>
  <c r="L42" i="20"/>
  <c r="K42" i="20"/>
  <c r="Y41" i="20"/>
  <c r="Y40" i="20" s="1"/>
  <c r="W40" i="20"/>
  <c r="V40" i="20"/>
  <c r="U40" i="20"/>
  <c r="T40" i="20"/>
  <c r="R40" i="20"/>
  <c r="Q40" i="20"/>
  <c r="P40" i="20"/>
  <c r="N40" i="20"/>
  <c r="L40" i="20"/>
  <c r="K40" i="20"/>
  <c r="U36" i="20"/>
  <c r="Y34" i="20"/>
  <c r="W34" i="20"/>
  <c r="W36" i="20" s="1"/>
  <c r="V34" i="20"/>
  <c r="V36" i="20" s="1"/>
  <c r="U34" i="20"/>
  <c r="T34" i="20"/>
  <c r="T36" i="20" s="1"/>
  <c r="R34" i="20"/>
  <c r="R36" i="20" s="1"/>
  <c r="Q34" i="20"/>
  <c r="Q36" i="20" s="1"/>
  <c r="P34" i="20"/>
  <c r="P36" i="20" s="1"/>
  <c r="O34" i="20"/>
  <c r="O36" i="20" s="1"/>
  <c r="N34" i="20"/>
  <c r="N36" i="20" s="1"/>
  <c r="L34" i="20"/>
  <c r="K34" i="20"/>
  <c r="Y29" i="20"/>
  <c r="Y28" i="20" s="1"/>
  <c r="W28" i="20"/>
  <c r="V28" i="20"/>
  <c r="U28" i="20"/>
  <c r="T28" i="20"/>
  <c r="R28" i="20"/>
  <c r="Q28" i="20"/>
  <c r="P28" i="20"/>
  <c r="O28" i="20"/>
  <c r="N28" i="20"/>
  <c r="L28" i="20"/>
  <c r="K28" i="20"/>
  <c r="Y27" i="20"/>
  <c r="Y26" i="20" s="1"/>
  <c r="W26" i="20"/>
  <c r="V26" i="20"/>
  <c r="U26" i="20"/>
  <c r="T26" i="20"/>
  <c r="R26" i="20"/>
  <c r="Q26" i="20"/>
  <c r="P26" i="20"/>
  <c r="O26" i="20"/>
  <c r="N26" i="20"/>
  <c r="L26" i="20"/>
  <c r="K26" i="20"/>
  <c r="Y25" i="20"/>
  <c r="Y24" i="20" s="1"/>
  <c r="W24" i="20"/>
  <c r="V24" i="20"/>
  <c r="U24" i="20"/>
  <c r="T24" i="20"/>
  <c r="R24" i="20"/>
  <c r="Q24" i="20"/>
  <c r="P24" i="20"/>
  <c r="O24" i="20"/>
  <c r="N24" i="20"/>
  <c r="L24" i="20"/>
  <c r="K24" i="20"/>
  <c r="Y23" i="20"/>
  <c r="Y22" i="20" s="1"/>
  <c r="W22" i="20"/>
  <c r="V22" i="20"/>
  <c r="U22" i="20"/>
  <c r="T22" i="20"/>
  <c r="R22" i="20"/>
  <c r="Q22" i="20"/>
  <c r="P22" i="20"/>
  <c r="O22" i="20"/>
  <c r="N22" i="20"/>
  <c r="L22" i="20"/>
  <c r="K22" i="20"/>
  <c r="Y21" i="20"/>
  <c r="L36" i="20"/>
  <c r="W20" i="20"/>
  <c r="V20" i="20"/>
  <c r="U20" i="20"/>
  <c r="T20" i="20"/>
  <c r="R20" i="20"/>
  <c r="Q20" i="20"/>
  <c r="P20" i="20"/>
  <c r="O20" i="20"/>
  <c r="N20" i="20"/>
  <c r="L20" i="20"/>
  <c r="W17" i="20"/>
  <c r="W16" i="20" s="1"/>
  <c r="V17" i="20"/>
  <c r="V16" i="20" s="1"/>
  <c r="U17" i="20"/>
  <c r="U16" i="20" s="1"/>
  <c r="T17" i="20"/>
  <c r="R17" i="20"/>
  <c r="Q17" i="20"/>
  <c r="Q16" i="20" s="1"/>
  <c r="P17" i="20"/>
  <c r="O17" i="20"/>
  <c r="N17" i="20"/>
  <c r="N16" i="20" s="1"/>
  <c r="Y15" i="20"/>
  <c r="Y17" i="20" s="1"/>
  <c r="Y16" i="20" s="1"/>
  <c r="L17" i="20"/>
  <c r="K17" i="20"/>
  <c r="W14" i="20"/>
  <c r="V14" i="20"/>
  <c r="U14" i="20"/>
  <c r="T14" i="20"/>
  <c r="R14" i="20"/>
  <c r="Q14" i="20"/>
  <c r="P14" i="20"/>
  <c r="O14" i="20"/>
  <c r="N14" i="20"/>
  <c r="J54" i="19"/>
  <c r="J50" i="19"/>
  <c r="C15" i="13" s="1"/>
  <c r="E15" i="13" s="1"/>
  <c r="J49" i="19"/>
  <c r="C14" i="13" s="1"/>
  <c r="J45" i="19"/>
  <c r="G23" i="18" s="1"/>
  <c r="J44" i="19"/>
  <c r="G22" i="18" s="1"/>
  <c r="J43" i="19"/>
  <c r="G21" i="18" s="1"/>
  <c r="I36" i="19"/>
  <c r="J35" i="19"/>
  <c r="G15" i="18" s="1"/>
  <c r="J34" i="19"/>
  <c r="J33" i="19" s="1"/>
  <c r="G14" i="18" s="1"/>
  <c r="I33" i="19"/>
  <c r="J21" i="19"/>
  <c r="J20" i="19"/>
  <c r="J19" i="19"/>
  <c r="J16" i="19"/>
  <c r="J15" i="19"/>
  <c r="G25" i="18"/>
  <c r="AA64" i="21" l="1"/>
  <c r="AC63" i="21"/>
  <c r="C63" i="21"/>
  <c r="L118" i="20"/>
  <c r="F55" i="1"/>
  <c r="R16" i="20"/>
  <c r="O16" i="20"/>
  <c r="O108" i="20"/>
  <c r="P16" i="20"/>
  <c r="Z99" i="20"/>
  <c r="AA100" i="20"/>
  <c r="L108" i="20"/>
  <c r="K16" i="20"/>
  <c r="J53" i="19"/>
  <c r="B13" i="17"/>
  <c r="Y37" i="20"/>
  <c r="Y76" i="20"/>
  <c r="L16" i="20"/>
  <c r="W103" i="20"/>
  <c r="W109" i="20"/>
  <c r="T103" i="20"/>
  <c r="T109" i="20"/>
  <c r="U103" i="20"/>
  <c r="U109" i="20"/>
  <c r="V103" i="20"/>
  <c r="V109" i="20"/>
  <c r="S105" i="20"/>
  <c r="M103" i="20"/>
  <c r="K103" i="20"/>
  <c r="O103" i="20"/>
  <c r="L47" i="20"/>
  <c r="R63" i="20"/>
  <c r="R62" i="20" s="1"/>
  <c r="N103" i="20"/>
  <c r="V63" i="20"/>
  <c r="V62" i="20" s="1"/>
  <c r="Y45" i="20"/>
  <c r="K47" i="20"/>
  <c r="K63" i="20"/>
  <c r="K62" i="20" s="1"/>
  <c r="T63" i="20"/>
  <c r="T108" i="20" s="1"/>
  <c r="Y48" i="20"/>
  <c r="Y47" i="20" s="1"/>
  <c r="L103" i="20"/>
  <c r="Q47" i="20"/>
  <c r="Q63" i="20"/>
  <c r="P63" i="20"/>
  <c r="P62" i="20" s="1"/>
  <c r="U47" i="20"/>
  <c r="U63" i="20"/>
  <c r="Z56" i="20"/>
  <c r="AA56" i="20" s="1"/>
  <c r="Y69" i="20"/>
  <c r="N63" i="20"/>
  <c r="Q63" i="21"/>
  <c r="S63" i="21" s="1"/>
  <c r="S54" i="21"/>
  <c r="AG54" i="21" s="1"/>
  <c r="T63" i="21"/>
  <c r="Z63" i="21" s="1"/>
  <c r="Z51" i="20"/>
  <c r="AA51" i="20" s="1"/>
  <c r="Z112" i="20"/>
  <c r="AA112" i="20" s="1"/>
  <c r="Y75" i="20"/>
  <c r="Y14" i="20"/>
  <c r="W44" i="20"/>
  <c r="T47" i="20"/>
  <c r="Z98" i="20"/>
  <c r="R44" i="20"/>
  <c r="S110" i="20"/>
  <c r="N44" i="20"/>
  <c r="S97" i="20"/>
  <c r="K69" i="20"/>
  <c r="S69" i="20" s="1"/>
  <c r="L75" i="20"/>
  <c r="AD64" i="21"/>
  <c r="T16" i="20"/>
  <c r="J37" i="19"/>
  <c r="J36" i="19" s="1"/>
  <c r="G16" i="18" s="1"/>
  <c r="J30" i="19"/>
  <c r="J29" i="19" s="1"/>
  <c r="G13" i="18" s="1"/>
  <c r="L62" i="20"/>
  <c r="K78" i="20"/>
  <c r="L14" i="20"/>
  <c r="I53" i="19"/>
  <c r="I57" i="19" s="1"/>
  <c r="L92" i="20"/>
  <c r="L94" i="20" s="1"/>
  <c r="K36" i="20"/>
  <c r="K20" i="20"/>
  <c r="Q44" i="20"/>
  <c r="Z53" i="20"/>
  <c r="S52" i="20"/>
  <c r="P103" i="20"/>
  <c r="Y105" i="20"/>
  <c r="Y103" i="20" s="1"/>
  <c r="Z50" i="20"/>
  <c r="AA50" i="20" s="1"/>
  <c r="M71" i="20"/>
  <c r="S72" i="20"/>
  <c r="S93" i="20"/>
  <c r="K92" i="20"/>
  <c r="K94" i="20" s="1"/>
  <c r="K95" i="20"/>
  <c r="S113" i="20"/>
  <c r="O62" i="20"/>
  <c r="O47" i="20"/>
  <c r="S48" i="20"/>
  <c r="S47" i="20" s="1"/>
  <c r="W62" i="20"/>
  <c r="W47" i="20"/>
  <c r="Y67" i="20"/>
  <c r="M67" i="20"/>
  <c r="S67" i="20" s="1"/>
  <c r="S68" i="20"/>
  <c r="K14" i="20"/>
  <c r="Y36" i="20"/>
  <c r="Y20" i="20"/>
  <c r="Y42" i="20"/>
  <c r="U44" i="20"/>
  <c r="Y65" i="20"/>
  <c r="Y97" i="20"/>
  <c r="U62" i="20"/>
  <c r="S55" i="20"/>
  <c r="Z55" i="20" s="1"/>
  <c r="AA55" i="20" s="1"/>
  <c r="S70" i="20"/>
  <c r="Z70" i="20" s="1"/>
  <c r="AA70" i="20" s="1"/>
  <c r="Y92" i="20"/>
  <c r="Y94" i="20" s="1"/>
  <c r="S99" i="20"/>
  <c r="G29" i="18" l="1"/>
  <c r="G28" i="18" s="1"/>
  <c r="J57" i="19"/>
  <c r="R108" i="20"/>
  <c r="R107" i="20" s="1"/>
  <c r="K108" i="20"/>
  <c r="V108" i="20"/>
  <c r="V107" i="20" s="1"/>
  <c r="AG63" i="21"/>
  <c r="M79" i="20"/>
  <c r="M83" i="20" s="1"/>
  <c r="M82" i="20" s="1"/>
  <c r="AC64" i="21"/>
  <c r="P108" i="20"/>
  <c r="P107" i="20" s="1"/>
  <c r="AA99" i="20"/>
  <c r="Z105" i="20"/>
  <c r="AA105" i="20" s="1"/>
  <c r="AA98" i="20"/>
  <c r="Z97" i="20"/>
  <c r="AA97" i="20" s="1"/>
  <c r="Q62" i="20"/>
  <c r="Q108" i="20"/>
  <c r="Q107" i="20" s="1"/>
  <c r="Q120" i="20" s="1"/>
  <c r="Z52" i="20"/>
  <c r="AA52" i="20" s="1"/>
  <c r="AA53" i="20"/>
  <c r="N62" i="20"/>
  <c r="N108" i="20"/>
  <c r="N107" i="20" s="1"/>
  <c r="N117" i="20" s="1"/>
  <c r="N120" i="20" s="1"/>
  <c r="AF64" i="21"/>
  <c r="M86" i="20"/>
  <c r="C18" i="13"/>
  <c r="E18" i="13" s="1"/>
  <c r="C17" i="13"/>
  <c r="L107" i="20"/>
  <c r="L117" i="20" s="1"/>
  <c r="L120" i="20" s="1"/>
  <c r="Y44" i="20"/>
  <c r="Y109" i="20"/>
  <c r="Y63" i="20"/>
  <c r="Y62" i="20" s="1"/>
  <c r="Z69" i="20"/>
  <c r="AA69" i="20" s="1"/>
  <c r="T62" i="20"/>
  <c r="T64" i="21"/>
  <c r="Z64" i="21" s="1"/>
  <c r="Q64" i="21"/>
  <c r="T107" i="20"/>
  <c r="O107" i="20"/>
  <c r="W108" i="20"/>
  <c r="W107" i="20" s="1"/>
  <c r="Z48" i="20"/>
  <c r="Z67" i="20"/>
  <c r="AA67" i="20" s="1"/>
  <c r="S104" i="20"/>
  <c r="Z104" i="20" s="1"/>
  <c r="Z68" i="20"/>
  <c r="AA68" i="20" s="1"/>
  <c r="Z72" i="20"/>
  <c r="S71" i="20"/>
  <c r="U108" i="20"/>
  <c r="U107" i="20" s="1"/>
  <c r="K107" i="20"/>
  <c r="K117" i="20" s="1"/>
  <c r="K120" i="20" s="1"/>
  <c r="S92" i="20"/>
  <c r="Z93" i="20"/>
  <c r="S95" i="20"/>
  <c r="M78" i="20" l="1"/>
  <c r="S79" i="20"/>
  <c r="S83" i="20" s="1"/>
  <c r="S82" i="20" s="1"/>
  <c r="H12" i="13"/>
  <c r="J12" i="13" s="1"/>
  <c r="P120" i="20"/>
  <c r="Z103" i="20"/>
  <c r="AA104" i="20"/>
  <c r="P118" i="20"/>
  <c r="N118" i="20"/>
  <c r="H11" i="13"/>
  <c r="J11" i="13" s="1"/>
  <c r="Z47" i="20"/>
  <c r="AA47" i="20" s="1"/>
  <c r="AA48" i="20"/>
  <c r="M90" i="20"/>
  <c r="S86" i="20"/>
  <c r="M85" i="20"/>
  <c r="S85" i="20" s="1"/>
  <c r="Z71" i="20"/>
  <c r="AA71" i="20" s="1"/>
  <c r="AA72" i="20"/>
  <c r="Z95" i="20"/>
  <c r="AA95" i="20" s="1"/>
  <c r="AA93" i="20"/>
  <c r="K119" i="20"/>
  <c r="H8" i="13"/>
  <c r="L119" i="20"/>
  <c r="H9" i="13"/>
  <c r="E17" i="13"/>
  <c r="Y108" i="20"/>
  <c r="M66" i="20"/>
  <c r="M76" i="20" s="1"/>
  <c r="M59" i="20"/>
  <c r="S64" i="21"/>
  <c r="J22" i="19"/>
  <c r="S103" i="20"/>
  <c r="O19" i="18" s="1"/>
  <c r="Z92" i="20"/>
  <c r="S94" i="20"/>
  <c r="O18" i="18" s="1"/>
  <c r="Z79" i="20" l="1"/>
  <c r="Z83" i="20" s="1"/>
  <c r="Z82" i="20" s="1"/>
  <c r="S78" i="20"/>
  <c r="O16" i="18" s="1"/>
  <c r="AA103" i="20"/>
  <c r="S90" i="20"/>
  <c r="S89" i="20" s="1"/>
  <c r="O17" i="18" s="1"/>
  <c r="Z86" i="20"/>
  <c r="M89" i="20"/>
  <c r="Z94" i="20"/>
  <c r="AA94" i="20" s="1"/>
  <c r="AA92" i="20"/>
  <c r="Y107" i="20"/>
  <c r="Y117" i="20" s="1"/>
  <c r="J18" i="19"/>
  <c r="C9" i="13" s="1"/>
  <c r="S66" i="20"/>
  <c r="S76" i="20" s="1"/>
  <c r="M65" i="20"/>
  <c r="S65" i="20" s="1"/>
  <c r="Z65" i="20" s="1"/>
  <c r="AA65" i="20" s="1"/>
  <c r="M75" i="20"/>
  <c r="M63" i="20"/>
  <c r="M58" i="20"/>
  <c r="S59" i="20"/>
  <c r="H15" i="17"/>
  <c r="D15" i="17"/>
  <c r="H13" i="17"/>
  <c r="C13" i="17"/>
  <c r="AA79" i="20" l="1"/>
  <c r="AA83" i="20"/>
  <c r="Z78" i="20"/>
  <c r="AA86" i="20"/>
  <c r="Z85" i="20"/>
  <c r="AA85" i="20" s="1"/>
  <c r="Z90" i="20"/>
  <c r="P18" i="18"/>
  <c r="E9" i="13"/>
  <c r="Z66" i="20"/>
  <c r="AA66" i="20" s="1"/>
  <c r="S75" i="20"/>
  <c r="O15" i="18" s="1"/>
  <c r="M62" i="20"/>
  <c r="S63" i="20"/>
  <c r="Z59" i="20"/>
  <c r="AA59" i="20" s="1"/>
  <c r="S58" i="20"/>
  <c r="Z58" i="20" s="1"/>
  <c r="AA58" i="20" s="1"/>
  <c r="D13" i="17"/>
  <c r="AA78" i="20" l="1"/>
  <c r="P17" i="18"/>
  <c r="Z89" i="20"/>
  <c r="AA89" i="20" s="1"/>
  <c r="AA90" i="20"/>
  <c r="Z76" i="20"/>
  <c r="Z63" i="20"/>
  <c r="S62" i="20"/>
  <c r="AA82" i="20" l="1"/>
  <c r="P16" i="18"/>
  <c r="Z75" i="20"/>
  <c r="AA76" i="20"/>
  <c r="AA63" i="20"/>
  <c r="O14" i="18"/>
  <c r="Z62" i="20"/>
  <c r="AA62" i="20" s="1"/>
  <c r="AA75" i="20" l="1"/>
  <c r="P15" i="18"/>
  <c r="P14" i="18"/>
  <c r="C11" i="12"/>
  <c r="C9" i="12"/>
  <c r="C33" i="12" l="1"/>
  <c r="T111" i="20" l="1"/>
  <c r="U114" i="20" l="1"/>
  <c r="O25" i="18"/>
  <c r="T110" i="20"/>
  <c r="T118" i="20" s="1"/>
  <c r="Y111" i="20"/>
  <c r="U113" i="20" l="1"/>
  <c r="U118" i="20" s="1"/>
  <c r="Y110" i="20"/>
  <c r="Z111" i="20"/>
  <c r="J104" i="10"/>
  <c r="K104" i="10" s="1"/>
  <c r="H104" i="10"/>
  <c r="G104" i="10"/>
  <c r="F104" i="10"/>
  <c r="E104" i="10"/>
  <c r="D90" i="10"/>
  <c r="J85" i="10"/>
  <c r="K85" i="10" s="1"/>
  <c r="H85" i="10"/>
  <c r="G85" i="10"/>
  <c r="F85" i="10"/>
  <c r="F98" i="10" s="1"/>
  <c r="E85" i="10"/>
  <c r="J72" i="10"/>
  <c r="K72" i="10" s="1"/>
  <c r="H72" i="10"/>
  <c r="G72" i="10"/>
  <c r="F72" i="10"/>
  <c r="E72" i="10"/>
  <c r="J67" i="10"/>
  <c r="K67" i="10" s="1"/>
  <c r="H67" i="10"/>
  <c r="G67" i="10"/>
  <c r="F67" i="10"/>
  <c r="E67" i="10"/>
  <c r="J58" i="10"/>
  <c r="K58" i="10" s="1"/>
  <c r="H58" i="10"/>
  <c r="G58" i="10"/>
  <c r="F58" i="10"/>
  <c r="E58" i="10"/>
  <c r="I58" i="10" s="1"/>
  <c r="J54" i="10"/>
  <c r="K54" i="10" s="1"/>
  <c r="H54" i="10"/>
  <c r="G54" i="10"/>
  <c r="F54" i="10"/>
  <c r="E54" i="10"/>
  <c r="J49" i="10"/>
  <c r="K49" i="10" s="1"/>
  <c r="H49" i="10"/>
  <c r="G49" i="10"/>
  <c r="F49" i="10"/>
  <c r="E49" i="10"/>
  <c r="J45" i="10"/>
  <c r="K45" i="10" s="1"/>
  <c r="H45" i="10"/>
  <c r="G45" i="10"/>
  <c r="F45" i="10"/>
  <c r="E45" i="10"/>
  <c r="J41" i="10"/>
  <c r="K41" i="10" s="1"/>
  <c r="H41" i="10"/>
  <c r="G41" i="10"/>
  <c r="F41" i="10"/>
  <c r="E41" i="10"/>
  <c r="J39" i="10"/>
  <c r="K39" i="10" s="1"/>
  <c r="H39" i="10"/>
  <c r="G39" i="10"/>
  <c r="F39" i="10"/>
  <c r="E39" i="10"/>
  <c r="J31" i="10"/>
  <c r="K31" i="10" s="1"/>
  <c r="H31" i="10"/>
  <c r="G31" i="10"/>
  <c r="F31" i="10"/>
  <c r="E31" i="10"/>
  <c r="J26" i="10"/>
  <c r="K26" i="10" s="1"/>
  <c r="H26" i="10"/>
  <c r="G26" i="10"/>
  <c r="F26" i="10"/>
  <c r="E26" i="10"/>
  <c r="J22" i="10"/>
  <c r="K22" i="10" s="1"/>
  <c r="H22" i="10"/>
  <c r="G22" i="10"/>
  <c r="F22" i="10"/>
  <c r="E22" i="10"/>
  <c r="J20" i="10"/>
  <c r="K20" i="10" s="1"/>
  <c r="H20" i="10"/>
  <c r="E38" i="10" l="1"/>
  <c r="Z110" i="20"/>
  <c r="AA111" i="20"/>
  <c r="D93" i="10"/>
  <c r="D83" i="10"/>
  <c r="G38" i="10"/>
  <c r="D32" i="10"/>
  <c r="D33" i="10"/>
  <c r="D35" i="10"/>
  <c r="D61" i="10"/>
  <c r="D53" i="10"/>
  <c r="D91" i="10"/>
  <c r="D89" i="10"/>
  <c r="F38" i="10"/>
  <c r="H38" i="10"/>
  <c r="D43" i="10"/>
  <c r="D55" i="10"/>
  <c r="D63" i="10"/>
  <c r="D65" i="10"/>
  <c r="D71" i="10"/>
  <c r="F44" i="10"/>
  <c r="H44" i="10"/>
  <c r="D40" i="10"/>
  <c r="D47" i="10"/>
  <c r="D51" i="10"/>
  <c r="D59" i="10"/>
  <c r="D60" i="10"/>
  <c r="D73" i="10"/>
  <c r="D74" i="10"/>
  <c r="D75" i="10"/>
  <c r="D76" i="10"/>
  <c r="D96" i="10"/>
  <c r="D21" i="10"/>
  <c r="D22" i="10" s="1"/>
  <c r="D70" i="10"/>
  <c r="D86" i="10"/>
  <c r="D87" i="10"/>
  <c r="D88" i="10"/>
  <c r="D101" i="10"/>
  <c r="D102" i="10"/>
  <c r="D27" i="10"/>
  <c r="D29" i="10"/>
  <c r="D37" i="10"/>
  <c r="E44" i="10"/>
  <c r="G44" i="10"/>
  <c r="J44" i="10"/>
  <c r="K44" i="10" s="1"/>
  <c r="D56" i="10"/>
  <c r="D57" i="10"/>
  <c r="D81" i="10"/>
  <c r="D94" i="10"/>
  <c r="D95" i="10"/>
  <c r="D77" i="10"/>
  <c r="G98" i="10"/>
  <c r="G99" i="10" s="1"/>
  <c r="J98" i="10"/>
  <c r="D97" i="10"/>
  <c r="D62" i="10"/>
  <c r="D66" i="10"/>
  <c r="D92" i="10"/>
  <c r="H23" i="10"/>
  <c r="H25" i="10" s="1"/>
  <c r="D34" i="10"/>
  <c r="D46" i="10"/>
  <c r="D50" i="10"/>
  <c r="D52" i="10"/>
  <c r="D69" i="10"/>
  <c r="D84" i="10"/>
  <c r="F99" i="10"/>
  <c r="H98" i="10"/>
  <c r="H99" i="10" s="1"/>
  <c r="D28" i="10"/>
  <c r="D30" i="10"/>
  <c r="D36" i="10"/>
  <c r="D42" i="10"/>
  <c r="D48" i="10"/>
  <c r="D8" i="10"/>
  <c r="D15" i="10"/>
  <c r="D9" i="10"/>
  <c r="D13" i="10"/>
  <c r="D19" i="10"/>
  <c r="D11" i="10"/>
  <c r="F20" i="10"/>
  <c r="F23" i="10" s="1"/>
  <c r="F25" i="10" s="1"/>
  <c r="E20" i="10"/>
  <c r="E23" i="10" s="1"/>
  <c r="D12" i="10"/>
  <c r="D10" i="10"/>
  <c r="J23" i="10"/>
  <c r="J24" i="10" s="1"/>
  <c r="K24" i="10" s="1"/>
  <c r="J38" i="10"/>
  <c r="K38" i="10" s="1"/>
  <c r="D49" i="10"/>
  <c r="G20" i="10"/>
  <c r="G23" i="10" s="1"/>
  <c r="G25" i="10" s="1"/>
  <c r="D16" i="10"/>
  <c r="D7" i="10"/>
  <c r="D100" i="10"/>
  <c r="D107" i="10"/>
  <c r="D108" i="10"/>
  <c r="D80" i="10"/>
  <c r="E98" i="10"/>
  <c r="E99" i="10" s="1"/>
  <c r="E64" i="10" l="1"/>
  <c r="I64" i="10" s="1"/>
  <c r="J99" i="10"/>
  <c r="K99" i="10" s="1"/>
  <c r="K98" i="10"/>
  <c r="F64" i="10"/>
  <c r="J25" i="10"/>
  <c r="K25" i="10" s="1"/>
  <c r="K23" i="10"/>
  <c r="E24" i="10"/>
  <c r="D24" i="10" s="1"/>
  <c r="C9" i="3" s="1"/>
  <c r="D9" i="3" s="1"/>
  <c r="H64" i="10"/>
  <c r="H78" i="10" s="1"/>
  <c r="G64" i="10"/>
  <c r="G78" i="10" s="1"/>
  <c r="D54" i="10"/>
  <c r="AA110" i="20"/>
  <c r="D82" i="10"/>
  <c r="D72" i="10"/>
  <c r="D41" i="10"/>
  <c r="D67" i="10"/>
  <c r="D26" i="10"/>
  <c r="D85" i="10"/>
  <c r="D45" i="10"/>
  <c r="D31" i="10"/>
  <c r="D39" i="10"/>
  <c r="D44" i="10"/>
  <c r="D58" i="10"/>
  <c r="F78" i="10"/>
  <c r="H79" i="10"/>
  <c r="H105" i="10" s="1"/>
  <c r="D103" i="10"/>
  <c r="D104" i="10"/>
  <c r="D20" i="10"/>
  <c r="D23" i="10" s="1"/>
  <c r="J64" i="10"/>
  <c r="K64" i="10" s="1"/>
  <c r="E78" i="10"/>
  <c r="F79" i="10" l="1"/>
  <c r="F105" i="10" s="1"/>
  <c r="E79" i="10"/>
  <c r="I79" i="10" s="1"/>
  <c r="G79" i="10"/>
  <c r="G105" i="10" s="1"/>
  <c r="E25" i="10"/>
  <c r="D25" i="10"/>
  <c r="C8" i="3"/>
  <c r="D8" i="3" s="1"/>
  <c r="G110" i="10"/>
  <c r="G114" i="10" s="1"/>
  <c r="H113" i="10"/>
  <c r="H110" i="10" s="1"/>
  <c r="H114" i="10" s="1"/>
  <c r="H115" i="10" s="1"/>
  <c r="K78" i="10"/>
  <c r="D38" i="10"/>
  <c r="D98" i="10"/>
  <c r="D99" i="10"/>
  <c r="C11" i="3" s="1"/>
  <c r="D11" i="3" s="1"/>
  <c r="E105" i="10" l="1"/>
  <c r="I105" i="10" s="1"/>
  <c r="G115" i="10"/>
  <c r="D64" i="10"/>
  <c r="D68" i="10"/>
  <c r="D78" i="10"/>
  <c r="J79" i="10"/>
  <c r="J105" i="10" l="1"/>
  <c r="K79" i="10"/>
  <c r="D79" i="10" s="1"/>
  <c r="K105" i="10" l="1"/>
  <c r="K113" i="10"/>
  <c r="C10" i="3"/>
  <c r="D10" i="3" s="1"/>
  <c r="J110" i="10"/>
  <c r="K110" i="10" l="1"/>
  <c r="K114" i="10" s="1"/>
  <c r="K115" i="10" s="1"/>
  <c r="J114" i="10"/>
  <c r="J115" i="10" s="1"/>
  <c r="D105" i="10"/>
  <c r="I42" i="19" l="1"/>
  <c r="J42" i="19" l="1"/>
  <c r="C10" i="2"/>
  <c r="C15" i="2"/>
  <c r="I38" i="19" s="1"/>
  <c r="J38" i="19" l="1"/>
  <c r="I39" i="19"/>
  <c r="G20" i="18"/>
  <c r="C14" i="2"/>
  <c r="G17" i="18" l="1"/>
  <c r="J39" i="19"/>
  <c r="J46" i="19"/>
  <c r="I47" i="19"/>
  <c r="D18" i="13"/>
  <c r="C19" i="2"/>
  <c r="C10" i="27" s="1"/>
  <c r="D10" i="27" l="1"/>
  <c r="C17" i="27"/>
  <c r="C12" i="13"/>
  <c r="E12" i="13" s="1"/>
  <c r="G12" i="18"/>
  <c r="G24" i="18"/>
  <c r="J47" i="19"/>
  <c r="D14" i="13"/>
  <c r="E14" i="13" s="1"/>
  <c r="C18" i="27" l="1"/>
  <c r="D17" i="27"/>
  <c r="D18" i="27" s="1"/>
  <c r="D36" i="27" s="1"/>
  <c r="E10" i="27"/>
  <c r="C13" i="13"/>
  <c r="G18" i="18"/>
  <c r="E17" i="27" l="1"/>
  <c r="F10" i="27"/>
  <c r="F17" i="27" s="1"/>
  <c r="F18" i="27" s="1"/>
  <c r="F36" i="27" s="1"/>
  <c r="C36" i="27"/>
  <c r="G10" i="27" l="1"/>
  <c r="E18" i="27"/>
  <c r="G17" i="27"/>
  <c r="C15" i="3"/>
  <c r="C12" i="3"/>
  <c r="D15" i="3" l="1"/>
  <c r="D13" i="13" s="1"/>
  <c r="E13" i="13" s="1"/>
  <c r="C13" i="3"/>
  <c r="D12" i="3"/>
  <c r="E36" i="27"/>
  <c r="G36" i="27" s="1"/>
  <c r="G18" i="27"/>
  <c r="C22" i="13"/>
  <c r="I14" i="13" l="1"/>
  <c r="I10" i="13" l="1"/>
  <c r="I21" i="13" l="1"/>
  <c r="I9" i="13"/>
  <c r="J9" i="13" s="1"/>
  <c r="I8" i="13"/>
  <c r="G9" i="17" l="1"/>
  <c r="J8" i="13"/>
  <c r="I22" i="13"/>
  <c r="G33" i="17" l="1"/>
  <c r="E49" i="1" l="1"/>
  <c r="J14" i="19" s="1"/>
  <c r="E43" i="1"/>
  <c r="E39" i="1"/>
  <c r="E33" i="1"/>
  <c r="E32" i="1"/>
  <c r="E29" i="1"/>
  <c r="E13" i="1"/>
  <c r="D111" i="10" l="1"/>
  <c r="F113" i="10"/>
  <c r="F110" i="10" s="1"/>
  <c r="F114" i="10" s="1"/>
  <c r="F115" i="10" s="1"/>
  <c r="D112" i="10"/>
  <c r="E113" i="10"/>
  <c r="I113" i="10" s="1"/>
  <c r="E47" i="1"/>
  <c r="J13" i="19" s="1"/>
  <c r="E23" i="1"/>
  <c r="E37" i="1"/>
  <c r="J12" i="19" s="1"/>
  <c r="E110" i="10" l="1"/>
  <c r="I110" i="10" s="1"/>
  <c r="D113" i="10"/>
  <c r="D110" i="10" s="1"/>
  <c r="J11" i="19"/>
  <c r="J17" i="19" s="1"/>
  <c r="I17" i="19"/>
  <c r="I24" i="19" s="1"/>
  <c r="I51" i="19" s="1"/>
  <c r="I58" i="19" s="1"/>
  <c r="E50" i="1"/>
  <c r="D114" i="10" l="1"/>
  <c r="D115" i="10" s="1"/>
  <c r="C18" i="3"/>
  <c r="D18" i="3" s="1"/>
  <c r="E114" i="10"/>
  <c r="J24" i="19"/>
  <c r="G10" i="18" s="1"/>
  <c r="C8" i="13"/>
  <c r="E115" i="10" l="1"/>
  <c r="I114" i="10"/>
  <c r="I115" i="10" s="1"/>
  <c r="C19" i="3"/>
  <c r="C20" i="3" s="1"/>
  <c r="E8" i="13"/>
  <c r="G9" i="18"/>
  <c r="G31" i="18" s="1"/>
  <c r="J51" i="19"/>
  <c r="J58" i="19" s="1"/>
  <c r="D10" i="13"/>
  <c r="E10" i="13" l="1"/>
  <c r="E16" i="13" s="1"/>
  <c r="G32" i="18"/>
  <c r="B9" i="17"/>
  <c r="B33" i="17" s="1"/>
  <c r="C23" i="13"/>
  <c r="C24" i="13" s="1"/>
  <c r="D16" i="13"/>
  <c r="C9" i="17" s="1"/>
  <c r="B39" i="17" l="1"/>
  <c r="B8" i="26"/>
  <c r="C8" i="26" l="1"/>
  <c r="D8" i="26" s="1"/>
  <c r="E8" i="26" s="1"/>
  <c r="F8" i="26" s="1"/>
  <c r="G8" i="26" s="1"/>
  <c r="H8" i="26" s="1"/>
  <c r="I8" i="26" s="1"/>
  <c r="J8" i="26" s="1"/>
  <c r="K8" i="26" s="1"/>
  <c r="L8" i="26" s="1"/>
  <c r="M8" i="26" s="1"/>
  <c r="D9" i="17"/>
  <c r="N8" i="26" l="1"/>
  <c r="O8" i="21"/>
  <c r="O22" i="21" s="1"/>
  <c r="O64" i="21" s="1"/>
  <c r="M43" i="20" s="1"/>
  <c r="N8" i="21"/>
  <c r="P8" i="21" s="1"/>
  <c r="S43" i="20" l="1"/>
  <c r="Z43" i="20" s="1"/>
  <c r="AA43" i="20" s="1"/>
  <c r="M42" i="20"/>
  <c r="S42" i="20" s="1"/>
  <c r="Z42" i="20" s="1"/>
  <c r="AA42" i="20" s="1"/>
  <c r="N22" i="21"/>
  <c r="P22" i="21" l="1"/>
  <c r="N64" i="21"/>
  <c r="M41" i="20" l="1"/>
  <c r="P64" i="21"/>
  <c r="M40" i="20" l="1"/>
  <c r="S41" i="20"/>
  <c r="M45" i="20"/>
  <c r="Z41" i="20" l="1"/>
  <c r="S40" i="20"/>
  <c r="Z40" i="20" s="1"/>
  <c r="AA40" i="20" s="1"/>
  <c r="S45" i="20"/>
  <c r="M109" i="20"/>
  <c r="M44" i="20"/>
  <c r="Z45" i="20" l="1"/>
  <c r="AA41" i="20"/>
  <c r="S109" i="20"/>
  <c r="S44" i="20"/>
  <c r="O13" i="18" s="1"/>
  <c r="Z109" i="20" l="1"/>
  <c r="Z44" i="20"/>
  <c r="AA44" i="20" s="1"/>
  <c r="AA45" i="20"/>
  <c r="P13" i="18" l="1"/>
  <c r="AA109" i="20"/>
  <c r="G22" i="21"/>
  <c r="G64" i="21" s="1"/>
  <c r="M25" i="20" s="1"/>
  <c r="F22" i="21"/>
  <c r="F64" i="21" s="1"/>
  <c r="M23" i="20" s="1"/>
  <c r="I22" i="21"/>
  <c r="I64" i="21" s="1"/>
  <c r="M29" i="20" s="1"/>
  <c r="H22" i="21"/>
  <c r="H64" i="21" s="1"/>
  <c r="M27" i="20" s="1"/>
  <c r="M26" i="20" l="1"/>
  <c r="S27" i="20"/>
  <c r="S29" i="20"/>
  <c r="M28" i="20"/>
  <c r="M24" i="20"/>
  <c r="S25" i="20"/>
  <c r="M22" i="20"/>
  <c r="S23" i="20"/>
  <c r="E22" i="21"/>
  <c r="Z25" i="20" l="1"/>
  <c r="S24" i="20"/>
  <c r="Z27" i="20"/>
  <c r="S26" i="20"/>
  <c r="Z23" i="20"/>
  <c r="S22" i="20"/>
  <c r="E64" i="21"/>
  <c r="S28" i="20"/>
  <c r="Z29" i="20"/>
  <c r="M21" i="20" l="1"/>
  <c r="AA27" i="20"/>
  <c r="Z26" i="20"/>
  <c r="AA26" i="20" s="1"/>
  <c r="AA29" i="20"/>
  <c r="Z28" i="20"/>
  <c r="AA28" i="20" s="1"/>
  <c r="AA23" i="20"/>
  <c r="Z22" i="20"/>
  <c r="AA22" i="20" s="1"/>
  <c r="AA25" i="20"/>
  <c r="Z24" i="20"/>
  <c r="AA24" i="20" s="1"/>
  <c r="S21" i="20" l="1"/>
  <c r="M20" i="20"/>
  <c r="Z21" i="20" l="1"/>
  <c r="S20" i="20"/>
  <c r="Z20" i="20" s="1"/>
  <c r="AA20" i="20" s="1"/>
  <c r="AA21" i="20" l="1"/>
  <c r="D8" i="21"/>
  <c r="D22" i="21" s="1"/>
  <c r="D64" i="21" s="1"/>
  <c r="M15" i="20" l="1"/>
  <c r="M14" i="20" l="1"/>
  <c r="S14" i="20" s="1"/>
  <c r="Z14" i="20" s="1"/>
  <c r="AA14" i="20" s="1"/>
  <c r="S15" i="20"/>
  <c r="M17" i="20"/>
  <c r="M16" i="20" l="1"/>
  <c r="Z15" i="20"/>
  <c r="S17" i="20"/>
  <c r="S16" i="20" s="1"/>
  <c r="O11" i="18" s="1"/>
  <c r="Z17" i="20" l="1"/>
  <c r="AA15" i="20"/>
  <c r="AA17" i="20" l="1"/>
  <c r="Z16" i="20"/>
  <c r="AA16" i="20" l="1"/>
  <c r="P11" i="18"/>
  <c r="C22" i="21"/>
  <c r="C64" i="21" s="1"/>
  <c r="M118" i="20" l="1"/>
  <c r="D13" i="3" l="1"/>
  <c r="I13" i="13"/>
  <c r="I16" i="13" l="1"/>
  <c r="G21" i="17"/>
  <c r="J13" i="13"/>
  <c r="G36" i="17" l="1"/>
  <c r="G39" i="17" s="1"/>
  <c r="F22" i="17"/>
  <c r="C25" i="17"/>
  <c r="I23" i="13"/>
  <c r="D25" i="17" l="1"/>
  <c r="C36" i="17"/>
  <c r="D19" i="3"/>
  <c r="D20" i="3" s="1"/>
  <c r="D19" i="13"/>
  <c r="O27" i="18"/>
  <c r="H22" i="17"/>
  <c r="B37" i="17" l="1"/>
  <c r="D36" i="17"/>
  <c r="H19" i="13"/>
  <c r="D21" i="13"/>
  <c r="E19" i="13"/>
  <c r="F14" i="17" l="1"/>
  <c r="J19" i="13"/>
  <c r="E21" i="13"/>
  <c r="E22" i="13" s="1"/>
  <c r="E23" i="13" s="1"/>
  <c r="D22" i="13"/>
  <c r="D23" i="13" s="1"/>
  <c r="H22" i="13" l="1"/>
  <c r="J21" i="13"/>
  <c r="J22" i="13" s="1"/>
  <c r="D24" i="13"/>
  <c r="I24" i="13"/>
  <c r="C14" i="17"/>
  <c r="H14" i="17"/>
  <c r="D14" i="17" l="1"/>
  <c r="C33" i="17"/>
  <c r="D33" i="17" s="1"/>
  <c r="D39" i="17" s="1"/>
  <c r="C39" i="17" l="1"/>
  <c r="B11" i="26" s="1"/>
  <c r="B12" i="26" s="1"/>
  <c r="B21" i="26" s="1"/>
  <c r="B34" i="17"/>
  <c r="B41" i="17" l="1"/>
  <c r="B42" i="17" s="1"/>
  <c r="C11" i="26"/>
  <c r="C12" i="26" s="1"/>
  <c r="C21" i="26" s="1"/>
  <c r="B17" i="26"/>
  <c r="C17" i="26" l="1"/>
  <c r="D11" i="26"/>
  <c r="D12" i="26" s="1"/>
  <c r="D21" i="26" s="1"/>
  <c r="E11" i="26" l="1"/>
  <c r="E12" i="26" s="1"/>
  <c r="E21" i="26" s="1"/>
  <c r="D17" i="26"/>
  <c r="E17" i="26" l="1"/>
  <c r="F11" i="26"/>
  <c r="F12" i="26" s="1"/>
  <c r="F21" i="26" s="1"/>
  <c r="G11" i="26" l="1"/>
  <c r="G12" i="26" s="1"/>
  <c r="G21" i="26" s="1"/>
  <c r="F17" i="26"/>
  <c r="G17" i="26" l="1"/>
  <c r="H11" i="26"/>
  <c r="H12" i="26" s="1"/>
  <c r="H21" i="26" s="1"/>
  <c r="H17" i="26" l="1"/>
  <c r="I11" i="26"/>
  <c r="I12" i="26" s="1"/>
  <c r="I21" i="26" s="1"/>
  <c r="I17" i="26" l="1"/>
  <c r="J11" i="26"/>
  <c r="J12" i="26" s="1"/>
  <c r="J21" i="26" s="1"/>
  <c r="J17" i="26" l="1"/>
  <c r="K11" i="26"/>
  <c r="K12" i="26" s="1"/>
  <c r="K21" i="26" s="1"/>
  <c r="K17" i="26" l="1"/>
  <c r="L11" i="26"/>
  <c r="L12" i="26" s="1"/>
  <c r="L21" i="26" s="1"/>
  <c r="L17" i="26" l="1"/>
  <c r="M11" i="26"/>
  <c r="M12" i="26" s="1"/>
  <c r="M21" i="26" s="1"/>
  <c r="N21" i="26" s="1"/>
  <c r="M17" i="26" l="1"/>
  <c r="N11" i="26"/>
  <c r="N12" i="26" s="1"/>
  <c r="N17" i="26" l="1"/>
  <c r="L8" i="21"/>
  <c r="L22" i="21" s="1"/>
  <c r="L64" i="21" s="1"/>
  <c r="M35" i="20" s="1"/>
  <c r="S35" i="20" l="1"/>
  <c r="M34" i="20"/>
  <c r="K8" i="21" l="1"/>
  <c r="K22" i="21" s="1"/>
  <c r="K64" i="21" s="1"/>
  <c r="M33" i="20" s="1"/>
  <c r="J8" i="21"/>
  <c r="S34" i="20"/>
  <c r="Z34" i="20" s="1"/>
  <c r="AA34" i="20" s="1"/>
  <c r="Z35" i="20"/>
  <c r="AA35" i="20" s="1"/>
  <c r="J22" i="21" l="1"/>
  <c r="M8" i="21"/>
  <c r="AG8" i="21" s="1"/>
  <c r="S33" i="20"/>
  <c r="M32" i="20"/>
  <c r="S32" i="20" l="1"/>
  <c r="Z33" i="20"/>
  <c r="J64" i="21"/>
  <c r="M22" i="21"/>
  <c r="AG22" i="21" s="1"/>
  <c r="M64" i="21" l="1"/>
  <c r="M31" i="20"/>
  <c r="Z32" i="20"/>
  <c r="AA32" i="20" s="1"/>
  <c r="AA33" i="20"/>
  <c r="AG64" i="21" l="1"/>
  <c r="C65" i="21"/>
  <c r="C66" i="21" s="1"/>
  <c r="M37" i="20"/>
  <c r="S31" i="20"/>
  <c r="M30" i="20"/>
  <c r="S37" i="20" l="1"/>
  <c r="S36" i="20" s="1"/>
  <c r="O12" i="18" s="1"/>
  <c r="O10" i="18" s="1"/>
  <c r="S30" i="20"/>
  <c r="Z31" i="20"/>
  <c r="M108" i="20"/>
  <c r="M36" i="20"/>
  <c r="Z37" i="20" l="1"/>
  <c r="Z30" i="20"/>
  <c r="AA30" i="20" s="1"/>
  <c r="AA31" i="20"/>
  <c r="S108" i="20"/>
  <c r="S107" i="20" s="1"/>
  <c r="M107" i="20"/>
  <c r="M117" i="20" s="1"/>
  <c r="O9" i="18" l="1"/>
  <c r="S117" i="20"/>
  <c r="Z108" i="20"/>
  <c r="M120" i="20"/>
  <c r="M119" i="20"/>
  <c r="H10" i="13"/>
  <c r="Z36" i="20"/>
  <c r="AA37" i="20"/>
  <c r="O32" i="18" l="1"/>
  <c r="F9" i="17"/>
  <c r="F33" i="17" s="1"/>
  <c r="J10" i="13"/>
  <c r="AA36" i="20"/>
  <c r="P12" i="18"/>
  <c r="AA108" i="20"/>
  <c r="Z107" i="20"/>
  <c r="Z117" i="20" s="1"/>
  <c r="AA107" i="20" l="1"/>
  <c r="P10" i="18"/>
  <c r="B15" i="26"/>
  <c r="H9" i="17"/>
  <c r="B10" i="17" s="1"/>
  <c r="B18" i="17" s="1"/>
  <c r="F34" i="17" l="1"/>
  <c r="H33" i="17"/>
  <c r="B19" i="26"/>
  <c r="B20" i="26" s="1"/>
  <c r="C19" i="26" l="1"/>
  <c r="C20" i="26" s="1"/>
  <c r="B22" i="26"/>
  <c r="B35" i="17"/>
  <c r="C22" i="26" l="1"/>
  <c r="E15" i="26"/>
  <c r="E19" i="26" l="1"/>
  <c r="E20" i="26" s="1"/>
  <c r="F15" i="26"/>
  <c r="F19" i="26" l="1"/>
  <c r="F20" i="26" s="1"/>
  <c r="H15" i="26" l="1"/>
  <c r="I19" i="26" l="1"/>
  <c r="I20" i="26" s="1"/>
  <c r="J15" i="26"/>
  <c r="K15" i="26" l="1"/>
  <c r="K19" i="26" l="1"/>
  <c r="K20" i="26" s="1"/>
  <c r="L19" i="26" l="1"/>
  <c r="L20" i="26" s="1"/>
  <c r="M19" i="26" l="1"/>
  <c r="M20" i="26" s="1"/>
  <c r="N15" i="26"/>
  <c r="Z115" i="20"/>
  <c r="AA115" i="20" s="1"/>
  <c r="Y113" i="20"/>
  <c r="Z114" i="20"/>
  <c r="Z113" i="20" l="1"/>
  <c r="H14" i="13"/>
  <c r="P25" i="18"/>
  <c r="AA113" i="20"/>
  <c r="AA114" i="20"/>
  <c r="AA117" i="20" l="1"/>
  <c r="J14" i="13"/>
  <c r="H16" i="13"/>
  <c r="F21" i="17"/>
  <c r="H23" i="13" l="1"/>
  <c r="H24" i="13" s="1"/>
  <c r="J16" i="13"/>
  <c r="J23" i="13" s="1"/>
  <c r="J24" i="13" s="1"/>
  <c r="F36" i="17"/>
  <c r="H21" i="17"/>
  <c r="B31" i="17" s="1"/>
  <c r="F37" i="17" l="1"/>
  <c r="F39" i="17"/>
  <c r="H36" i="17"/>
  <c r="H39" i="17" s="1"/>
  <c r="G16" i="26"/>
  <c r="H16" i="26" l="1"/>
  <c r="D16" i="26"/>
  <c r="G19" i="26"/>
  <c r="G20" i="26" s="1"/>
  <c r="B38" i="17"/>
  <c r="F41" i="17"/>
  <c r="F42" i="17" s="1"/>
  <c r="D19" i="26" l="1"/>
  <c r="D20" i="26" s="1"/>
  <c r="H19" i="26"/>
  <c r="H20" i="26" s="1"/>
  <c r="J16" i="26"/>
  <c r="J19" i="26" s="1"/>
  <c r="J20" i="26" s="1"/>
  <c r="N16" i="26" l="1"/>
  <c r="N19" i="26" s="1"/>
  <c r="D22" i="26"/>
  <c r="E22" i="26" s="1"/>
  <c r="F22" i="26" s="1"/>
  <c r="G22" i="26" s="1"/>
  <c r="H22" i="26" s="1"/>
  <c r="I22" i="26" s="1"/>
  <c r="J22" i="26" s="1"/>
  <c r="K22" i="26" s="1"/>
  <c r="L22" i="26" s="1"/>
  <c r="M22" i="26" s="1"/>
  <c r="N20" i="26"/>
  <c r="N22" i="26" s="1"/>
</calcChain>
</file>

<file path=xl/comments1.xml><?xml version="1.0" encoding="utf-8"?>
<comments xmlns="http://schemas.openxmlformats.org/spreadsheetml/2006/main">
  <authors>
    <author>Aliz</author>
  </authors>
  <commentList>
    <comment ref="AA37" authorId="0" shapeId="0">
      <text>
        <r>
          <rPr>
            <b/>
            <sz val="9"/>
            <color indexed="81"/>
            <rFont val="Tahoma"/>
            <family val="2"/>
            <charset val="238"/>
          </rPr>
          <t>Aliz: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<sst xmlns="http://schemas.openxmlformats.org/spreadsheetml/2006/main" count="1155" uniqueCount="839">
  <si>
    <t>Támogatási forma</t>
  </si>
  <si>
    <t>Támogatás megnevezése</t>
  </si>
  <si>
    <t>Támogatás</t>
  </si>
  <si>
    <t>Mutató</t>
  </si>
  <si>
    <t>Ft/mutató</t>
  </si>
  <si>
    <t>Ft-ban</t>
  </si>
  <si>
    <t>Eredeti előirányzat</t>
  </si>
  <si>
    <t>I.1.a)</t>
  </si>
  <si>
    <t>Önkormányzati hivatal működésének támogatása (beszámítás után)</t>
  </si>
  <si>
    <t>4 580 000 Ft</t>
  </si>
  <si>
    <t>I.1.b)</t>
  </si>
  <si>
    <t>Település-üzemeltetéshez kapcsolódó feladatellátás támogatása (beszámítás után)</t>
  </si>
  <si>
    <t>I.1. b) ba)</t>
  </si>
  <si>
    <t>A zöldterület-gazdálkodással kapcsolatos feladatok ellátásának támogatása</t>
  </si>
  <si>
    <t>I.1. b) bb)</t>
  </si>
  <si>
    <t>Közvilágítás fenntartásának támogatása</t>
  </si>
  <si>
    <t>I.1. b) bc)</t>
  </si>
  <si>
    <t>Köztemető fenntartással kapcsolatos feladatok támogatása</t>
  </si>
  <si>
    <t>I.1. b) bd)</t>
  </si>
  <si>
    <t>Közutak fenntartásának támogatása</t>
  </si>
  <si>
    <t>I.1.c)</t>
  </si>
  <si>
    <t>Egyéb kötelező önkormányzati feladatok támogatása (beszámítás után)</t>
  </si>
  <si>
    <t>I.1.d)</t>
  </si>
  <si>
    <t>Lakott külterülettel kapcsolatos feladatok támogatása (beszámítás után)*</t>
  </si>
  <si>
    <t>I.1.e)</t>
  </si>
  <si>
    <t>Üdülőhelyi feladatok támogatása**</t>
  </si>
  <si>
    <t>I.</t>
  </si>
  <si>
    <t>Települési önkormányzatok általános működésének támogatása (B111)</t>
  </si>
  <si>
    <t>II.1.</t>
  </si>
  <si>
    <t>Óvodapedagógusok 8 havi támogatása</t>
  </si>
  <si>
    <t>Óvodapedagógusok 4 havi támogatása</t>
  </si>
  <si>
    <t>Óvodapedagógusuk 4 havi pótlólagos támogatása</t>
  </si>
  <si>
    <t>segítők 8 havi támogatása</t>
  </si>
  <si>
    <t>segítők 4 havi támogatása</t>
  </si>
  <si>
    <t>Óvodapedagógusok, és az óvodapedagógusok nevelőmunkáját közvetlenül segítők bértámogatása összesen (B112):</t>
  </si>
  <si>
    <t>II.2.</t>
  </si>
  <si>
    <t>óvodaműködtetési támogatás 8 havi támogatása</t>
  </si>
  <si>
    <t>óvodaműködtetési támogatás 4 havi támogatása</t>
  </si>
  <si>
    <t>Óvodaműködtetési támogatás összesen (B112):</t>
  </si>
  <si>
    <t>II.</t>
  </si>
  <si>
    <t>Települési önkormányzatok egyes köznevelési feladatainak támogatása összesen (B112):</t>
  </si>
  <si>
    <t>III.2.</t>
  </si>
  <si>
    <t>A települési önkormányzatok szociális feladatainak egyéb támogatása</t>
  </si>
  <si>
    <t>III.3.</t>
  </si>
  <si>
    <t>III.5.</t>
  </si>
  <si>
    <t>Gyermekétkeztetés támogatása</t>
  </si>
  <si>
    <t>III.5.a)</t>
  </si>
  <si>
    <t>Gyermekétkeztetés szempontjából elismert dolgozók bértámogatása</t>
  </si>
  <si>
    <t>III.5.b)</t>
  </si>
  <si>
    <t>Gyermekétkezetés üzemeltetési támogatása</t>
  </si>
  <si>
    <t>III.</t>
  </si>
  <si>
    <t>Települési önormányzatok szociális , gyermekjóléti és gyermekétkeztetési feladatainak támogatása összesen (B113)</t>
  </si>
  <si>
    <t>Könyvtári, közművelődési és múzeumi feladatok támogatása</t>
  </si>
  <si>
    <t>IV.</t>
  </si>
  <si>
    <t>Települési önkormányzatok kulturális feladatok támogatása összesen (B114)</t>
  </si>
  <si>
    <t>Helyi önkormányzatok és többcélú kistérésgi társulások egyes költségvetési kapcsolatokból számított bevételei öszesen</t>
  </si>
  <si>
    <t>I.1. jogcímekhez kapcsolódó kiegészítés</t>
  </si>
  <si>
    <t>II.5.</t>
  </si>
  <si>
    <t>Kiegészítő támogatás az óvodapedagógusok minősítéséből adódó többlet kiadásokhoz</t>
  </si>
  <si>
    <t>2 fő</t>
  </si>
  <si>
    <t>Mesterfokozatú végzettségű MESTER PED.kat.kieg.támogatása</t>
  </si>
  <si>
    <t>1 fő</t>
  </si>
  <si>
    <t>fő</t>
  </si>
  <si>
    <t>III.6.</t>
  </si>
  <si>
    <t>Rászoruló gyermekek szünidei étkeztetési támogatása</t>
  </si>
  <si>
    <t xml:space="preserve">Költségvetési bevételek </t>
  </si>
  <si>
    <t xml:space="preserve">Költségvetési kiadások </t>
  </si>
  <si>
    <t xml:space="preserve">Rovat megnevezése </t>
  </si>
  <si>
    <t>Rovat száma</t>
  </si>
  <si>
    <t>Rovat megnevezése</t>
  </si>
  <si>
    <t xml:space="preserve">Önkormányzatok működési támogatásai  </t>
  </si>
  <si>
    <t>B11</t>
  </si>
  <si>
    <t>Törvény szerinti illetmények, munkabérek</t>
  </si>
  <si>
    <t>K1101</t>
  </si>
  <si>
    <t>K1104</t>
  </si>
  <si>
    <t>Jubileumi jutalom</t>
  </si>
  <si>
    <t>K1106</t>
  </si>
  <si>
    <t xml:space="preserve">Béren kívüli juttatások </t>
  </si>
  <si>
    <t>K1107</t>
  </si>
  <si>
    <t xml:space="preserve">Közlekedési költségtérítés </t>
  </si>
  <si>
    <t>K1109</t>
  </si>
  <si>
    <t xml:space="preserve">Egyéb költségtérítések </t>
  </si>
  <si>
    <t>K1110</t>
  </si>
  <si>
    <t>Egyéb személyi jellegű ráfordítások</t>
  </si>
  <si>
    <t>K1113</t>
  </si>
  <si>
    <t>Egyéb működési célú támogatások bevételei államháztartáson belülről</t>
  </si>
  <si>
    <t>B16</t>
  </si>
  <si>
    <t xml:space="preserve">Foglalkoztatottak személyi juttatásai </t>
  </si>
  <si>
    <t>K11</t>
  </si>
  <si>
    <t xml:space="preserve">Választott tisztségviselők juttatásai </t>
  </si>
  <si>
    <t>K121</t>
  </si>
  <si>
    <t xml:space="preserve">Munkavégzésre irányuló egyéb jogviszonyban nem saját foglalkoztatottnak fizetett juttatások </t>
  </si>
  <si>
    <t>K122</t>
  </si>
  <si>
    <t xml:space="preserve">Egyéb külső személyi juttatások </t>
  </si>
  <si>
    <t>K123</t>
  </si>
  <si>
    <t>Működési célú támogatások államháztartáson belülről mindösszesen</t>
  </si>
  <si>
    <t>B1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</si>
  <si>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</si>
  <si>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</si>
  <si>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</si>
  <si>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</si>
  <si>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</t>
  </si>
  <si>
    <t>K2</t>
  </si>
  <si>
    <t xml:space="preserve">Felhalmozási célú támogatások államháztartáson belülről </t>
  </si>
  <si>
    <t>B2</t>
  </si>
  <si>
    <t xml:space="preserve">Vagyoni tipusú adók </t>
  </si>
  <si>
    <t>B34</t>
  </si>
  <si>
    <t xml:space="preserve">Szakmai anyagok beszerzése </t>
  </si>
  <si>
    <t>K311</t>
  </si>
  <si>
    <t xml:space="preserve">ebből: építményadó  </t>
  </si>
  <si>
    <t xml:space="preserve">Üzemeltetési anyagok beszerzése </t>
  </si>
  <si>
    <t>K312</t>
  </si>
  <si>
    <t xml:space="preserve">ebből: magánszemélyek kommunális adója </t>
  </si>
  <si>
    <t xml:space="preserve">Árubeszerzés </t>
  </si>
  <si>
    <t>K313</t>
  </si>
  <si>
    <t xml:space="preserve">ebből: telekadó </t>
  </si>
  <si>
    <t xml:space="preserve">Készletbeszerzés </t>
  </si>
  <si>
    <t>K31</t>
  </si>
  <si>
    <t xml:space="preserve">Értékesítési és forgalmi adók </t>
  </si>
  <si>
    <t>B351</t>
  </si>
  <si>
    <t xml:space="preserve">Informatikai szolgáltatások igénybevétele </t>
  </si>
  <si>
    <t>K321</t>
  </si>
  <si>
    <t xml:space="preserve">ebből: állandó jeleggel végzett iparűzési tevékenység után fizetett helyi iparűzési adó </t>
  </si>
  <si>
    <t xml:space="preserve">Egyéb kommunikációs szolgáltatások </t>
  </si>
  <si>
    <t>K322</t>
  </si>
  <si>
    <t>Gépjárműadók</t>
  </si>
  <si>
    <t>B354</t>
  </si>
  <si>
    <t xml:space="preserve">Kommunikációs szolgáltatások </t>
  </si>
  <si>
    <t>K32</t>
  </si>
  <si>
    <t>Egyéb áruhasználati és szolgáltatási adók   (B355)</t>
  </si>
  <si>
    <t xml:space="preserve">Közüzemi díjak </t>
  </si>
  <si>
    <t>K331</t>
  </si>
  <si>
    <t xml:space="preserve">Vásárolt élelmezés </t>
  </si>
  <si>
    <t>K332</t>
  </si>
  <si>
    <t>Termékek és szolgáltatások adói mindösszesen</t>
  </si>
  <si>
    <t>B35</t>
  </si>
  <si>
    <t xml:space="preserve">Bérleti és lízing díjak </t>
  </si>
  <si>
    <t>K333</t>
  </si>
  <si>
    <t xml:space="preserve">Egyéb közhatalmi bevételek </t>
  </si>
  <si>
    <t>B36</t>
  </si>
  <si>
    <t xml:space="preserve">Karbantartási, kisjavítási szolgáltatások </t>
  </si>
  <si>
    <t>K334</t>
  </si>
  <si>
    <t xml:space="preserve">ebből: igazgatási szolgáltatási díjak </t>
  </si>
  <si>
    <t xml:space="preserve">Szakmai tevékenységet segítő szolgáltatások </t>
  </si>
  <si>
    <t>K336</t>
  </si>
  <si>
    <t xml:space="preserve">Egyéb szolgáltatások  </t>
  </si>
  <si>
    <t>K337</t>
  </si>
  <si>
    <t>Közhatalmi bevételek mindösszesen:</t>
  </si>
  <si>
    <t>B3</t>
  </si>
  <si>
    <t xml:space="preserve">Szolgáltatási kiadások </t>
  </si>
  <si>
    <t>K33</t>
  </si>
  <si>
    <t xml:space="preserve">Készletértékesítés ellenértéke </t>
  </si>
  <si>
    <t>B401</t>
  </si>
  <si>
    <t xml:space="preserve">Kiküldetések kiadásai </t>
  </si>
  <si>
    <t>K341</t>
  </si>
  <si>
    <t xml:space="preserve">Szolgáltatások ellenértéke </t>
  </si>
  <si>
    <t>B402</t>
  </si>
  <si>
    <t xml:space="preserve">Reklám- és propagandakiadások </t>
  </si>
  <si>
    <t>K342</t>
  </si>
  <si>
    <t xml:space="preserve">Kiküldetések, reklám- és propagandakiadások </t>
  </si>
  <si>
    <t>K34</t>
  </si>
  <si>
    <t>B403</t>
  </si>
  <si>
    <t xml:space="preserve">Működési célú előzetesen felszámított általános forgalmi adó </t>
  </si>
  <si>
    <t>K351</t>
  </si>
  <si>
    <t>B405</t>
  </si>
  <si>
    <t xml:space="preserve">Fizetendő általános forgalmi adó  </t>
  </si>
  <si>
    <t>K352</t>
  </si>
  <si>
    <t xml:space="preserve">Kiszámlázott általános forgalmi adó </t>
  </si>
  <si>
    <t>B406</t>
  </si>
  <si>
    <t>Kamatkiadások</t>
  </si>
  <si>
    <t>K353</t>
  </si>
  <si>
    <t xml:space="preserve">Kamatbevételek és más nyereségjellegű bevételek </t>
  </si>
  <si>
    <t>B408</t>
  </si>
  <si>
    <t xml:space="preserve">Egyéb dologi kiadások </t>
  </si>
  <si>
    <t>K355</t>
  </si>
  <si>
    <t>Biztosító által fizetett kártérítés</t>
  </si>
  <si>
    <t>B410</t>
  </si>
  <si>
    <t>Különféle befizetések és egyéb dologi kiadások</t>
  </si>
  <si>
    <t>K35</t>
  </si>
  <si>
    <t xml:space="preserve">Dologi kiadások </t>
  </si>
  <si>
    <t>K3</t>
  </si>
  <si>
    <t>Működési bevételek mindösszesen</t>
  </si>
  <si>
    <t>B4</t>
  </si>
  <si>
    <t xml:space="preserve">Működési célú átvett pénzeszközök </t>
  </si>
  <si>
    <t>B6</t>
  </si>
  <si>
    <t>Ellátottak pénzbeli juttatásai  (K4)</t>
  </si>
  <si>
    <t>K4</t>
  </si>
  <si>
    <t xml:space="preserve">Felhalmozási célú átvett pénzeszközök </t>
  </si>
  <si>
    <t>B7</t>
  </si>
  <si>
    <t xml:space="preserve"> (B1-B7)</t>
  </si>
  <si>
    <t>Egyéb működési célú kiadások</t>
  </si>
  <si>
    <t>K5</t>
  </si>
  <si>
    <t>Immateriális javak beszerzése, létesítése</t>
  </si>
  <si>
    <t>K61</t>
  </si>
  <si>
    <t xml:space="preserve">Ingatlanok beszerzése, létesítése </t>
  </si>
  <si>
    <t>K62</t>
  </si>
  <si>
    <t xml:space="preserve">Informatikai eszközök beszerzése, létesítése 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</si>
  <si>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</si>
  <si>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</si>
  <si>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</si>
  <si>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</si>
  <si>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</si>
  <si>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>Beruházások</t>
  </si>
  <si>
    <t>K6</t>
  </si>
  <si>
    <t>Ingatlanok felújítása</t>
  </si>
  <si>
    <t>K71</t>
  </si>
  <si>
    <t xml:space="preserve">Felújítási célú előzetesen felszámított általános forgalmi adó </t>
  </si>
  <si>
    <t>K74</t>
  </si>
  <si>
    <t xml:space="preserve">Felújítások </t>
  </si>
  <si>
    <t>K7</t>
  </si>
  <si>
    <t>Előző év költségvetési maradványának igénybevétele</t>
  </si>
  <si>
    <t>(B8131)</t>
  </si>
  <si>
    <t xml:space="preserve">Államháztartáson belüli megelőlegezések visszafizetése </t>
  </si>
  <si>
    <t>K914</t>
  </si>
  <si>
    <t xml:space="preserve">Maradvány igénybevétele </t>
  </si>
  <si>
    <t>(B813)</t>
  </si>
  <si>
    <t xml:space="preserve">Központi, irányító szervi támogatások folyósítása </t>
  </si>
  <si>
    <t>K915</t>
  </si>
  <si>
    <t xml:space="preserve">Belföldi finanszírozás bevételei </t>
  </si>
  <si>
    <t>(B81)</t>
  </si>
  <si>
    <t xml:space="preserve">Belföldi finanszírozás kiadásai </t>
  </si>
  <si>
    <t>K91</t>
  </si>
  <si>
    <t>Finanszírozási bevételek</t>
  </si>
  <si>
    <t>(B8)</t>
  </si>
  <si>
    <t xml:space="preserve">Finanszírozási kiadások </t>
  </si>
  <si>
    <t>K9</t>
  </si>
  <si>
    <t>Mindösszesen bevétel:</t>
  </si>
  <si>
    <t>Mindösszesen kiadás:</t>
  </si>
  <si>
    <t>Megnevezés/Intézmény felhasználó megnevezése</t>
  </si>
  <si>
    <t>Mindösszesen</t>
  </si>
  <si>
    <t>Személyi jellegű ráfordítások K1</t>
  </si>
  <si>
    <t>Munkaadókat terhelő járulékok K2</t>
  </si>
  <si>
    <t>Dologi kiadások K3</t>
  </si>
  <si>
    <t>Beruházások K6</t>
  </si>
  <si>
    <t>Mindösszesen kiadás intézmény:</t>
  </si>
  <si>
    <t>Működési célú bevételek B16</t>
  </si>
  <si>
    <t>Működési bevételek B4</t>
  </si>
  <si>
    <t>Előző év költségvetési maradványának igénybevétele B813</t>
  </si>
  <si>
    <t>Központi, irányítószervi támogatás B816</t>
  </si>
  <si>
    <t>Mindösszesen bevétel intézmény:</t>
  </si>
  <si>
    <t>Ellenőrző sor</t>
  </si>
  <si>
    <t>Könyvbeszerzés</t>
  </si>
  <si>
    <t>Folyóírat</t>
  </si>
  <si>
    <t>Egyéb információ hordozó</t>
  </si>
  <si>
    <t>Egyéb szakmai anyag</t>
  </si>
  <si>
    <t>Irodaszer-, nyomtatvány</t>
  </si>
  <si>
    <t>Hajtó- és kenőanyag beszerzés</t>
  </si>
  <si>
    <t>Karbantartási anyag beszerzés</t>
  </si>
  <si>
    <t>Tisztítószer beszerzés</t>
  </si>
  <si>
    <t>Egyéb üzemeltetési anyag</t>
  </si>
  <si>
    <t>Informatikai eszközök, szolgáltatások bérleti díja</t>
  </si>
  <si>
    <t>Informatikai eszközök karbantartási díja</t>
  </si>
  <si>
    <t>Adatátviteli célú eszközök</t>
  </si>
  <si>
    <t>Egyéb különféle informatikai szolgáltatások</t>
  </si>
  <si>
    <t>Nem adatátviteli célú távközlési eszközök díja</t>
  </si>
  <si>
    <t>Egyéb különféle kommunikációs szolgáltatások díjai</t>
  </si>
  <si>
    <t>Villamosenergia</t>
  </si>
  <si>
    <t>Gázenergia</t>
  </si>
  <si>
    <t>Vízdíj</t>
  </si>
  <si>
    <t>Vásárolt közszolgáltatás</t>
  </si>
  <si>
    <t>Számlázott szellemi tevékenység</t>
  </si>
  <si>
    <t>Egyéb szakmai szolgáltatások</t>
  </si>
  <si>
    <t>Biztosítási díjak</t>
  </si>
  <si>
    <t>Bankköltségek</t>
  </si>
  <si>
    <t>Szállítási szolgáltatási díjak</t>
  </si>
  <si>
    <t>Postai díjak</t>
  </si>
  <si>
    <t>Szemétszállítási kiadások</t>
  </si>
  <si>
    <t>Egyéb üzemeltetési szolgáltatások</t>
  </si>
  <si>
    <t>Levonható ÁFA</t>
  </si>
  <si>
    <t>Le nem vonható ÁFA</t>
  </si>
  <si>
    <t>Díjak, egyéb kifizetések</t>
  </si>
  <si>
    <t>Késedelmi kamatok, pótlékok</t>
  </si>
  <si>
    <t>Gyógyszer beszerzés</t>
  </si>
  <si>
    <t>Vegyszerbeszerzés</t>
  </si>
  <si>
    <t>Sorszám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</si>
  <si>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</si>
  <si>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</si>
  <si>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</si>
  <si>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</si>
  <si>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</si>
  <si>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Végkielégítés</t>
  </si>
  <si>
    <t>K1105</t>
  </si>
  <si>
    <t>Béren kívüli juttatások</t>
  </si>
  <si>
    <t>Ruházati költségtérítés</t>
  </si>
  <si>
    <t>K1108</t>
  </si>
  <si>
    <t>Közlekedési költségtérítés</t>
  </si>
  <si>
    <t>Egyéb költségtérítések</t>
  </si>
  <si>
    <t>Lakhatási támogatások</t>
  </si>
  <si>
    <t>K1111</t>
  </si>
  <si>
    <t>Szociális támogatások</t>
  </si>
  <si>
    <t>K1112</t>
  </si>
  <si>
    <t>Foglalkoztatottak egyéb személyi juttatásai</t>
  </si>
  <si>
    <t>Foglalkoztatottak személyi juttatásai (=01+...+13)</t>
  </si>
  <si>
    <t>Külső személyi juttatások (=15+16+17)</t>
  </si>
  <si>
    <t>Személyi juttatások (=14+18)</t>
  </si>
  <si>
    <t>Munkaadókat terhelő járulékok és szociális hozzájárulási adó</t>
  </si>
  <si>
    <t>Szakmai anyagok beszerzése</t>
  </si>
  <si>
    <t>Vegyszer beszerzés</t>
  </si>
  <si>
    <t>Üzemeltetési anyagok beszerzése</t>
  </si>
  <si>
    <t>Irodaszerbeszerzés</t>
  </si>
  <si>
    <t>Munkaruha,védőruha beszerzés</t>
  </si>
  <si>
    <t>Egyéb üzemeltetési anyagok</t>
  </si>
  <si>
    <t>Karbantartási anyag beszerzési</t>
  </si>
  <si>
    <t>Készletbeszerzés összesen</t>
  </si>
  <si>
    <t>Informatikai szolgáltatások igénybevétele</t>
  </si>
  <si>
    <t>Rendszerkarbantartási díjak</t>
  </si>
  <si>
    <t>Egyéb kommunikációs szolgáltatások</t>
  </si>
  <si>
    <t>Közüzemi díjak</t>
  </si>
  <si>
    <t>Villamos energia</t>
  </si>
  <si>
    <t>Gáz energia szolgáltatási díjak</t>
  </si>
  <si>
    <t>Víz díj</t>
  </si>
  <si>
    <t>Vásárolt élelmezés</t>
  </si>
  <si>
    <t>Gyermek étkeztetés beszerzés</t>
  </si>
  <si>
    <t>Bérleti és lízing díjak</t>
  </si>
  <si>
    <t>Közvetített szolgáltatások</t>
  </si>
  <si>
    <t>K335</t>
  </si>
  <si>
    <t>Szakmai tevékenységet segítő szolgáltatások</t>
  </si>
  <si>
    <t>Egyéb szolgáltatások</t>
  </si>
  <si>
    <t>Postai szolgáltatás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</si>
  <si>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</si>
  <si>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</si>
  <si>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</si>
  <si>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</si>
  <si>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Egyéb pénzügyi műveletek kiadásai</t>
  </si>
  <si>
    <t>K354</t>
  </si>
  <si>
    <t>Egyéb dologi kiadások</t>
  </si>
  <si>
    <t xml:space="preserve">Költség általány 2015. évi </t>
  </si>
  <si>
    <t>Díjak, egyéb befizetések-fizetési felszólítási díjak</t>
  </si>
  <si>
    <t>Késedelmi kamat</t>
  </si>
  <si>
    <t>Egyéb különféle dologi kiadások</t>
  </si>
  <si>
    <t xml:space="preserve">Különféle befizetések és egyéb dologi kiadások </t>
  </si>
  <si>
    <t xml:space="preserve">II. Dologi kiadások </t>
  </si>
  <si>
    <t>Ingatlanok beszerzése, létesítése</t>
  </si>
  <si>
    <t>Informatikai eszközök beszerzése, létesítése</t>
  </si>
  <si>
    <t>Részesedések beszerzése</t>
  </si>
  <si>
    <t>K65</t>
  </si>
  <si>
    <t>Meglévő részesedések növeléséhez kapcsolódó kiadások</t>
  </si>
  <si>
    <t>K66</t>
  </si>
  <si>
    <t>Informatikai eszközök felújítása</t>
  </si>
  <si>
    <t>K72</t>
  </si>
  <si>
    <t>Egyéb tárgyi eszközök felújítása</t>
  </si>
  <si>
    <t>K73</t>
  </si>
  <si>
    <t>Bevételek</t>
  </si>
  <si>
    <t>Intézményi finanszírozás</t>
  </si>
  <si>
    <t>B816</t>
  </si>
  <si>
    <t>BEVÉTELEK MINDÖSSZESEN</t>
  </si>
  <si>
    <t>Mobil telefon</t>
  </si>
  <si>
    <t>Vezetékes telefon</t>
  </si>
  <si>
    <t>Bankszámla vezetéshez kapcsolódó kiadások</t>
  </si>
  <si>
    <t>Szemét szállítási díj</t>
  </si>
  <si>
    <t>Egyéb üzemeltetési szolgáltatások (rágcsálóírtás, munka- és tűzvédelmi feladatok, tűzoltókészülékek cseréje)</t>
  </si>
  <si>
    <t>III. BERUHÁZÁSI KIADÁSOK ÖSSZESEN:</t>
  </si>
  <si>
    <t>IV. FELÚJÍTÁSI KIADÁSOK ÖSSZESEN:</t>
  </si>
  <si>
    <t>KIADÁSOK ÖSSZESEN:</t>
  </si>
  <si>
    <t>ELLENŐRZŐ EGYENLEG:</t>
  </si>
  <si>
    <t>ÓVODA MINDÖSSZESEN</t>
  </si>
  <si>
    <t>Reprezentáció</t>
  </si>
  <si>
    <t>óvodai éves beszámoló csomag</t>
  </si>
  <si>
    <t>Logopédiai szolgáltatás</t>
  </si>
  <si>
    <t xml:space="preserve">Egyéb szakmai szolgáltatás (2 fő dajka tanfolyamdíj, konferenciák)     </t>
  </si>
  <si>
    <t>Intézményi étkeztetés</t>
  </si>
  <si>
    <t>Intézményi étkeztetés ÁFA</t>
  </si>
  <si>
    <t>adatok Ft-ban</t>
  </si>
  <si>
    <t>Felújítások K7</t>
  </si>
  <si>
    <t>ebből állami normatíva dologi  kiadások</t>
  </si>
  <si>
    <t>ebből állami normatíva: Személyi jellegű ráfordítások</t>
  </si>
  <si>
    <t>Működési célú kapott támogatások B6</t>
  </si>
  <si>
    <t>Költségvetési bevételek</t>
  </si>
  <si>
    <t>Költségvetési kiadások</t>
  </si>
  <si>
    <t>Foglalkoztatottak személyi juttatásai</t>
  </si>
  <si>
    <t>Munkadókat terhelő járulékok és szociális hozzájárulási adó</t>
  </si>
  <si>
    <t>Dologi kiadások</t>
  </si>
  <si>
    <t>Előző évi maradvány igénybevétele</t>
  </si>
  <si>
    <t>B813</t>
  </si>
  <si>
    <t>Mindösszesen:</t>
  </si>
  <si>
    <t>adatok  Ft-ban</t>
  </si>
  <si>
    <t>MŰKÖDÉS</t>
  </si>
  <si>
    <t>Kiadás</t>
  </si>
  <si>
    <t>Megnevezés</t>
  </si>
  <si>
    <t>Önkormányzat</t>
  </si>
  <si>
    <t>Költségvetési intézmények</t>
  </si>
  <si>
    <t>Összesen</t>
  </si>
  <si>
    <t>Működési célú költségvetési bevételek</t>
  </si>
  <si>
    <t>Működési célú költségvetési kiadások</t>
  </si>
  <si>
    <t>Működési költségvetési egyenleg</t>
  </si>
  <si>
    <t>Működési célú belső finanszírozásra szolgáló FINANSZÍROZÁSI bevételek</t>
  </si>
  <si>
    <t>Működési célú FINANSZÍROZÁSI kiadások</t>
  </si>
  <si>
    <t>Előző év költségvetési, vállalkozási maradványának igénybevétele működési célra</t>
  </si>
  <si>
    <t>Belföldi értékpapírok kiadásai</t>
  </si>
  <si>
    <t>Belföldi (irányítószervi) finanszírozás bevétele</t>
  </si>
  <si>
    <t>Egyéb belföldi irányítószervi finanszírozási kiadás</t>
  </si>
  <si>
    <t>Betétek megszüntetése</t>
  </si>
  <si>
    <t>Megelőlegezés</t>
  </si>
  <si>
    <t>Működési egyenleg</t>
  </si>
  <si>
    <t>FELHALMOZÁSI</t>
  </si>
  <si>
    <t>Felhalmozási célú költségvetési bevételek</t>
  </si>
  <si>
    <t>Felhalmozási célú költségvetési kiadások</t>
  </si>
  <si>
    <t>Előző év költségvetési, vállalkozási maradványának igénybevétele felhalmozási célra</t>
  </si>
  <si>
    <t>Forgatási célú belföldi értékpapírok bevételei</t>
  </si>
  <si>
    <t>Befektetési célú belföldi értékpapírok kiadásai</t>
  </si>
  <si>
    <t>Befektetési célú belföldi értékpapírok bevételei</t>
  </si>
  <si>
    <t>Rövidlejáratú felhalmozási hitel törlesztése</t>
  </si>
  <si>
    <t>Hosszú lejáratú hitelek törlesztése</t>
  </si>
  <si>
    <t>Felhalmozási célú külső finanszírozásra szolgáló FINANSZÍROZÁSI bevételek</t>
  </si>
  <si>
    <t>Egyéb belföldi finanszírozási kiadások</t>
  </si>
  <si>
    <t>Kötvény kibocsátás bevétele</t>
  </si>
  <si>
    <t>Hosszú lejáratú hitelek felvétele</t>
  </si>
  <si>
    <t>Felhalmozási egyenleg</t>
  </si>
  <si>
    <t>Költségvetési bevételek összesen</t>
  </si>
  <si>
    <t>Költségvetési kiadások összesen</t>
  </si>
  <si>
    <t>Költségvetési bevételek főösszege</t>
  </si>
  <si>
    <t>Költségvetési kiadások főösszege</t>
  </si>
  <si>
    <t>Finanszírozási bevételek összesen</t>
  </si>
  <si>
    <t>Finanszírozási kiadások összesen</t>
  </si>
  <si>
    <t>Finanszírozási bevételek főösszege</t>
  </si>
  <si>
    <t>Finanszírozási kiadások főösszege</t>
  </si>
  <si>
    <t>ÖSSZES BEVÉTEL</t>
  </si>
  <si>
    <t>ÖSSZES KIADÁS</t>
  </si>
  <si>
    <t>BEVÉTELEK FŐÖSSZEGE</t>
  </si>
  <si>
    <t>KIADÁSOK FŐÖSSZEGE</t>
  </si>
  <si>
    <t>Cím</t>
  </si>
  <si>
    <t>Alcím</t>
  </si>
  <si>
    <t>Jogcím</t>
  </si>
  <si>
    <t>Előirányzati csop.</t>
  </si>
  <si>
    <t>Cím megnevezése</t>
  </si>
  <si>
    <t>Alcím, jogcím, előirányzat megnevezése</t>
  </si>
  <si>
    <t>2017. évi eredeti előirányzat</t>
  </si>
  <si>
    <t>jogcím</t>
  </si>
  <si>
    <t>Előirányzat</t>
  </si>
  <si>
    <t>száma:</t>
  </si>
  <si>
    <t>Működési bevételek</t>
  </si>
  <si>
    <t>Működési célú támogatások államháztartáson belülről (B1)</t>
  </si>
  <si>
    <t>Működési kiadások</t>
  </si>
  <si>
    <t>Felhalmozási célú támogatások államháztartáson belül  (B2)</t>
  </si>
  <si>
    <t>Önkormányzati tevékenység</t>
  </si>
  <si>
    <t>Közhatalmi bevételek (B3)</t>
  </si>
  <si>
    <t>Városüzemeltetés</t>
  </si>
  <si>
    <t>Vagyoni típusú adók</t>
  </si>
  <si>
    <t>Vagyongazdálkodás</t>
  </si>
  <si>
    <t>Értékesítési és forgalmi adók</t>
  </si>
  <si>
    <t>Szociális feladatok</t>
  </si>
  <si>
    <t>Gépjárműadó</t>
  </si>
  <si>
    <t>Egészségügyi feladatok</t>
  </si>
  <si>
    <t>Egyéb áruhasználati és szolgáltatási adó</t>
  </si>
  <si>
    <t>Közfoglalkoztatási program</t>
  </si>
  <si>
    <t>Egyéb közhatalmi bevétel</t>
  </si>
  <si>
    <t>Működési bevételek (B4)</t>
  </si>
  <si>
    <t>Egyéb feladatok</t>
  </si>
  <si>
    <t>Szolgáltatások ellenértéke</t>
  </si>
  <si>
    <t>Felhalmozási kiadások</t>
  </si>
  <si>
    <t>Ellátási díjak</t>
  </si>
  <si>
    <t>Kiszámlázott ÁFA</t>
  </si>
  <si>
    <t>Felhalmozási bevételek (B5)</t>
  </si>
  <si>
    <t>Felújítási kiadások</t>
  </si>
  <si>
    <t>Működési célú átvett pénzeszközök (B6)</t>
  </si>
  <si>
    <t>Felhalmozási célú átvett pénzeszközök (B7)</t>
  </si>
  <si>
    <t>Finanszírozási bevételek (B8)</t>
  </si>
  <si>
    <t>Államháztartáson belüli megelőlegezések visszafizetése (K914)</t>
  </si>
  <si>
    <t>Bevételek összesen</t>
  </si>
  <si>
    <t>Kiadások összesen</t>
  </si>
  <si>
    <t>adatok ezer Ft-ban</t>
  </si>
  <si>
    <t>Előir.</t>
  </si>
  <si>
    <t>Alcím, jogcím,  előirányzat megnevezése</t>
  </si>
  <si>
    <t>Bevétel</t>
  </si>
  <si>
    <t>Kötelező feladat</t>
  </si>
  <si>
    <t>Települési önkormányzatok általános működésének támogatása B111</t>
  </si>
  <si>
    <t>Települési önkormányzatok egyes köznevelési feladatainak támogatása összesen B112</t>
  </si>
  <si>
    <t>Települési önkormányzatok szociális , gyermekjóléti és gyermekétkeztetési feladatainak támogatása összesen B113</t>
  </si>
  <si>
    <t>Települési önkormányzatok kulturális jellegű feladatainak támogatása B114</t>
  </si>
  <si>
    <t>5.</t>
  </si>
  <si>
    <t>Működési célú költségvetési támogatások és kiegészítő támogatások B115</t>
  </si>
  <si>
    <t>6.</t>
  </si>
  <si>
    <t>Elszámolásból származó bevételek B116</t>
  </si>
  <si>
    <t>Működési támogatások összesen (B11)</t>
  </si>
  <si>
    <t>7.</t>
  </si>
  <si>
    <t>Egyéb működési bevételek államháztartáson belül (B16)</t>
  </si>
  <si>
    <t>7.1.</t>
  </si>
  <si>
    <t>Fejezeti kezelésű előirányzatok EU-s programokra és azok hazai társfinanszírozása</t>
  </si>
  <si>
    <t>7.2.</t>
  </si>
  <si>
    <t xml:space="preserve">Társadalombiztosítás pénzügyi alapjai </t>
  </si>
  <si>
    <t>7.3.</t>
  </si>
  <si>
    <t>Elkülönített állami pénzalaptól érkező támogatás</t>
  </si>
  <si>
    <t>Működési célú támogatások államháztartáson belülről összesen (B1)</t>
  </si>
  <si>
    <t>Felhalmozási célú támogatások államháztartáson belülről (B2)</t>
  </si>
  <si>
    <t>1.</t>
  </si>
  <si>
    <t>Vagyoni típusú adók (B34)</t>
  </si>
  <si>
    <t>1.1.</t>
  </si>
  <si>
    <t>Magánszemélyek kommunális adója</t>
  </si>
  <si>
    <t>2.</t>
  </si>
  <si>
    <t>Értékesítési és forgalmi adó (B351)</t>
  </si>
  <si>
    <t>2.1.</t>
  </si>
  <si>
    <t>Helyi iparűzési adó</t>
  </si>
  <si>
    <t>3.</t>
  </si>
  <si>
    <t>Gépjárműadó (B354)</t>
  </si>
  <si>
    <t>4.</t>
  </si>
  <si>
    <t>Egyéb áruhasználati és szolgáltatási adó (B355)</t>
  </si>
  <si>
    <t>4.1.</t>
  </si>
  <si>
    <t>Talajterhelési díj</t>
  </si>
  <si>
    <t>Egyéb közhatalmi bevételek (B36)</t>
  </si>
  <si>
    <t>Közhatalmi bevételek mindösszesen (B3)</t>
  </si>
  <si>
    <t>Szolgáltatások ellenértéke (B402)</t>
  </si>
  <si>
    <t>Közvetített szolgáltatások (B403)</t>
  </si>
  <si>
    <t>Ellátási díjak (B405)</t>
  </si>
  <si>
    <t>Kiszámlázott ÁFA (B406</t>
  </si>
  <si>
    <t>Működési bevételek összesen (B4)</t>
  </si>
  <si>
    <t>Költségvetési bevételek mindösszesen (B1-B7)</t>
  </si>
  <si>
    <t>Finanszírozási bevételek  (B8)</t>
  </si>
  <si>
    <t>8.1.</t>
  </si>
  <si>
    <t>Működési célra</t>
  </si>
  <si>
    <t>8.2.</t>
  </si>
  <si>
    <t>Felhalmozási célra</t>
  </si>
  <si>
    <t>Finanszírozási bevételek mindösszesen (B8)</t>
  </si>
  <si>
    <t>Önkormányzat bevételei összesen</t>
  </si>
  <si>
    <t>Jogcím csop.</t>
  </si>
  <si>
    <t>Ei.</t>
  </si>
  <si>
    <t>Jogcímcsop.</t>
  </si>
  <si>
    <t>Működési költségvetés</t>
  </si>
  <si>
    <t>Felhalmozási költségvetés</t>
  </si>
  <si>
    <t>Költségvetési kiadásdok Összes</t>
  </si>
  <si>
    <t>Személyi juttatás</t>
  </si>
  <si>
    <t>Munkaadókat terhelő jár., szocho</t>
  </si>
  <si>
    <t>Ellátottak pénzbeli juttatásai</t>
  </si>
  <si>
    <t>Egyéb működési célú kiadás</t>
  </si>
  <si>
    <t>Össz.</t>
  </si>
  <si>
    <t>Beruházás</t>
  </si>
  <si>
    <t>Felújítás</t>
  </si>
  <si>
    <t>Egyéb felhalm.célú kiadás</t>
  </si>
  <si>
    <t>Elvonások, befizetések</t>
  </si>
  <si>
    <t>Támogatás Államháztartáson belül</t>
  </si>
  <si>
    <t>Támogatás Államh.kívül</t>
  </si>
  <si>
    <t>Támogatás ÁH-n belül</t>
  </si>
  <si>
    <t>Támogatás ÁH-n kívül</t>
  </si>
  <si>
    <t>K8</t>
  </si>
  <si>
    <t>Általános működés</t>
  </si>
  <si>
    <t>Kötelező feladatok</t>
  </si>
  <si>
    <t>Önkormányzati tevékenység összesen:</t>
  </si>
  <si>
    <t>Városüzemeltetési feladatok</t>
  </si>
  <si>
    <t>Város- és községgazdálkodás</t>
  </si>
  <si>
    <t>Közutak fenntartása, működtetése</t>
  </si>
  <si>
    <t>Közvilágítás</t>
  </si>
  <si>
    <t>Köztemető fenntartás</t>
  </si>
  <si>
    <t>Zöldterület kezelés</t>
  </si>
  <si>
    <t>Városüzemeltetés összesen</t>
  </si>
  <si>
    <t>Önként vállalt feladatok</t>
  </si>
  <si>
    <t>Nem lakóingatlan fenntartási és üzemeltetési kiadásai</t>
  </si>
  <si>
    <t>Általános vagyongazdálkodás</t>
  </si>
  <si>
    <t>Vagyongazdálkodás összesen:</t>
  </si>
  <si>
    <t>Települési támogatás</t>
  </si>
  <si>
    <t>1.2.</t>
  </si>
  <si>
    <t>Ösztöndíj</t>
  </si>
  <si>
    <t>Kistérségi szociális feladat ellátás</t>
  </si>
  <si>
    <t>Szociális feladatok összesen</t>
  </si>
  <si>
    <t>Védőnői szolgálat</t>
  </si>
  <si>
    <t>Egészségügyi feladatok összesen:</t>
  </si>
  <si>
    <t>Közfoglalkoztatás</t>
  </si>
  <si>
    <t>Közfoglalkoztatás összesen</t>
  </si>
  <si>
    <t>Civil szervezetek támogatása</t>
  </si>
  <si>
    <t>Általános tartalék</t>
  </si>
  <si>
    <t>Egyéb feladatok összesen</t>
  </si>
  <si>
    <t>Önkormányzat gazdálkodási körébe tartozó működési kiadások összesen</t>
  </si>
  <si>
    <t>OEP finanszírozás</t>
  </si>
  <si>
    <t>Védőnői finanszírozás</t>
  </si>
  <si>
    <t>Iskolai egészségügyi fin</t>
  </si>
  <si>
    <t>Közfoglalkoztatási támogatás</t>
  </si>
  <si>
    <t>Orvosi feladatellátás</t>
  </si>
  <si>
    <t>Általános kiadások (011130)</t>
  </si>
  <si>
    <t>Vagyon gazdálkodás</t>
  </si>
  <si>
    <t>Szabadidős és sport tevékenységi feladatok ellátása</t>
  </si>
  <si>
    <t>Szociális feladat ellátás</t>
  </si>
  <si>
    <t>Egészségügyi feladat ellátás</t>
  </si>
  <si>
    <t>Nem lakóingatlan üzemeltetése (013350)</t>
  </si>
  <si>
    <t>Szünidei gyermekétkeztetés (104037)</t>
  </si>
  <si>
    <t>Védőnői szolgálat (074031)</t>
  </si>
  <si>
    <t>Házi orvosi alap ellátás (072111)</t>
  </si>
  <si>
    <t>Házi orvosi ügyeleti ellátás (072112)</t>
  </si>
  <si>
    <t>2017. évi előirányzat eredeti</t>
  </si>
  <si>
    <t>Kulutrális szolgáltatási tevékenység</t>
  </si>
  <si>
    <t>Önkormányzati általános tevékenység</t>
  </si>
  <si>
    <t>Város- és községgazdálkodási feladatok (066020)</t>
  </si>
  <si>
    <t>Közutak üzemeltetése (045160)</t>
  </si>
  <si>
    <t>Közvilágítás (064010)</t>
  </si>
  <si>
    <t>Köztemető fenntartása, üzemeltetése (013320)</t>
  </si>
  <si>
    <t>Zöldterület kezelés (066010)</t>
  </si>
  <si>
    <t>Mindösszesen (zárójelben COFOG)</t>
  </si>
  <si>
    <t>Közfoglalkoztatási program (041233)</t>
  </si>
  <si>
    <t>adatok Forintban</t>
  </si>
  <si>
    <t>1.3.</t>
  </si>
  <si>
    <t>Építményadó</t>
  </si>
  <si>
    <t>Telekadó</t>
  </si>
  <si>
    <t>Készletértékesítés ellenértéke (B401)</t>
  </si>
  <si>
    <t>Egyéb működési bevétel (B411)</t>
  </si>
  <si>
    <t>Készletértékesítés bevétele</t>
  </si>
  <si>
    <t>Szabadidős és sport tevékenységi feladatok mindösszesen 2017. évi eredeti előirányzat</t>
  </si>
  <si>
    <t>Egészségügyi feladat ellátás mindösszesen</t>
  </si>
  <si>
    <t>Szünidei gyermekétkeztetés</t>
  </si>
  <si>
    <t>ellenőrző oszlop</t>
  </si>
  <si>
    <t>Szabadidős és sporttevékenység</t>
  </si>
  <si>
    <t>Önként vállalt feladat</t>
  </si>
  <si>
    <t>Szabadidős és sporttevékenység mindösszesen</t>
  </si>
  <si>
    <t>Jogcímek</t>
  </si>
  <si>
    <t>4.1.1.</t>
  </si>
  <si>
    <t>Települési támogatások szoc.tv.45§ (K48)</t>
  </si>
  <si>
    <t>Bursa Hungarica ösztöndíj</t>
  </si>
  <si>
    <t>Összesen:</t>
  </si>
  <si>
    <t>Kulturális szolgáltatási tevékenység mindösszesen</t>
  </si>
  <si>
    <t>Kulturális szolgálatási tevékenység</t>
  </si>
  <si>
    <t>Átadott pénzeszközök</t>
  </si>
  <si>
    <t>Ellenőrző oszlop</t>
  </si>
  <si>
    <t xml:space="preserve">I. SZEMÉLYI JELLEGŰ RÁFORDÍTÁSOK ÉS JÁRULÉKOK MINDÖSSZESEN </t>
  </si>
  <si>
    <t>Óvodai nevelés, szakmai feladatok (COFOG: 091110)</t>
  </si>
  <si>
    <t>Óvodai intézményi gyermekétkeztetés (COFOG:096015)</t>
  </si>
  <si>
    <t>Óvoda,vagyon (0961140)</t>
  </si>
  <si>
    <t>2017. évi eredeti</t>
  </si>
  <si>
    <t xml:space="preserve">ebből önkormányzati saját forrás </t>
  </si>
  <si>
    <r>
      <t>Felújítási célú előzetesen felszámított általános forgalmi adó</t>
    </r>
    <r>
      <rPr>
        <b/>
        <sz val="11"/>
        <color indexed="10"/>
        <rFont val="Times New Roman"/>
        <family val="1"/>
        <charset val="238"/>
      </rPr>
      <t xml:space="preserve"> </t>
    </r>
  </si>
  <si>
    <t>7.4.</t>
  </si>
  <si>
    <t>TOP-os pályázatok megelőlegezésének összege</t>
  </si>
  <si>
    <t>összeg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</si>
  <si>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</si>
  <si>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</si>
  <si>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</si>
  <si>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</si>
  <si>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</si>
  <si>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</si>
  <si>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</si>
  <si>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</si>
  <si>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</si>
  <si>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</si>
  <si>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</si>
  <si>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</si>
  <si>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</si>
  <si>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B E V É T E L E K</t>
  </si>
  <si>
    <t>Önkormányzat és intézményei</t>
  </si>
  <si>
    <t>Önkormányzat gazd kör. működési bevételei</t>
  </si>
  <si>
    <t>Önkormányzat gazd.kör. felhalmozási bevételei</t>
  </si>
  <si>
    <t>Költségvetési szervek bevételei</t>
  </si>
  <si>
    <t>Bevételek összesen:</t>
  </si>
  <si>
    <t>K I A D Á S O K</t>
  </si>
  <si>
    <t>Önkormányzat és Intézményei</t>
  </si>
  <si>
    <t>Működési kiadásai</t>
  </si>
  <si>
    <t>Felhalmozási kiadásai</t>
  </si>
  <si>
    <t>Kiadások összesen:</t>
  </si>
  <si>
    <t>Önkormányzat kiadásai összesen:</t>
  </si>
  <si>
    <t>Önkormányzat bevételei összesen:</t>
  </si>
  <si>
    <t>Bevételek, kiadások egyenlege</t>
  </si>
  <si>
    <t>adatok forintban</t>
  </si>
  <si>
    <t>MEGNEVEZÉS</t>
  </si>
  <si>
    <t>Saját bevétel és adósságot keletkeztető ügyletből eredő fizetési kötelezettség összegei</t>
  </si>
  <si>
    <t>ÖSSZESEN
7=(3+4+5+6)</t>
  </si>
  <si>
    <t>Helyi adók</t>
  </si>
  <si>
    <t>01</t>
  </si>
  <si>
    <t>Osztalék, koncessziós díjak</t>
  </si>
  <si>
    <t>02</t>
  </si>
  <si>
    <t>Díjak, pótlékok, bírságok</t>
  </si>
  <si>
    <t>03</t>
  </si>
  <si>
    <t>Tárgyi eszközök, immateriális javak, vagyoni értékű jog értékesítése, vagyonhasznosításból származó bevétel</t>
  </si>
  <si>
    <t>04</t>
  </si>
  <si>
    <t>Részvények, részesedések értékesítése</t>
  </si>
  <si>
    <t>05</t>
  </si>
  <si>
    <t>Vállalatértékesítésből, privatizációból származó bevételek</t>
  </si>
  <si>
    <t>06</t>
  </si>
  <si>
    <t>Kezességvállalással kapcsolatos megtérülés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</si>
  <si>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</si>
  <si>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</si>
  <si>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</si>
  <si>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</si>
  <si>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</si>
  <si>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</si>
  <si>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</si>
  <si>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</si>
  <si>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</si>
  <si>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</si>
  <si>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</si>
  <si>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</si>
  <si>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</si>
  <si>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</si>
  <si>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</si>
  <si>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</si>
  <si>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Kötelezettség jogcíme</t>
  </si>
  <si>
    <t>Kötelezettség vállalás éve</t>
  </si>
  <si>
    <t>Lejárat éve</t>
  </si>
  <si>
    <t>MŰKÖDÉSI CÉLÚ KÖTELEZETTSÉGEK ÖSSZESEN</t>
  </si>
  <si>
    <t>FELHALMOZÁSI CÉLÚ KÖTELEZETTSÉGEK ÖSSZESEN</t>
  </si>
  <si>
    <t>MINDÖSSZESEN:</t>
  </si>
  <si>
    <t>Intézményei</t>
  </si>
  <si>
    <t>ellenőrző sor:</t>
  </si>
  <si>
    <t>Feladat</t>
  </si>
  <si>
    <t>Kötelező</t>
  </si>
  <si>
    <t>Kötelező feladatellátás</t>
  </si>
  <si>
    <t>nem lakás célú ingatlanok bérleti díja</t>
  </si>
  <si>
    <t>B355</t>
  </si>
  <si>
    <t>Alapfokozatú végzettségű mester ped. kieg támogatása</t>
  </si>
  <si>
    <t>Céljuttatás, projekt prémium</t>
  </si>
  <si>
    <t>Fizikoterápiás szolgáltatás (072450)</t>
  </si>
  <si>
    <t>Fizikoterápiás szolgáltatás</t>
  </si>
  <si>
    <t>Járóbetegek gyógyító szakellátása (072210)</t>
  </si>
  <si>
    <t xml:space="preserve"> létfenntartási gondok enyhítése céljából rendkívüli települési támogatás iránti kérelmekről,107060)</t>
  </si>
  <si>
    <t>elhunyt személy eltemettetésének költségeihez való hozzájárulás  (107060)</t>
  </si>
  <si>
    <t>Államháztartáson kívüli működési célú pénzeszköz átadás (K512)</t>
  </si>
  <si>
    <t>Államháztartáson belüli működési célú pénzeszköz átadás (K506)</t>
  </si>
  <si>
    <t>Civil szervezetek támogatása pályázat útján (polgármesteri hatáskör)</t>
  </si>
  <si>
    <t>Fejlesztési tartalék</t>
  </si>
  <si>
    <t>Tartalék</t>
  </si>
  <si>
    <t>kötelező feladat</t>
  </si>
  <si>
    <t>Karbantartási, kisjavítási szolgáltatások</t>
  </si>
  <si>
    <t>egyéb szakmai anyag beszerzés (fejlesztő játékok)</t>
  </si>
  <si>
    <t>Óvodai nevelés, működési feladatok (091140)</t>
  </si>
  <si>
    <t>Önkormányzati rendezvénye</t>
  </si>
  <si>
    <t>Járóbeteg gyógyító szakellátás</t>
  </si>
  <si>
    <t>Házi orvosi ügyeleti és szakellátás</t>
  </si>
  <si>
    <t>Sporttelep üzemeltetés</t>
  </si>
  <si>
    <t>Költségvetési működési egyenleg</t>
  </si>
  <si>
    <t>Finanszírozási egyenleg</t>
  </si>
  <si>
    <r>
      <t>Beruházási célú előzetesen felszámított általános forgalmi adó</t>
    </r>
    <r>
      <rPr>
        <b/>
        <sz val="11"/>
        <color indexed="10"/>
        <rFont val="Times New Roman"/>
        <family val="1"/>
        <charset val="238"/>
      </rPr>
      <t xml:space="preserve"> </t>
    </r>
  </si>
  <si>
    <t xml:space="preserve">Egyéb tárgyi eszközök felújítása </t>
  </si>
  <si>
    <t>Intézmény /szakfeladat/</t>
  </si>
  <si>
    <t xml:space="preserve">engedélyezett létszám összesen </t>
  </si>
  <si>
    <t>Engedélyezett létszám</t>
  </si>
  <si>
    <t>szakmai létszám</t>
  </si>
  <si>
    <t>egyéb létszám</t>
  </si>
  <si>
    <t>közfoglal</t>
  </si>
  <si>
    <t>teljes munkai.</t>
  </si>
  <si>
    <t>választott köztiszt.</t>
  </si>
  <si>
    <t>részmunkaidős</t>
  </si>
  <si>
    <t>teljes munkaidős</t>
  </si>
  <si>
    <t>részmunkaid.</t>
  </si>
  <si>
    <t xml:space="preserve">Önkormányzat </t>
  </si>
  <si>
    <t xml:space="preserve">közfoglalkoztatás </t>
  </si>
  <si>
    <t>1. melléklet a ___/2018. (II……..) önkormányzati rendelethez</t>
  </si>
  <si>
    <t>2. melléklet a ___/2018. (II. …...) önkormányzati rendelethez</t>
  </si>
  <si>
    <t>2018. ÉVI KÖLTSÉGVETÉS</t>
  </si>
  <si>
    <t>4. melléklet a ___/2018. (II…....) önkormányzati rendelethez</t>
  </si>
  <si>
    <t>Önkormányzat gazdálkodási körébe tartozó 2018. évi bevételi előirányzatok</t>
  </si>
  <si>
    <t>5. melléklet a ___/2018. (II…..)önkormányzati rendelethez</t>
  </si>
  <si>
    <t>6. melléklet a ___/2018. (II…..) önkormányzati rendelethez</t>
  </si>
  <si>
    <t>2017. évi teljesítés</t>
  </si>
  <si>
    <t>2018. évi eredeti előirányzat</t>
  </si>
  <si>
    <t>2018. évi előirányzat eredeti előirányzat</t>
  </si>
  <si>
    <t>11. melléklet a ___/2018. (II…...) önkormányzati rendelethez</t>
  </si>
  <si>
    <t>Egyéb önkormányzati rendeletben szabályzott támogatás (K506)</t>
  </si>
  <si>
    <t>13. melléklet a ___/2018. (II. …..) önkormányzati rendelethez</t>
  </si>
  <si>
    <t>2018. évi előirányzat TERV</t>
  </si>
  <si>
    <t>Polgármesteri illetmény támogatása</t>
  </si>
  <si>
    <t>Alapfokozatú végzettségű PED II. besorolás kiegészítése</t>
  </si>
  <si>
    <t>Bölcsődei üzemeltetési ellátás</t>
  </si>
  <si>
    <t>1210 Ft/fő</t>
  </si>
  <si>
    <t>2934 fő</t>
  </si>
  <si>
    <t>7. melléklet a ___/2018. (II. …...) önkormányzati rendelethez</t>
  </si>
  <si>
    <t>ebből: egyéb bírság , pótlék</t>
  </si>
  <si>
    <t>ebből: talajterhelési díj bevétele</t>
  </si>
  <si>
    <t>10. melléklet a ___/2018. (II…...) önkormányzati rendelethez</t>
  </si>
  <si>
    <t>9. melléklet a ___/2018. (II…..) önkormányzati rendelethez</t>
  </si>
  <si>
    <t>2018. évi eredeti</t>
  </si>
  <si>
    <t>Udvari felszerelés</t>
  </si>
  <si>
    <t>Textília</t>
  </si>
  <si>
    <t>Gyermeköltöző</t>
  </si>
  <si>
    <t>Fürdőszoba felszerelés</t>
  </si>
  <si>
    <t>Gyermekszoba felszerelés</t>
  </si>
  <si>
    <t>Pszichológus</t>
  </si>
  <si>
    <t>16. melléklet a ___/2018. (II. …...) önkormányzati rendelethez</t>
  </si>
  <si>
    <t>Önkormányzat gazdálkodási körébe tartozó 2018. évi működési, felhalmozási és felújítási kiadások</t>
  </si>
  <si>
    <t>8. melléklet a ___/2018. (II…...) önkormányzati rendelethez</t>
  </si>
  <si>
    <t>19. melléklet a ___/2018. (II.) önkormányzati rendelethez</t>
  </si>
  <si>
    <t>2018.január01</t>
  </si>
  <si>
    <t>3. melléklet a ___/2018. (II…...) önkormányzati rendelethez</t>
  </si>
  <si>
    <t>12. melléklet a ___/2018. (II. …..) önkormányzati rendelethez</t>
  </si>
  <si>
    <t>14. melléklet a ___/2018. (II…...) önkormányzati rendelethez</t>
  </si>
  <si>
    <t>15. melléklet a ___/2018. (II. …...) önkormányzati rendelethez</t>
  </si>
  <si>
    <t>18 melléklet a ___/2018. (II. …..) önkormányzati rendelethez</t>
  </si>
  <si>
    <t>19. melléklet a ___/2018. (II.    ) önkormányzati rendelethez</t>
  </si>
  <si>
    <t>20. melléklet a ___/2016. (XII. 16.) önkormányzati rendelethez</t>
  </si>
  <si>
    <t>2018. évi előirányzat eredeti</t>
  </si>
  <si>
    <t>Városüzemeltetési feladatok mindösszesen 2018. évi eredeti előirányzat</t>
  </si>
  <si>
    <t>Vagyon gazdálkodási feladatok mindösszesen 2018. évi eredeti előirányzat</t>
  </si>
  <si>
    <t>Szociális feladat ellátás mindösszesen 2018. évi eredeti előirányzat</t>
  </si>
  <si>
    <t>Szűcsi Község Önkormányzatát megillető 2018. évi normatíva és államháztartáson belüli átvett pénzeszközök</t>
  </si>
  <si>
    <t>Szűcsi Község Önkormányzatának 2018. évi összevont költségvetési mérlege</t>
  </si>
  <si>
    <t xml:space="preserve">Szűcsi Község Önkormányzatának 2018. évi összesített intézményi szintű mérlege </t>
  </si>
  <si>
    <t>Szűcsi Község  ÖNKORMÁNYZAT BEVÉTELEI ÉS KIADÁSI FŐELIRÁNYZATAI</t>
  </si>
  <si>
    <t>Szűcsi Község Önkormányzatának 2018. évi közhatalmi bevételei</t>
  </si>
  <si>
    <t>Szűcsi  Község Önkormányzatának 2018. évi működési  bevételei</t>
  </si>
  <si>
    <t>Szűcsi Község Önkormányzata</t>
  </si>
  <si>
    <t>Egyes szociális és gyermekjóléti feladatok támogatása</t>
  </si>
  <si>
    <t>Szociális étkezés</t>
  </si>
  <si>
    <t>Családi bölcsőde</t>
  </si>
  <si>
    <t>Közvetített szolgáltatások ellenértéke  (továbbszámlázott közüzemi díjak)</t>
  </si>
  <si>
    <t xml:space="preserve">egyéb szolgáltatások </t>
  </si>
  <si>
    <t>Szűcsi Óvoda 2018 évi költségvetése</t>
  </si>
  <si>
    <t xml:space="preserve">Konyha </t>
  </si>
  <si>
    <t>Élelmiszer beszerzés</t>
  </si>
  <si>
    <t>Konyha Mindösszesen</t>
  </si>
  <si>
    <t>Szűcsi Óvoda</t>
  </si>
  <si>
    <t>Közvetett támogatás</t>
  </si>
  <si>
    <t>Polgármester</t>
  </si>
  <si>
    <t>Védőnő (megbízási jogviszony)</t>
  </si>
  <si>
    <t>egyéb foglalkoztatási jogviszony</t>
  </si>
  <si>
    <t>Családi bölcsődei gondozónő</t>
  </si>
  <si>
    <t>Technikai dolgozó</t>
  </si>
  <si>
    <t>Kulturális szervező</t>
  </si>
  <si>
    <t>Ügyintéző</t>
  </si>
  <si>
    <t>Vezető pedagógus</t>
  </si>
  <si>
    <t>Óvónő</t>
  </si>
  <si>
    <t>Dajka</t>
  </si>
  <si>
    <t>Élelmezés vezető</t>
  </si>
  <si>
    <t>Konyhai dolgozó</t>
  </si>
  <si>
    <t>Bajza József Községi Sportkör</t>
  </si>
  <si>
    <t>Gyöngyös Közrete Kistérség Többcélú Társulása</t>
  </si>
  <si>
    <t>Társulásnak átadott pénzeszköz</t>
  </si>
  <si>
    <t>lakhatás támogatása iránti kérelmek (107060)-szén támogatás</t>
  </si>
  <si>
    <t>8.1.1.</t>
  </si>
  <si>
    <t>8.1.2.</t>
  </si>
  <si>
    <t>Rendezvények (082091; 016080)</t>
  </si>
  <si>
    <t>Közterület rendjének fenntartása (031030)</t>
  </si>
  <si>
    <t>Ifjúság-egészségügyi gondozás (074032)</t>
  </si>
  <si>
    <t>Sportöltöző (081030)</t>
  </si>
  <si>
    <t>Közművelődési feladatok (082091)</t>
  </si>
  <si>
    <t xml:space="preserve"> 2018. évi előirányzat Eredeti</t>
  </si>
  <si>
    <t>Kulturális szolgáltatási tevékenységek</t>
  </si>
  <si>
    <t>Közművelődési feladatok</t>
  </si>
  <si>
    <t>Ifjúság egészségügyi gondozás</t>
  </si>
  <si>
    <t>Közterület rendjének fenntartása</t>
  </si>
  <si>
    <t>Likviditási célú hitel (B8112)</t>
  </si>
  <si>
    <t>Likviditási célú hitel felvétele</t>
  </si>
  <si>
    <t>Likviditási célú hitel visszafizetése</t>
  </si>
  <si>
    <t>Likviditási célú hitel</t>
  </si>
  <si>
    <t>Szűcsi  Község Önkormányzat</t>
  </si>
  <si>
    <t>Szűcsi Község Önkormányzat</t>
  </si>
  <si>
    <t xml:space="preserve">Működési célú finanszírozásra szolgáló FINANSZÍROZÁSI </t>
  </si>
  <si>
    <t>Szűcsi Község  Önkormányzata adósságot keletkeztető ügyleteiből eredő fizetési kötelezettségeinek bemutatása</t>
  </si>
  <si>
    <t>Szűcsi Község Önkormányzatának 2018. évben nyújtandó közvetett támogatásai</t>
  </si>
  <si>
    <t>Szűcsi Község Önkormányzatának és fenntartása alatt működő intézményeknek 2018. évi engedélyezett létszámkerete</t>
  </si>
  <si>
    <t>Szűcsi Község Önkormányzatának 2018. évi előirányzat felhasználási és likviditási terve</t>
  </si>
  <si>
    <t>Szűcsi Község Önkormányzatának több éves kihatással járó kötelezettségei</t>
  </si>
  <si>
    <t>Szűcsi Község Önkormányzata fenntartása alatt működő költségvetési szervek összesített 2018. évi költségvetési tábla</t>
  </si>
  <si>
    <t>Szűcsi Község Önkormányzatának beruházási és felújításai tábla</t>
  </si>
  <si>
    <t>Szűcsi  Község Önkormányzat 2018.évi átadott pénzeszközök jogcímenként</t>
  </si>
  <si>
    <t>Szűcsi  Község Önkormányzat 2018.évi ellátottak pénzbeli juttatásai kiadási előirányzatai jogcímenként</t>
  </si>
  <si>
    <t>Szűcsi Község Önkormányzatának 2018. évi személyi jellegű ráfordításainak  táblázata</t>
  </si>
  <si>
    <t>Szűcsi Község Önkormányzatának 2018. évi dologi kiadás táblázata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</si>
</sst>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.00\ &quot;HUF&quot;_-;\-* #,##0.00\ &quot;HUF&quot;_-;_-* &quot;-&quot;??\ &quot;HUF&quot;_-;_-@_-"/>
    <numFmt numFmtId="165" formatCode="_-* #,##0.00\ _H_U_F_-;\-* #,##0.00\ _H_U_F_-;_-* &quot;-&quot;??\ _H_U_F_-;_-@_-"/>
    <numFmt numFmtId="166" formatCode="_-* #,##0\ &quot;HUF&quot;_-;\-* #,##0\ &quot;HUF&quot;_-;_-* &quot;-&quot;??\ &quot;HUF&quot;_-;_-@_-"/>
    <numFmt numFmtId="167" formatCode="_-* #,##0\ [$HUF-40E]_-;\-* #,##0\ [$HUF-40E]_-;_-* &quot;-&quot;??\ [$HUF-40E]_-;_-@_-"/>
    <numFmt numFmtId="168" formatCode="#,##0\ [$Ft-40E];[Red]\-#,##0\ [$Ft-40E]"/>
    <numFmt numFmtId="169" formatCode="_-* #,##0\ &quot;Ft&quot;_-;\-* #,##0\ &quot;Ft&quot;_-;_-* &quot;-&quot;??\ &quot;Ft&quot;_-;_-@_-"/>
    <numFmt numFmtId="170" formatCode="#,##0\ &quot;Ft&quot;"/>
    <numFmt numFmtId="171" formatCode="_-* #,##0\ _F_t_-;\-* #,##0\ _F_t_-;_-* &quot;-&quot;??\ _F_t_-;_-@_-"/>
    <numFmt numFmtId="172" formatCode="#,##0_ ;\-#,##0\ "/>
    <numFmt numFmtId="173" formatCode="_-* #,##0\ [$Ft-40E]_-;\-* #,##0\ [$Ft-40E]_-;_-* &quot;-&quot;??\ [$Ft-40E]_-;_-@_-"/>
    <numFmt numFmtId="174" formatCode="_-* #,##0\ _H_U_F_-;\-* #,##0\ _H_U_F_-;_-* &quot;-&quot;??\ _H_U_F_-;_-@_-"/>
    <numFmt numFmtId="175" formatCode="#,##0.0_ ;\-#,##0.0\ "/>
  </numFmts>
  <fonts count="9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3.2"/>
      <color theme="1"/>
      <name val="Arial ce"/>
    </font>
    <font>
      <sz val="10"/>
      <color theme="1"/>
      <name val="Arial"/>
      <family val="2"/>
      <charset val="238"/>
    </font>
    <font>
      <sz val="11"/>
      <color rgb="FF000000"/>
      <name val="Arial ce"/>
    </font>
    <font>
      <sz val="9.9"/>
      <color rgb="FF000000"/>
      <name val="Arial ce"/>
    </font>
    <font>
      <b/>
      <sz val="7.7"/>
      <color rgb="FF000000"/>
      <name val="Arial ce"/>
    </font>
    <font>
      <i/>
      <sz val="9.9"/>
      <color rgb="FF000000"/>
      <name val="Arial"/>
      <family val="2"/>
      <charset val="238"/>
    </font>
    <font>
      <sz val="7.7"/>
      <color rgb="FF000000"/>
      <name val="Arial"/>
      <family val="2"/>
      <charset val="238"/>
    </font>
    <font>
      <i/>
      <sz val="9.9"/>
      <color rgb="FF000000"/>
      <name val="Arial ce"/>
    </font>
    <font>
      <b/>
      <sz val="9.9"/>
      <color rgb="FF000000"/>
      <name val="Arial ce"/>
    </font>
    <font>
      <b/>
      <sz val="13.2"/>
      <color theme="1"/>
      <name val="Arial ce"/>
    </font>
    <font>
      <sz val="12"/>
      <name val="Arial"/>
      <family val="2"/>
      <charset val="238"/>
    </font>
    <font>
      <sz val="9"/>
      <color rgb="FF000000"/>
      <name val="Arial CE"/>
      <family val="2"/>
      <charset val="238"/>
    </font>
    <font>
      <i/>
      <sz val="9"/>
      <color rgb="FF000000"/>
      <name val="Arial CE"/>
      <family val="2"/>
      <charset val="238"/>
    </font>
    <font>
      <b/>
      <sz val="9"/>
      <color rgb="FF000000"/>
      <name val="Arial CE"/>
      <family val="2"/>
      <charset val="238"/>
    </font>
    <font>
      <sz val="9"/>
      <color rgb="FF000000"/>
      <name val="Arial CE"/>
      <charset val="238"/>
    </font>
    <font>
      <b/>
      <sz val="9"/>
      <color rgb="FF000000"/>
      <name val="Arial CE"/>
      <charset val="238"/>
    </font>
    <font>
      <b/>
      <sz val="9"/>
      <color rgb="FF993300"/>
      <name val="Arial CE"/>
      <charset val="238"/>
    </font>
    <font>
      <b/>
      <sz val="9"/>
      <color rgb="FF0000FF"/>
      <name val="Arial CE"/>
      <charset val="238"/>
    </font>
    <font>
      <b/>
      <sz val="11"/>
      <color theme="1"/>
      <name val="Arial ce"/>
      <charset val="238"/>
    </font>
    <font>
      <b/>
      <sz val="9.9"/>
      <color theme="1"/>
      <name val="Arial ce"/>
      <charset val="238"/>
    </font>
    <font>
      <b/>
      <sz val="14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b/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name val="Bookman Old Style"/>
      <family val="1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6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3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name val="Bookman Old Style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sz val="11"/>
      <color rgb="FF00000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8.8000000000000007"/>
      <color theme="1"/>
      <name val="Arial ce"/>
    </font>
    <font>
      <sz val="9.9"/>
      <color theme="1"/>
      <name val="Arial ce"/>
    </font>
    <font>
      <sz val="9.9"/>
      <color theme="1"/>
      <name val="Arial"/>
      <family val="2"/>
      <charset val="238"/>
    </font>
    <font>
      <b/>
      <sz val="8.8000000000000007"/>
      <color rgb="FFFF0000"/>
      <name val="Arial ce"/>
    </font>
    <font>
      <sz val="8.8000000000000007"/>
      <color theme="1"/>
      <name val="Arial ce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rgb="FFFFCC99"/>
      </patternFill>
    </fill>
    <fill>
      <patternFill patternType="solid">
        <fgColor theme="0"/>
        <bgColor rgb="FF003300"/>
      </patternFill>
    </fill>
    <fill>
      <patternFill patternType="solid">
        <fgColor theme="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CB2D9"/>
        <bgColor indexed="64"/>
      </patternFill>
    </fill>
    <fill>
      <patternFill patternType="solid">
        <fgColor indexed="22"/>
        <bgColor indexed="27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rgb="FF00FFFF"/>
        <bgColor indexed="64"/>
      </patternFill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theme="0"/>
        <bgColor rgb="FFE6E6FF"/>
      </patternFill>
    </fill>
  </fills>
  <borders count="93">
    <border>
      <left/>
      <right/>
      <top/>
      <bottom/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1" fillId="0" borderId="0"/>
    <xf numFmtId="0" fontId="9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6">
    <xf numFmtId="0" fontId="0" fillId="0" borderId="0" xfId="0"/>
    <xf numFmtId="0" fontId="16" fillId="2" borderId="6" xfId="3" applyFont="1" applyFill="1" applyBorder="1" applyAlignment="1">
      <alignment horizontal="left" vertical="center" wrapText="1"/>
    </xf>
    <xf numFmtId="0" fontId="17" fillId="3" borderId="6" xfId="3" applyFont="1" applyFill="1" applyBorder="1" applyAlignment="1">
      <alignment horizontal="right" vertical="center"/>
    </xf>
    <xf numFmtId="169" fontId="17" fillId="3" borderId="6" xfId="2" applyNumberFormat="1" applyFont="1" applyFill="1" applyBorder="1" applyAlignment="1">
      <alignment horizontal="left" vertical="center"/>
    </xf>
    <xf numFmtId="167" fontId="0" fillId="0" borderId="0" xfId="0" applyNumberFormat="1"/>
    <xf numFmtId="167" fontId="17" fillId="2" borderId="6" xfId="1" applyNumberFormat="1" applyFont="1" applyFill="1" applyBorder="1" applyAlignment="1" applyProtection="1">
      <alignment horizontal="right"/>
    </xf>
    <xf numFmtId="0" fontId="16" fillId="4" borderId="6" xfId="3" applyFont="1" applyFill="1" applyBorder="1" applyAlignment="1">
      <alignment horizontal="center" vertical="center"/>
    </xf>
    <xf numFmtId="0" fontId="16" fillId="4" borderId="6" xfId="3" applyFont="1" applyFill="1" applyBorder="1" applyAlignment="1">
      <alignment horizontal="justify" vertical="center" wrapText="1"/>
    </xf>
    <xf numFmtId="0" fontId="16" fillId="3" borderId="6" xfId="3" applyFont="1" applyFill="1" applyBorder="1" applyAlignment="1">
      <alignment horizontal="left" vertical="center" wrapText="1"/>
    </xf>
    <xf numFmtId="167" fontId="16" fillId="4" borderId="6" xfId="1" applyNumberFormat="1" applyFont="1" applyFill="1" applyBorder="1" applyAlignment="1" applyProtection="1">
      <alignment horizontal="right"/>
    </xf>
    <xf numFmtId="0" fontId="4" fillId="0" borderId="5" xfId="0" applyFont="1" applyBorder="1" applyAlignment="1">
      <alignment wrapText="1"/>
    </xf>
    <xf numFmtId="166" fontId="0" fillId="0" borderId="0" xfId="2" applyNumberFormat="1" applyFont="1"/>
    <xf numFmtId="0" fontId="23" fillId="5" borderId="6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left" vertical="top" wrapText="1"/>
    </xf>
    <xf numFmtId="0" fontId="26" fillId="5" borderId="6" xfId="0" applyFont="1" applyFill="1" applyBorder="1" applyAlignment="1">
      <alignment horizontal="right"/>
    </xf>
    <xf numFmtId="172" fontId="26" fillId="5" borderId="6" xfId="1" applyNumberFormat="1" applyFont="1" applyFill="1" applyBorder="1" applyAlignment="1">
      <alignment horizontal="right"/>
    </xf>
    <xf numFmtId="0" fontId="27" fillId="0" borderId="6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right"/>
    </xf>
    <xf numFmtId="0" fontId="28" fillId="8" borderId="6" xfId="0" applyFont="1" applyFill="1" applyBorder="1" applyAlignment="1">
      <alignment horizontal="right"/>
    </xf>
    <xf numFmtId="0" fontId="25" fillId="0" borderId="6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right"/>
    </xf>
    <xf numFmtId="0" fontId="27" fillId="8" borderId="6" xfId="0" applyFont="1" applyFill="1" applyBorder="1" applyAlignment="1">
      <alignment horizontal="left" vertical="top" wrapText="1"/>
    </xf>
    <xf numFmtId="0" fontId="25" fillId="6" borderId="6" xfId="0" applyFont="1" applyFill="1" applyBorder="1" applyAlignment="1">
      <alignment horizontal="left" vertical="top" wrapText="1"/>
    </xf>
    <xf numFmtId="0" fontId="26" fillId="6" borderId="6" xfId="0" applyFont="1" applyFill="1" applyBorder="1" applyAlignment="1">
      <alignment horizontal="right"/>
    </xf>
    <xf numFmtId="0" fontId="26" fillId="6" borderId="6" xfId="0" applyFont="1" applyFill="1" applyBorder="1" applyAlignment="1">
      <alignment wrapText="1"/>
    </xf>
    <xf numFmtId="166" fontId="24" fillId="5" borderId="9" xfId="2" applyNumberFormat="1" applyFont="1" applyFill="1" applyBorder="1" applyAlignment="1">
      <alignment horizontal="center" vertical="center" wrapText="1"/>
    </xf>
    <xf numFmtId="166" fontId="26" fillId="5" borderId="6" xfId="2" applyNumberFormat="1" applyFont="1" applyFill="1" applyBorder="1" applyAlignment="1">
      <alignment horizontal="right"/>
    </xf>
    <xf numFmtId="171" fontId="0" fillId="0" borderId="0" xfId="0" applyNumberFormat="1"/>
    <xf numFmtId="0" fontId="0" fillId="7" borderId="0" xfId="0" applyFill="1"/>
    <xf numFmtId="166" fontId="24" fillId="5" borderId="6" xfId="2" applyNumberFormat="1" applyFont="1" applyFill="1" applyBorder="1" applyAlignment="1">
      <alignment horizontal="center" vertical="center" wrapText="1"/>
    </xf>
    <xf numFmtId="166" fontId="0" fillId="0" borderId="6" xfId="2" applyNumberFormat="1" applyFont="1" applyBorder="1"/>
    <xf numFmtId="0" fontId="2" fillId="10" borderId="0" xfId="0" applyFont="1" applyFill="1"/>
    <xf numFmtId="0" fontId="0" fillId="0" borderId="9" xfId="0" applyBorder="1"/>
    <xf numFmtId="0" fontId="27" fillId="8" borderId="16" xfId="0" applyFont="1" applyFill="1" applyBorder="1" applyAlignment="1">
      <alignment horizontal="right" vertical="top" wrapText="1"/>
    </xf>
    <xf numFmtId="0" fontId="0" fillId="8" borderId="0" xfId="0" applyFont="1" applyFill="1"/>
    <xf numFmtId="0" fontId="27" fillId="0" borderId="6" xfId="0" applyFont="1" applyBorder="1" applyAlignment="1">
      <alignment horizontal="left" vertical="top" wrapText="1"/>
    </xf>
    <xf numFmtId="0" fontId="3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173" fontId="0" fillId="0" borderId="6" xfId="0" applyNumberFormat="1" applyBorder="1"/>
    <xf numFmtId="0" fontId="34" fillId="0" borderId="6" xfId="0" applyFont="1" applyBorder="1" applyAlignment="1">
      <alignment wrapText="1"/>
    </xf>
    <xf numFmtId="0" fontId="0" fillId="13" borderId="0" xfId="0" applyFill="1"/>
    <xf numFmtId="0" fontId="35" fillId="13" borderId="0" xfId="0" applyFont="1" applyFill="1"/>
    <xf numFmtId="0" fontId="35" fillId="0" borderId="0" xfId="0" applyFont="1"/>
    <xf numFmtId="0" fontId="34" fillId="0" borderId="6" xfId="0" applyFont="1" applyBorder="1" applyAlignment="1">
      <alignment horizontal="right" wrapText="1"/>
    </xf>
    <xf numFmtId="0" fontId="36" fillId="15" borderId="0" xfId="0" applyFont="1" applyFill="1"/>
    <xf numFmtId="0" fontId="34" fillId="0" borderId="6" xfId="0" applyFont="1" applyBorder="1"/>
    <xf numFmtId="173" fontId="0" fillId="11" borderId="6" xfId="0" applyNumberFormat="1" applyFill="1" applyBorder="1"/>
    <xf numFmtId="173" fontId="0" fillId="0" borderId="0" xfId="0" applyNumberFormat="1"/>
    <xf numFmtId="0" fontId="41" fillId="0" borderId="16" xfId="0" applyFont="1" applyBorder="1"/>
    <xf numFmtId="0" fontId="41" fillId="0" borderId="6" xfId="0" applyFont="1" applyBorder="1" applyAlignment="1">
      <alignment wrapText="1"/>
    </xf>
    <xf numFmtId="173" fontId="41" fillId="0" borderId="6" xfId="2" applyNumberFormat="1" applyFont="1" applyBorder="1"/>
    <xf numFmtId="173" fontId="41" fillId="0" borderId="6" xfId="0" applyNumberFormat="1" applyFont="1" applyBorder="1"/>
    <xf numFmtId="0" fontId="43" fillId="0" borderId="6" xfId="0" applyFont="1" applyBorder="1" applyAlignment="1">
      <alignment wrapText="1"/>
    </xf>
    <xf numFmtId="0" fontId="40" fillId="12" borderId="16" xfId="0" applyFont="1" applyFill="1" applyBorder="1"/>
    <xf numFmtId="0" fontId="40" fillId="12" borderId="6" xfId="0" applyFont="1" applyFill="1" applyBorder="1" applyAlignment="1">
      <alignment wrapText="1"/>
    </xf>
    <xf numFmtId="173" fontId="40" fillId="12" borderId="6" xfId="2" applyNumberFormat="1" applyFont="1" applyFill="1" applyBorder="1"/>
    <xf numFmtId="0" fontId="40" fillId="13" borderId="16" xfId="0" applyFont="1" applyFill="1" applyBorder="1"/>
    <xf numFmtId="0" fontId="40" fillId="13" borderId="6" xfId="0" applyFont="1" applyFill="1" applyBorder="1" applyAlignment="1">
      <alignment wrapText="1"/>
    </xf>
    <xf numFmtId="173" fontId="40" fillId="13" borderId="6" xfId="2" applyNumberFormat="1" applyFont="1" applyFill="1" applyBorder="1"/>
    <xf numFmtId="173" fontId="40" fillId="13" borderId="6" xfId="0" applyNumberFormat="1" applyFont="1" applyFill="1" applyBorder="1"/>
    <xf numFmtId="173" fontId="45" fillId="12" borderId="6" xfId="0" applyNumberFormat="1" applyFont="1" applyFill="1" applyBorder="1" applyAlignment="1">
      <alignment wrapText="1"/>
    </xf>
    <xf numFmtId="0" fontId="40" fillId="7" borderId="16" xfId="0" applyFont="1" applyFill="1" applyBorder="1"/>
    <xf numFmtId="0" fontId="40" fillId="7" borderId="6" xfId="0" applyFont="1" applyFill="1" applyBorder="1" applyAlignment="1">
      <alignment wrapText="1"/>
    </xf>
    <xf numFmtId="173" fontId="40" fillId="7" borderId="6" xfId="2" applyNumberFormat="1" applyFont="1" applyFill="1" applyBorder="1"/>
    <xf numFmtId="0" fontId="43" fillId="0" borderId="6" xfId="0" applyFont="1" applyBorder="1" applyAlignment="1">
      <alignment horizontal="right" wrapText="1"/>
    </xf>
    <xf numFmtId="0" fontId="46" fillId="7" borderId="16" xfId="0" applyFont="1" applyFill="1" applyBorder="1"/>
    <xf numFmtId="0" fontId="46" fillId="7" borderId="6" xfId="0" applyFont="1" applyFill="1" applyBorder="1" applyAlignment="1">
      <alignment wrapText="1"/>
    </xf>
    <xf numFmtId="173" fontId="46" fillId="7" borderId="6" xfId="2" applyNumberFormat="1" applyFont="1" applyFill="1" applyBorder="1"/>
    <xf numFmtId="0" fontId="40" fillId="14" borderId="16" xfId="0" applyFont="1" applyFill="1" applyBorder="1"/>
    <xf numFmtId="0" fontId="40" fillId="14" borderId="6" xfId="0" applyFont="1" applyFill="1" applyBorder="1" applyAlignment="1">
      <alignment wrapText="1"/>
    </xf>
    <xf numFmtId="173" fontId="40" fillId="14" borderId="6" xfId="2" applyNumberFormat="1" applyFont="1" applyFill="1" applyBorder="1"/>
    <xf numFmtId="0" fontId="41" fillId="0" borderId="6" xfId="0" applyFont="1" applyBorder="1" applyAlignment="1">
      <alignment horizontal="right" wrapText="1"/>
    </xf>
    <xf numFmtId="0" fontId="46" fillId="14" borderId="16" xfId="0" applyFont="1" applyFill="1" applyBorder="1"/>
    <xf numFmtId="0" fontId="46" fillId="14" borderId="6" xfId="0" applyFont="1" applyFill="1" applyBorder="1" applyAlignment="1">
      <alignment wrapText="1"/>
    </xf>
    <xf numFmtId="173" fontId="46" fillId="14" borderId="6" xfId="2" applyNumberFormat="1" applyFont="1" applyFill="1" applyBorder="1"/>
    <xf numFmtId="173" fontId="44" fillId="7" borderId="6" xfId="2" applyNumberFormat="1" applyFont="1" applyFill="1" applyBorder="1"/>
    <xf numFmtId="0" fontId="41" fillId="0" borderId="6" xfId="0" applyFont="1" applyBorder="1"/>
    <xf numFmtId="0" fontId="42" fillId="12" borderId="6" xfId="0" applyFont="1" applyFill="1" applyBorder="1"/>
    <xf numFmtId="0" fontId="42" fillId="12" borderId="6" xfId="0" applyFont="1" applyFill="1" applyBorder="1" applyAlignment="1">
      <alignment wrapText="1"/>
    </xf>
    <xf numFmtId="173" fontId="42" fillId="12" borderId="6" xfId="2" applyNumberFormat="1" applyFont="1" applyFill="1" applyBorder="1"/>
    <xf numFmtId="173" fontId="48" fillId="17" borderId="6" xfId="2" applyNumberFormat="1" applyFont="1" applyFill="1" applyBorder="1"/>
    <xf numFmtId="173" fontId="49" fillId="16" borderId="19" xfId="2" applyNumberFormat="1" applyFont="1" applyFill="1" applyBorder="1"/>
    <xf numFmtId="169" fontId="1" fillId="0" borderId="6" xfId="2" applyNumberFormat="1" applyFont="1" applyBorder="1"/>
    <xf numFmtId="0" fontId="35" fillId="0" borderId="6" xfId="0" applyFont="1" applyBorder="1" applyAlignment="1">
      <alignment wrapText="1"/>
    </xf>
    <xf numFmtId="0" fontId="35" fillId="0" borderId="6" xfId="0" applyFont="1" applyBorder="1"/>
    <xf numFmtId="173" fontId="2" fillId="11" borderId="6" xfId="0" applyNumberFormat="1" applyFont="1" applyFill="1" applyBorder="1"/>
    <xf numFmtId="169" fontId="2" fillId="0" borderId="6" xfId="2" applyNumberFormat="1" applyFont="1" applyBorder="1"/>
    <xf numFmtId="0" fontId="2" fillId="0" borderId="0" xfId="0" applyFont="1"/>
    <xf numFmtId="173" fontId="51" fillId="0" borderId="0" xfId="0" applyNumberFormat="1" applyFont="1"/>
    <xf numFmtId="0" fontId="41" fillId="0" borderId="6" xfId="0" applyFont="1" applyBorder="1" applyAlignment="1"/>
    <xf numFmtId="173" fontId="48" fillId="8" borderId="6" xfId="2" applyNumberFormat="1" applyFont="1" applyFill="1" applyBorder="1"/>
    <xf numFmtId="0" fontId="0" fillId="0" borderId="0" xfId="0"/>
    <xf numFmtId="0" fontId="30" fillId="8" borderId="6" xfId="0" applyFont="1" applyFill="1" applyBorder="1"/>
    <xf numFmtId="0" fontId="30" fillId="8" borderId="6" xfId="0" applyFont="1" applyFill="1" applyBorder="1" applyAlignment="1"/>
    <xf numFmtId="0" fontId="30" fillId="8" borderId="6" xfId="0" applyFont="1" applyFill="1" applyBorder="1" applyAlignment="1">
      <alignment horizontal="left" vertical="center"/>
    </xf>
    <xf numFmtId="0" fontId="2" fillId="9" borderId="6" xfId="0" applyFont="1" applyFill="1" applyBorder="1"/>
    <xf numFmtId="0" fontId="0" fillId="0" borderId="6" xfId="0" applyBorder="1"/>
    <xf numFmtId="0" fontId="31" fillId="0" borderId="6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166" fontId="1" fillId="0" borderId="6" xfId="2" applyNumberFormat="1" applyFont="1" applyBorder="1"/>
    <xf numFmtId="166" fontId="2" fillId="9" borderId="6" xfId="2" applyNumberFormat="1" applyFont="1" applyFill="1" applyBorder="1"/>
    <xf numFmtId="166" fontId="2" fillId="0" borderId="6" xfId="2" applyNumberFormat="1" applyFont="1" applyBorder="1"/>
    <xf numFmtId="166" fontId="2" fillId="18" borderId="6" xfId="2" applyNumberFormat="1" applyFont="1" applyFill="1" applyBorder="1"/>
    <xf numFmtId="166" fontId="2" fillId="6" borderId="6" xfId="2" applyNumberFormat="1" applyFont="1" applyFill="1" applyBorder="1"/>
    <xf numFmtId="0" fontId="27" fillId="0" borderId="6" xfId="0" applyFont="1" applyBorder="1" applyAlignment="1">
      <alignment horizontal="right" vertical="top" wrapText="1"/>
    </xf>
    <xf numFmtId="0" fontId="2" fillId="0" borderId="0" xfId="0" applyFont="1" applyAlignment="1"/>
    <xf numFmtId="0" fontId="23" fillId="6" borderId="6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171" fontId="24" fillId="6" borderId="6" xfId="4" applyNumberFormat="1" applyFont="1" applyFill="1" applyBorder="1" applyAlignment="1">
      <alignment horizontal="center" vertical="center" wrapText="1"/>
    </xf>
    <xf numFmtId="0" fontId="28" fillId="8" borderId="6" xfId="0" applyFont="1" applyFill="1" applyBorder="1"/>
    <xf numFmtId="3" fontId="30" fillId="8" borderId="6" xfId="4" applyNumberFormat="1" applyFont="1" applyFill="1" applyBorder="1" applyAlignment="1">
      <alignment horizontal="right" vertical="center"/>
    </xf>
    <xf numFmtId="0" fontId="30" fillId="0" borderId="13" xfId="0" applyFont="1" applyBorder="1" applyAlignment="1">
      <alignment wrapText="1"/>
    </xf>
    <xf numFmtId="49" fontId="30" fillId="0" borderId="6" xfId="0" applyNumberFormat="1" applyFont="1" applyBorder="1" applyAlignment="1">
      <alignment horizontal="left" wrapText="1"/>
    </xf>
    <xf numFmtId="3" fontId="30" fillId="0" borderId="9" xfId="0" applyNumberFormat="1" applyFont="1" applyFill="1" applyBorder="1" applyAlignment="1">
      <alignment vertical="center"/>
    </xf>
    <xf numFmtId="49" fontId="30" fillId="0" borderId="6" xfId="0" applyNumberFormat="1" applyFont="1" applyBorder="1" applyAlignment="1">
      <alignment horizontal="left" vertical="center" wrapText="1"/>
    </xf>
    <xf numFmtId="3" fontId="30" fillId="8" borderId="6" xfId="4" applyNumberFormat="1" applyFont="1" applyFill="1" applyBorder="1" applyAlignment="1">
      <alignment horizontal="right" vertical="top"/>
    </xf>
    <xf numFmtId="0" fontId="27" fillId="8" borderId="6" xfId="0" applyFont="1" applyFill="1" applyBorder="1" applyAlignment="1">
      <alignment vertical="top" wrapText="1"/>
    </xf>
    <xf numFmtId="172" fontId="30" fillId="8" borderId="6" xfId="4" applyNumberFormat="1" applyFont="1" applyFill="1" applyBorder="1" applyAlignment="1">
      <alignment horizontal="right" vertical="top"/>
    </xf>
    <xf numFmtId="0" fontId="27" fillId="8" borderId="10" xfId="0" applyFont="1" applyFill="1" applyBorder="1" applyAlignment="1">
      <alignment horizontal="left" vertical="top" wrapText="1"/>
    </xf>
    <xf numFmtId="0" fontId="28" fillId="8" borderId="10" xfId="0" applyFont="1" applyFill="1" applyBorder="1"/>
    <xf numFmtId="3" fontId="30" fillId="0" borderId="31" xfId="0" applyNumberFormat="1" applyFont="1" applyFill="1" applyBorder="1" applyAlignment="1">
      <alignment vertical="center"/>
    </xf>
    <xf numFmtId="0" fontId="26" fillId="6" borderId="6" xfId="0" applyFont="1" applyFill="1" applyBorder="1" applyAlignment="1">
      <alignment horizontal="left"/>
    </xf>
    <xf numFmtId="172" fontId="29" fillId="6" borderId="6" xfId="4" applyNumberFormat="1" applyFont="1" applyFill="1" applyBorder="1" applyAlignment="1">
      <alignment horizontal="right" vertical="top"/>
    </xf>
    <xf numFmtId="0" fontId="25" fillId="6" borderId="7" xfId="0" applyFont="1" applyFill="1" applyBorder="1" applyAlignment="1">
      <alignment horizontal="left" vertical="top" wrapText="1"/>
    </xf>
    <xf numFmtId="0" fontId="26" fillId="6" borderId="7" xfId="0" applyFont="1" applyFill="1" applyBorder="1"/>
    <xf numFmtId="172" fontId="29" fillId="6" borderId="11" xfId="4" applyNumberFormat="1" applyFont="1" applyFill="1" applyBorder="1" applyAlignment="1">
      <alignment horizontal="right" vertical="top"/>
    </xf>
    <xf numFmtId="0" fontId="28" fillId="0" borderId="6" xfId="0" applyFont="1" applyBorder="1"/>
    <xf numFmtId="172" fontId="30" fillId="0" borderId="6" xfId="4" applyNumberFormat="1" applyFont="1" applyBorder="1" applyAlignment="1">
      <alignment horizontal="right" vertical="top"/>
    </xf>
    <xf numFmtId="0" fontId="31" fillId="8" borderId="6" xfId="0" applyFont="1" applyFill="1" applyBorder="1" applyAlignment="1">
      <alignment horizontal="left" vertical="top" wrapText="1"/>
    </xf>
    <xf numFmtId="0" fontId="26" fillId="6" borderId="6" xfId="0" applyFont="1" applyFill="1" applyBorder="1"/>
    <xf numFmtId="3" fontId="29" fillId="6" borderId="6" xfId="4" applyNumberFormat="1" applyFont="1" applyFill="1" applyBorder="1" applyAlignment="1">
      <alignment horizontal="right" vertical="top"/>
    </xf>
    <xf numFmtId="172" fontId="29" fillId="6" borderId="9" xfId="4" applyNumberFormat="1" applyFont="1" applyFill="1" applyBorder="1" applyAlignment="1">
      <alignment horizontal="right" vertical="top"/>
    </xf>
    <xf numFmtId="3" fontId="52" fillId="6" borderId="6" xfId="4" applyNumberFormat="1" applyFont="1" applyFill="1" applyBorder="1" applyAlignment="1">
      <alignment horizontal="right" vertical="top"/>
    </xf>
    <xf numFmtId="3" fontId="52" fillId="6" borderId="9" xfId="4" applyNumberFormat="1" applyFont="1" applyFill="1" applyBorder="1"/>
    <xf numFmtId="0" fontId="0" fillId="0" borderId="0" xfId="0"/>
    <xf numFmtId="166" fontId="28" fillId="0" borderId="6" xfId="2" applyNumberFormat="1" applyFont="1" applyBorder="1" applyAlignment="1">
      <alignment horizontal="right"/>
    </xf>
    <xf numFmtId="3" fontId="0" fillId="0" borderId="0" xfId="0" applyNumberFormat="1"/>
    <xf numFmtId="0" fontId="23" fillId="6" borderId="6" xfId="0" applyFont="1" applyFill="1" applyBorder="1" applyAlignment="1">
      <alignment horizontal="center"/>
    </xf>
    <xf numFmtId="0" fontId="27" fillId="0" borderId="6" xfId="0" applyFont="1" applyBorder="1" applyAlignment="1">
      <alignment horizontal="left" vertical="top" wrapText="1"/>
    </xf>
    <xf numFmtId="3" fontId="30" fillId="8" borderId="13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169" fontId="56" fillId="0" borderId="0" xfId="5" applyNumberFormat="1" applyFont="1"/>
    <xf numFmtId="0" fontId="56" fillId="0" borderId="0" xfId="0" applyFont="1" applyAlignment="1">
      <alignment wrapText="1"/>
    </xf>
    <xf numFmtId="0" fontId="56" fillId="0" borderId="0" xfId="0" applyFont="1"/>
    <xf numFmtId="0" fontId="52" fillId="19" borderId="6" xfId="0" applyFont="1" applyFill="1" applyBorder="1" applyAlignment="1">
      <alignment horizontal="center" wrapText="1"/>
    </xf>
    <xf numFmtId="169" fontId="52" fillId="19" borderId="6" xfId="5" applyNumberFormat="1" applyFont="1" applyFill="1" applyBorder="1" applyAlignment="1">
      <alignment horizontal="center"/>
    </xf>
    <xf numFmtId="169" fontId="52" fillId="19" borderId="6" xfId="5" applyNumberFormat="1" applyFont="1" applyFill="1" applyBorder="1" applyAlignment="1">
      <alignment horizontal="center" wrapText="1"/>
    </xf>
    <xf numFmtId="0" fontId="52" fillId="19" borderId="6" xfId="0" applyFont="1" applyFill="1" applyBorder="1" applyAlignment="1">
      <alignment horizontal="center"/>
    </xf>
    <xf numFmtId="0" fontId="56" fillId="0" borderId="6" xfId="0" applyFont="1" applyBorder="1" applyAlignment="1">
      <alignment wrapText="1"/>
    </xf>
    <xf numFmtId="169" fontId="56" fillId="0" borderId="6" xfId="5" applyNumberFormat="1" applyFont="1" applyBorder="1"/>
    <xf numFmtId="0" fontId="56" fillId="0" borderId="6" xfId="0" applyFont="1" applyBorder="1"/>
    <xf numFmtId="0" fontId="52" fillId="19" borderId="6" xfId="0" applyFont="1" applyFill="1" applyBorder="1" applyAlignment="1">
      <alignment wrapText="1"/>
    </xf>
    <xf numFmtId="169" fontId="52" fillId="19" borderId="6" xfId="5" applyNumberFormat="1" applyFont="1" applyFill="1" applyBorder="1"/>
    <xf numFmtId="0" fontId="58" fillId="0" borderId="6" xfId="0" applyFont="1" applyBorder="1" applyAlignment="1">
      <alignment wrapText="1"/>
    </xf>
    <xf numFmtId="0" fontId="52" fillId="0" borderId="6" xfId="0" applyFont="1" applyBorder="1" applyAlignment="1">
      <alignment wrapText="1"/>
    </xf>
    <xf numFmtId="169" fontId="57" fillId="0" borderId="6" xfId="5" applyNumberFormat="1" applyFont="1" applyBorder="1"/>
    <xf numFmtId="0" fontId="58" fillId="19" borderId="6" xfId="0" applyFont="1" applyFill="1" applyBorder="1" applyAlignment="1">
      <alignment wrapText="1"/>
    </xf>
    <xf numFmtId="169" fontId="56" fillId="19" borderId="6" xfId="5" applyNumberFormat="1" applyFont="1" applyFill="1" applyBorder="1"/>
    <xf numFmtId="169" fontId="58" fillId="19" borderId="6" xfId="5" applyNumberFormat="1" applyFont="1" applyFill="1" applyBorder="1"/>
    <xf numFmtId="169" fontId="0" fillId="0" borderId="0" xfId="5" applyNumberFormat="1" applyFont="1"/>
    <xf numFmtId="0" fontId="56" fillId="0" borderId="0" xfId="0" applyFont="1" applyAlignment="1">
      <alignment horizontal="left" wrapText="1"/>
    </xf>
    <xf numFmtId="173" fontId="60" fillId="0" borderId="0" xfId="0" applyNumberFormat="1" applyFont="1" applyBorder="1" applyAlignment="1">
      <alignment horizontal="center" vertical="top" wrapText="1"/>
    </xf>
    <xf numFmtId="0" fontId="60" fillId="0" borderId="0" xfId="0" applyFont="1" applyBorder="1" applyAlignment="1">
      <alignment horizontal="center" vertical="top" wrapText="1"/>
    </xf>
    <xf numFmtId="173" fontId="59" fillId="0" borderId="0" xfId="0" applyNumberFormat="1" applyFont="1"/>
    <xf numFmtId="0" fontId="60" fillId="0" borderId="0" xfId="0" applyFont="1" applyBorder="1" applyAlignment="1">
      <alignment horizontal="right" vertical="center" wrapText="1"/>
    </xf>
    <xf numFmtId="173" fontId="59" fillId="0" borderId="0" xfId="0" applyNumberFormat="1" applyFont="1" applyBorder="1" applyAlignment="1">
      <alignment horizontal="center"/>
    </xf>
    <xf numFmtId="0" fontId="60" fillId="20" borderId="21" xfId="0" applyFont="1" applyFill="1" applyBorder="1" applyAlignment="1">
      <alignment horizontal="left" textRotation="90" shrinkToFit="1"/>
    </xf>
    <xf numFmtId="0" fontId="60" fillId="20" borderId="22" xfId="0" applyFont="1" applyFill="1" applyBorder="1" applyAlignment="1">
      <alignment horizontal="left" textRotation="90" shrinkToFit="1"/>
    </xf>
    <xf numFmtId="173" fontId="60" fillId="20" borderId="23" xfId="0" applyNumberFormat="1" applyFont="1" applyFill="1" applyBorder="1" applyAlignment="1">
      <alignment horizontal="center" textRotation="90" wrapText="1"/>
    </xf>
    <xf numFmtId="0" fontId="60" fillId="0" borderId="0" xfId="0" applyFont="1" applyBorder="1" applyAlignment="1">
      <alignment horizontal="center"/>
    </xf>
    <xf numFmtId="0" fontId="60" fillId="20" borderId="21" xfId="0" applyFont="1" applyFill="1" applyBorder="1" applyAlignment="1">
      <alignment horizontal="center" vertical="center" textRotation="90"/>
    </xf>
    <xf numFmtId="0" fontId="60" fillId="20" borderId="22" xfId="0" applyFont="1" applyFill="1" applyBorder="1" applyAlignment="1">
      <alignment horizontal="center" vertical="center" textRotation="90"/>
    </xf>
    <xf numFmtId="0" fontId="60" fillId="20" borderId="22" xfId="0" applyFont="1" applyFill="1" applyBorder="1" applyAlignment="1">
      <alignment horizontal="center" vertical="center" textRotation="90" wrapText="1"/>
    </xf>
    <xf numFmtId="173" fontId="60" fillId="20" borderId="17" xfId="0" applyNumberFormat="1" applyFont="1" applyFill="1" applyBorder="1" applyAlignment="1">
      <alignment horizontal="center"/>
    </xf>
    <xf numFmtId="173" fontId="59" fillId="0" borderId="17" xfId="0" applyNumberFormat="1" applyFont="1" applyBorder="1"/>
    <xf numFmtId="0" fontId="60" fillId="20" borderId="16" xfId="0" applyFont="1" applyFill="1" applyBorder="1" applyAlignment="1">
      <alignment horizontal="center"/>
    </xf>
    <xf numFmtId="0" fontId="61" fillId="20" borderId="6" xfId="0" applyFont="1" applyFill="1" applyBorder="1" applyAlignment="1">
      <alignment horizontal="center"/>
    </xf>
    <xf numFmtId="173" fontId="59" fillId="20" borderId="17" xfId="0" applyNumberFormat="1" applyFont="1" applyFill="1" applyBorder="1"/>
    <xf numFmtId="0" fontId="59" fillId="0" borderId="0" xfId="0" applyFont="1" applyBorder="1"/>
    <xf numFmtId="0" fontId="60" fillId="20" borderId="16" xfId="0" applyFont="1" applyFill="1" applyBorder="1" applyAlignment="1">
      <alignment horizontal="center" vertical="center"/>
    </xf>
    <xf numFmtId="0" fontId="60" fillId="20" borderId="6" xfId="0" applyFont="1" applyFill="1" applyBorder="1"/>
    <xf numFmtId="0" fontId="60" fillId="20" borderId="6" xfId="0" applyFont="1" applyFill="1" applyBorder="1" applyAlignment="1">
      <alignment horizontal="center" vertical="center"/>
    </xf>
    <xf numFmtId="0" fontId="60" fillId="20" borderId="6" xfId="0" applyFont="1" applyFill="1" applyBorder="1" applyAlignment="1">
      <alignment vertical="center"/>
    </xf>
    <xf numFmtId="0" fontId="61" fillId="0" borderId="16" xfId="0" applyFont="1" applyBorder="1"/>
    <xf numFmtId="0" fontId="60" fillId="0" borderId="6" xfId="0" applyFont="1" applyBorder="1"/>
    <xf numFmtId="0" fontId="62" fillId="0" borderId="6" xfId="0" applyFont="1" applyBorder="1"/>
    <xf numFmtId="173" fontId="62" fillId="0" borderId="17" xfId="0" applyNumberFormat="1" applyFont="1" applyBorder="1"/>
    <xf numFmtId="0" fontId="61" fillId="0" borderId="0" xfId="0" applyFont="1" applyBorder="1"/>
    <xf numFmtId="0" fontId="60" fillId="0" borderId="16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vertical="center"/>
    </xf>
    <xf numFmtId="173" fontId="60" fillId="0" borderId="17" xfId="0" applyNumberFormat="1" applyFont="1" applyBorder="1"/>
    <xf numFmtId="0" fontId="61" fillId="0" borderId="6" xfId="0" applyFont="1" applyBorder="1"/>
    <xf numFmtId="0" fontId="61" fillId="0" borderId="6" xfId="0" applyFont="1" applyBorder="1" applyAlignment="1">
      <alignment horizontal="left" vertical="center" wrapText="1"/>
    </xf>
    <xf numFmtId="173" fontId="61" fillId="0" borderId="17" xfId="0" applyNumberFormat="1" applyFont="1" applyBorder="1"/>
    <xf numFmtId="0" fontId="61" fillId="0" borderId="6" xfId="0" applyFont="1" applyBorder="1" applyAlignment="1">
      <alignment horizontal="left" vertical="center"/>
    </xf>
    <xf numFmtId="0" fontId="63" fillId="0" borderId="6" xfId="0" applyFont="1" applyBorder="1"/>
    <xf numFmtId="0" fontId="63" fillId="0" borderId="6" xfId="0" applyFont="1" applyBorder="1" applyAlignment="1">
      <alignment wrapText="1"/>
    </xf>
    <xf numFmtId="0" fontId="61" fillId="0" borderId="6" xfId="0" applyFont="1" applyBorder="1" applyAlignment="1">
      <alignment wrapText="1"/>
    </xf>
    <xf numFmtId="173" fontId="61" fillId="0" borderId="17" xfId="0" applyNumberFormat="1" applyFont="1" applyBorder="1" applyAlignment="1">
      <alignment wrapText="1"/>
    </xf>
    <xf numFmtId="0" fontId="60" fillId="0" borderId="6" xfId="0" applyFont="1" applyBorder="1" applyAlignment="1">
      <alignment wrapText="1"/>
    </xf>
    <xf numFmtId="173" fontId="60" fillId="20" borderId="20" xfId="0" applyNumberFormat="1" applyFont="1" applyFill="1" applyBorder="1"/>
    <xf numFmtId="0" fontId="59" fillId="0" borderId="0" xfId="0" applyFont="1"/>
    <xf numFmtId="0" fontId="4" fillId="0" borderId="0" xfId="0" applyFont="1"/>
    <xf numFmtId="173" fontId="4" fillId="0" borderId="0" xfId="0" applyNumberFormat="1" applyFont="1"/>
    <xf numFmtId="0" fontId="60" fillId="0" borderId="0" xfId="0" applyFont="1" applyBorder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60" fillId="0" borderId="0" xfId="0" applyFont="1" applyBorder="1"/>
    <xf numFmtId="0" fontId="60" fillId="0" borderId="0" xfId="0" applyFont="1" applyBorder="1" applyAlignment="1">
      <alignment horizontal="left"/>
    </xf>
    <xf numFmtId="0" fontId="60" fillId="0" borderId="0" xfId="0" applyFont="1" applyBorder="1" applyAlignment="1">
      <alignment vertical="center"/>
    </xf>
    <xf numFmtId="0" fontId="60" fillId="0" borderId="0" xfId="0" applyFont="1" applyBorder="1" applyAlignment="1">
      <alignment horizontal="center" vertical="center" wrapText="1"/>
    </xf>
    <xf numFmtId="0" fontId="60" fillId="21" borderId="6" xfId="0" applyFont="1" applyFill="1" applyBorder="1" applyAlignment="1">
      <alignment vertical="center" wrapText="1"/>
    </xf>
    <xf numFmtId="0" fontId="60" fillId="21" borderId="6" xfId="0" applyFont="1" applyFill="1" applyBorder="1" applyAlignment="1">
      <alignment vertical="center"/>
    </xf>
    <xf numFmtId="0" fontId="0" fillId="0" borderId="0" xfId="0" applyFont="1"/>
    <xf numFmtId="173" fontId="4" fillId="0" borderId="17" xfId="0" applyNumberFormat="1" applyFont="1" applyBorder="1"/>
    <xf numFmtId="166" fontId="26" fillId="0" borderId="6" xfId="2" applyNumberFormat="1" applyFont="1" applyBorder="1" applyAlignment="1">
      <alignment horizontal="right"/>
    </xf>
    <xf numFmtId="0" fontId="59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59" fillId="0" borderId="0" xfId="0" applyFont="1" applyAlignment="1">
      <alignment wrapText="1"/>
    </xf>
    <xf numFmtId="166" fontId="0" fillId="0" borderId="0" xfId="5" applyNumberFormat="1" applyFont="1"/>
    <xf numFmtId="166" fontId="27" fillId="8" borderId="17" xfId="5" applyNumberFormat="1" applyFont="1" applyFill="1" applyBorder="1" applyAlignment="1">
      <alignment horizontal="right" wrapText="1"/>
    </xf>
    <xf numFmtId="167" fontId="0" fillId="8" borderId="16" xfId="0" applyNumberFormat="1" applyFont="1" applyFill="1" applyBorder="1"/>
    <xf numFmtId="166" fontId="27" fillId="8" borderId="16" xfId="5" applyNumberFormat="1" applyFont="1" applyFill="1" applyBorder="1" applyAlignment="1">
      <alignment horizontal="right" wrapText="1"/>
    </xf>
    <xf numFmtId="166" fontId="1" fillId="8" borderId="17" xfId="5" applyNumberFormat="1" applyFont="1" applyFill="1" applyBorder="1"/>
    <xf numFmtId="166" fontId="1" fillId="8" borderId="6" xfId="5" applyNumberFormat="1" applyFont="1" applyFill="1" applyBorder="1"/>
    <xf numFmtId="0" fontId="26" fillId="8" borderId="6" xfId="0" applyFont="1" applyFill="1" applyBorder="1" applyAlignment="1">
      <alignment horizontal="right"/>
    </xf>
    <xf numFmtId="166" fontId="2" fillId="8" borderId="17" xfId="2" applyNumberFormat="1" applyFont="1" applyFill="1" applyBorder="1"/>
    <xf numFmtId="0" fontId="0" fillId="8" borderId="0" xfId="0" applyFill="1"/>
    <xf numFmtId="0" fontId="59" fillId="0" borderId="0" xfId="0" applyFont="1" applyAlignment="1">
      <alignment horizontal="left" wrapText="1"/>
    </xf>
    <xf numFmtId="0" fontId="2" fillId="9" borderId="14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60" fillId="21" borderId="6" xfId="0" applyFont="1" applyFill="1" applyBorder="1" applyAlignment="1">
      <alignment horizontal="left" vertical="center"/>
    </xf>
    <xf numFmtId="0" fontId="61" fillId="21" borderId="6" xfId="0" applyFont="1" applyFill="1" applyBorder="1" applyAlignment="1">
      <alignment horizontal="left" vertical="center"/>
    </xf>
    <xf numFmtId="0" fontId="61" fillId="0" borderId="34" xfId="0" applyFont="1" applyFill="1" applyBorder="1" applyAlignment="1">
      <alignment wrapText="1"/>
    </xf>
    <xf numFmtId="174" fontId="61" fillId="21" borderId="6" xfId="1" applyNumberFormat="1" applyFont="1" applyFill="1" applyBorder="1" applyAlignment="1">
      <alignment horizontal="right" vertical="center"/>
    </xf>
    <xf numFmtId="166" fontId="1" fillId="8" borderId="16" xfId="5" applyNumberFormat="1" applyFont="1" applyFill="1" applyBorder="1"/>
    <xf numFmtId="166" fontId="1" fillId="8" borderId="39" xfId="5" applyNumberFormat="1" applyFont="1" applyFill="1" applyBorder="1"/>
    <xf numFmtId="166" fontId="24" fillId="14" borderId="0" xfId="5" applyNumberFormat="1" applyFont="1" applyFill="1" applyBorder="1" applyAlignment="1">
      <alignment horizontal="center" vertical="center" wrapText="1"/>
    </xf>
    <xf numFmtId="166" fontId="2" fillId="10" borderId="0" xfId="0" applyNumberFormat="1" applyFont="1" applyFill="1"/>
    <xf numFmtId="0" fontId="60" fillId="8" borderId="6" xfId="0" applyFont="1" applyFill="1" applyBorder="1" applyAlignment="1">
      <alignment horizontal="center" vertical="center"/>
    </xf>
    <xf numFmtId="0" fontId="60" fillId="8" borderId="6" xfId="0" applyFont="1" applyFill="1" applyBorder="1"/>
    <xf numFmtId="0" fontId="60" fillId="8" borderId="6" xfId="0" applyFont="1" applyFill="1" applyBorder="1" applyAlignment="1">
      <alignment vertical="center"/>
    </xf>
    <xf numFmtId="0" fontId="60" fillId="8" borderId="6" xfId="0" applyFont="1" applyFill="1" applyBorder="1" applyAlignment="1">
      <alignment horizontal="center" vertical="center" wrapText="1"/>
    </xf>
    <xf numFmtId="0" fontId="60" fillId="22" borderId="6" xfId="0" applyFont="1" applyFill="1" applyBorder="1" applyAlignment="1">
      <alignment horizontal="center" vertical="center" wrapText="1"/>
    </xf>
    <xf numFmtId="0" fontId="60" fillId="22" borderId="6" xfId="0" applyFont="1" applyFill="1" applyBorder="1" applyAlignment="1">
      <alignment horizontal="left" vertical="center" wrapText="1"/>
    </xf>
    <xf numFmtId="169" fontId="60" fillId="22" borderId="6" xfId="5" applyNumberFormat="1" applyFont="1" applyFill="1" applyBorder="1" applyAlignment="1">
      <alignment horizontal="right"/>
    </xf>
    <xf numFmtId="0" fontId="61" fillId="22" borderId="6" xfId="0" applyFont="1" applyFill="1" applyBorder="1" applyAlignment="1">
      <alignment horizontal="center" vertical="center" wrapText="1"/>
    </xf>
    <xf numFmtId="0" fontId="61" fillId="22" borderId="6" xfId="0" applyFont="1" applyFill="1" applyBorder="1" applyAlignment="1">
      <alignment horizontal="left" vertical="center" wrapText="1"/>
    </xf>
    <xf numFmtId="169" fontId="61" fillId="22" borderId="6" xfId="5" applyNumberFormat="1" applyFont="1" applyFill="1" applyBorder="1" applyAlignment="1">
      <alignment horizontal="right"/>
    </xf>
    <xf numFmtId="0" fontId="64" fillId="0" borderId="21" xfId="0" applyFont="1" applyBorder="1" applyAlignment="1">
      <alignment wrapText="1"/>
    </xf>
    <xf numFmtId="0" fontId="64" fillId="0" borderId="22" xfId="0" applyFont="1" applyBorder="1"/>
    <xf numFmtId="0" fontId="73" fillId="0" borderId="23" xfId="0" applyFont="1" applyBorder="1"/>
    <xf numFmtId="49" fontId="73" fillId="10" borderId="16" xfId="0" applyNumberFormat="1" applyFont="1" applyFill="1" applyBorder="1" applyAlignment="1">
      <alignment horizontal="right"/>
    </xf>
    <xf numFmtId="0" fontId="73" fillId="10" borderId="6" xfId="0" applyFont="1" applyFill="1" applyBorder="1" applyAlignment="1">
      <alignment wrapText="1"/>
    </xf>
    <xf numFmtId="173" fontId="73" fillId="10" borderId="17" xfId="0" applyNumberFormat="1" applyFont="1" applyFill="1" applyBorder="1"/>
    <xf numFmtId="0" fontId="4" fillId="8" borderId="16" xfId="0" applyFont="1" applyFill="1" applyBorder="1" applyAlignment="1">
      <alignment horizontal="right"/>
    </xf>
    <xf numFmtId="0" fontId="4" fillId="8" borderId="6" xfId="0" applyFont="1" applyFill="1" applyBorder="1" applyAlignment="1">
      <alignment wrapText="1"/>
    </xf>
    <xf numFmtId="173" fontId="4" fillId="8" borderId="17" xfId="0" applyNumberFormat="1" applyFont="1" applyFill="1" applyBorder="1"/>
    <xf numFmtId="0" fontId="4" fillId="0" borderId="16" xfId="0" applyFont="1" applyBorder="1" applyAlignment="1">
      <alignment horizontal="right"/>
    </xf>
    <xf numFmtId="0" fontId="4" fillId="0" borderId="6" xfId="0" applyFont="1" applyFill="1" applyBorder="1" applyAlignment="1">
      <alignment wrapText="1"/>
    </xf>
    <xf numFmtId="0" fontId="4" fillId="0" borderId="54" xfId="0" applyFont="1" applyBorder="1" applyAlignment="1">
      <alignment horizontal="right"/>
    </xf>
    <xf numFmtId="0" fontId="4" fillId="0" borderId="41" xfId="0" applyFont="1" applyFill="1" applyBorder="1" applyAlignment="1">
      <alignment wrapText="1"/>
    </xf>
    <xf numFmtId="173" fontId="4" fillId="0" borderId="55" xfId="0" applyNumberFormat="1" applyFont="1" applyBorder="1"/>
    <xf numFmtId="49" fontId="73" fillId="10" borderId="54" xfId="0" applyNumberFormat="1" applyFont="1" applyFill="1" applyBorder="1" applyAlignment="1">
      <alignment horizontal="right"/>
    </xf>
    <xf numFmtId="0" fontId="73" fillId="10" borderId="41" xfId="0" applyFont="1" applyFill="1" applyBorder="1" applyAlignment="1">
      <alignment wrapText="1"/>
    </xf>
    <xf numFmtId="173" fontId="73" fillId="10" borderId="55" xfId="0" applyNumberFormat="1" applyFont="1" applyFill="1" applyBorder="1"/>
    <xf numFmtId="173" fontId="4" fillId="0" borderId="20" xfId="0" applyNumberFormat="1" applyFont="1" applyBorder="1"/>
    <xf numFmtId="49" fontId="7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2" fillId="14" borderId="16" xfId="0" applyNumberFormat="1" applyFont="1" applyFill="1" applyBorder="1"/>
    <xf numFmtId="0" fontId="2" fillId="14" borderId="6" xfId="0" applyFont="1" applyFill="1" applyBorder="1"/>
    <xf numFmtId="169" fontId="2" fillId="14" borderId="17" xfId="5" applyNumberFormat="1" applyFont="1" applyFill="1" applyBorder="1"/>
    <xf numFmtId="169" fontId="0" fillId="0" borderId="17" xfId="5" applyNumberFormat="1" applyFont="1" applyBorder="1"/>
    <xf numFmtId="49" fontId="0" fillId="0" borderId="16" xfId="0" applyNumberFormat="1" applyBorder="1"/>
    <xf numFmtId="49" fontId="2" fillId="7" borderId="16" xfId="0" applyNumberFormat="1" applyFont="1" applyFill="1" applyBorder="1"/>
    <xf numFmtId="0" fontId="2" fillId="7" borderId="6" xfId="0" applyFont="1" applyFill="1" applyBorder="1" applyAlignment="1">
      <alignment wrapText="1"/>
    </xf>
    <xf numFmtId="169" fontId="2" fillId="7" borderId="17" xfId="5" applyNumberFormat="1" applyFont="1" applyFill="1" applyBorder="1"/>
    <xf numFmtId="169" fontId="0" fillId="0" borderId="20" xfId="0" applyNumberFormat="1" applyBorder="1"/>
    <xf numFmtId="0" fontId="59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169" fontId="0" fillId="0" borderId="0" xfId="0" applyNumberFormat="1"/>
    <xf numFmtId="0" fontId="2" fillId="18" borderId="9" xfId="0" applyFont="1" applyFill="1" applyBorder="1" applyAlignment="1">
      <alignment wrapText="1"/>
    </xf>
    <xf numFmtId="0" fontId="39" fillId="0" borderId="0" xfId="0" applyFont="1" applyAlignment="1">
      <alignment wrapText="1"/>
    </xf>
    <xf numFmtId="173" fontId="48" fillId="8" borderId="13" xfId="2" applyNumberFormat="1" applyFont="1" applyFill="1" applyBorder="1"/>
    <xf numFmtId="0" fontId="40" fillId="12" borderId="6" xfId="0" applyFont="1" applyFill="1" applyBorder="1"/>
    <xf numFmtId="0" fontId="40" fillId="13" borderId="6" xfId="0" applyFont="1" applyFill="1" applyBorder="1"/>
    <xf numFmtId="0" fontId="40" fillId="7" borderId="6" xfId="0" applyFont="1" applyFill="1" applyBorder="1"/>
    <xf numFmtId="0" fontId="46" fillId="7" borderId="6" xfId="0" applyFont="1" applyFill="1" applyBorder="1"/>
    <xf numFmtId="0" fontId="40" fillId="14" borderId="6" xfId="0" applyFont="1" applyFill="1" applyBorder="1"/>
    <xf numFmtId="0" fontId="46" fillId="14" borderId="6" xfId="0" applyFont="1" applyFill="1" applyBorder="1"/>
    <xf numFmtId="0" fontId="44" fillId="7" borderId="6" xfId="0" applyFont="1" applyFill="1" applyBorder="1"/>
    <xf numFmtId="0" fontId="2" fillId="0" borderId="6" xfId="0" applyFont="1" applyBorder="1"/>
    <xf numFmtId="173" fontId="37" fillId="16" borderId="6" xfId="0" applyNumberFormat="1" applyFont="1" applyFill="1" applyBorder="1"/>
    <xf numFmtId="0" fontId="40" fillId="11" borderId="23" xfId="0" applyFont="1" applyFill="1" applyBorder="1" applyAlignment="1">
      <alignment horizontal="center" vertical="center"/>
    </xf>
    <xf numFmtId="173" fontId="42" fillId="11" borderId="17" xfId="0" applyNumberFormat="1" applyFont="1" applyFill="1" applyBorder="1"/>
    <xf numFmtId="173" fontId="42" fillId="12" borderId="17" xfId="0" applyNumberFormat="1" applyFont="1" applyFill="1" applyBorder="1"/>
    <xf numFmtId="173" fontId="44" fillId="12" borderId="17" xfId="0" applyNumberFormat="1" applyFont="1" applyFill="1" applyBorder="1" applyAlignment="1">
      <alignment wrapText="1"/>
    </xf>
    <xf numFmtId="173" fontId="40" fillId="7" borderId="17" xfId="0" applyNumberFormat="1" applyFont="1" applyFill="1" applyBorder="1"/>
    <xf numFmtId="173" fontId="42" fillId="7" borderId="17" xfId="0" applyNumberFormat="1" applyFont="1" applyFill="1" applyBorder="1"/>
    <xf numFmtId="173" fontId="46" fillId="7" borderId="17" xfId="0" applyNumberFormat="1" applyFont="1" applyFill="1" applyBorder="1"/>
    <xf numFmtId="173" fontId="40" fillId="14" borderId="17" xfId="0" applyNumberFormat="1" applyFont="1" applyFill="1" applyBorder="1"/>
    <xf numFmtId="173" fontId="42" fillId="14" borderId="17" xfId="0" applyNumberFormat="1" applyFont="1" applyFill="1" applyBorder="1"/>
    <xf numFmtId="173" fontId="46" fillId="14" borderId="17" xfId="0" applyNumberFormat="1" applyFont="1" applyFill="1" applyBorder="1"/>
    <xf numFmtId="173" fontId="44" fillId="7" borderId="17" xfId="0" applyNumberFormat="1" applyFont="1" applyFill="1" applyBorder="1"/>
    <xf numFmtId="0" fontId="42" fillId="12" borderId="16" xfId="0" applyFont="1" applyFill="1" applyBorder="1"/>
    <xf numFmtId="173" fontId="48" fillId="17" borderId="17" xfId="0" applyNumberFormat="1" applyFont="1" applyFill="1" applyBorder="1"/>
    <xf numFmtId="173" fontId="49" fillId="16" borderId="20" xfId="0" applyNumberFormat="1" applyFont="1" applyFill="1" applyBorder="1"/>
    <xf numFmtId="169" fontId="40" fillId="15" borderId="22" xfId="2" applyNumberFormat="1" applyFont="1" applyFill="1" applyBorder="1" applyAlignment="1">
      <alignment vertical="center" wrapText="1"/>
    </xf>
    <xf numFmtId="169" fontId="46" fillId="15" borderId="23" xfId="2" applyNumberFormat="1" applyFont="1" applyFill="1" applyBorder="1" applyAlignment="1">
      <alignment vertical="center" wrapText="1"/>
    </xf>
    <xf numFmtId="173" fontId="41" fillId="0" borderId="16" xfId="2" applyNumberFormat="1" applyFont="1" applyBorder="1"/>
    <xf numFmtId="173" fontId="46" fillId="15" borderId="17" xfId="0" applyNumberFormat="1" applyFont="1" applyFill="1" applyBorder="1"/>
    <xf numFmtId="173" fontId="40" fillId="12" borderId="16" xfId="2" applyNumberFormat="1" applyFont="1" applyFill="1" applyBorder="1"/>
    <xf numFmtId="173" fontId="40" fillId="13" borderId="16" xfId="2" applyNumberFormat="1" applyFont="1" applyFill="1" applyBorder="1"/>
    <xf numFmtId="173" fontId="45" fillId="12" borderId="16" xfId="0" applyNumberFormat="1" applyFont="1" applyFill="1" applyBorder="1" applyAlignment="1">
      <alignment wrapText="1"/>
    </xf>
    <xf numFmtId="173" fontId="40" fillId="7" borderId="16" xfId="2" applyNumberFormat="1" applyFont="1" applyFill="1" applyBorder="1"/>
    <xf numFmtId="173" fontId="46" fillId="7" borderId="16" xfId="2" applyNumberFormat="1" applyFont="1" applyFill="1" applyBorder="1"/>
    <xf numFmtId="173" fontId="40" fillId="14" borderId="16" xfId="2" applyNumberFormat="1" applyFont="1" applyFill="1" applyBorder="1"/>
    <xf numFmtId="173" fontId="46" fillId="14" borderId="16" xfId="2" applyNumberFormat="1" applyFont="1" applyFill="1" applyBorder="1"/>
    <xf numFmtId="173" fontId="44" fillId="7" borderId="16" xfId="2" applyNumberFormat="1" applyFont="1" applyFill="1" applyBorder="1"/>
    <xf numFmtId="173" fontId="42" fillId="12" borderId="16" xfId="2" applyNumberFormat="1" applyFont="1" applyFill="1" applyBorder="1"/>
    <xf numFmtId="173" fontId="48" fillId="17" borderId="16" xfId="2" applyNumberFormat="1" applyFont="1" applyFill="1" applyBorder="1"/>
    <xf numFmtId="173" fontId="49" fillId="16" borderId="18" xfId="2" applyNumberFormat="1" applyFont="1" applyFill="1" applyBorder="1"/>
    <xf numFmtId="169" fontId="40" fillId="16" borderId="23" xfId="2" applyNumberFormat="1" applyFont="1" applyFill="1" applyBorder="1" applyAlignment="1">
      <alignment vertical="center" wrapText="1"/>
    </xf>
    <xf numFmtId="173" fontId="41" fillId="0" borderId="16" xfId="0" applyNumberFormat="1" applyFont="1" applyBorder="1"/>
    <xf numFmtId="173" fontId="46" fillId="16" borderId="17" xfId="0" applyNumberFormat="1" applyFont="1" applyFill="1" applyBorder="1"/>
    <xf numFmtId="173" fontId="40" fillId="13" borderId="16" xfId="0" applyNumberFormat="1" applyFont="1" applyFill="1" applyBorder="1"/>
    <xf numFmtId="0" fontId="80" fillId="0" borderId="60" xfId="0" applyFont="1" applyBorder="1" applyAlignment="1">
      <alignment horizontal="center"/>
    </xf>
    <xf numFmtId="0" fontId="80" fillId="0" borderId="6" xfId="0" applyFont="1" applyBorder="1" applyAlignment="1">
      <alignment horizontal="center"/>
    </xf>
    <xf numFmtId="171" fontId="80" fillId="0" borderId="61" xfId="8" applyNumberFormat="1" applyFont="1" applyBorder="1" applyAlignment="1">
      <alignment horizontal="right"/>
    </xf>
    <xf numFmtId="0" fontId="81" fillId="0" borderId="62" xfId="0" applyFont="1" applyBorder="1" applyAlignment="1">
      <alignment horizontal="center"/>
    </xf>
    <xf numFmtId="0" fontId="81" fillId="0" borderId="58" xfId="0" applyFont="1" applyBorder="1" applyAlignment="1">
      <alignment horizontal="center"/>
    </xf>
    <xf numFmtId="0" fontId="0" fillId="0" borderId="0" xfId="0"/>
    <xf numFmtId="0" fontId="82" fillId="5" borderId="21" xfId="0" applyFont="1" applyFill="1" applyBorder="1" applyAlignment="1">
      <alignment horizontal="center" vertical="center"/>
    </xf>
    <xf numFmtId="0" fontId="82" fillId="5" borderId="22" xfId="0" applyFont="1" applyFill="1" applyBorder="1" applyAlignment="1">
      <alignment horizontal="center" vertical="center"/>
    </xf>
    <xf numFmtId="0" fontId="0" fillId="5" borderId="23" xfId="0" applyFill="1" applyBorder="1"/>
    <xf numFmtId="0" fontId="28" fillId="0" borderId="16" xfId="0" applyFont="1" applyBorder="1" applyAlignment="1">
      <alignment wrapText="1"/>
    </xf>
    <xf numFmtId="169" fontId="83" fillId="0" borderId="6" xfId="5" applyNumberFormat="1" applyFont="1" applyBorder="1" applyAlignment="1">
      <alignment horizontal="right"/>
    </xf>
    <xf numFmtId="169" fontId="0" fillId="0" borderId="6" xfId="5" applyNumberFormat="1" applyFont="1" applyBorder="1"/>
    <xf numFmtId="169" fontId="84" fillId="0" borderId="6" xfId="5" applyNumberFormat="1" applyFont="1" applyBorder="1" applyAlignment="1">
      <alignment wrapText="1"/>
    </xf>
    <xf numFmtId="0" fontId="85" fillId="5" borderId="16" xfId="0" applyFont="1" applyFill="1" applyBorder="1"/>
    <xf numFmtId="169" fontId="85" fillId="5" borderId="6" xfId="5" applyNumberFormat="1" applyFont="1" applyFill="1" applyBorder="1" applyAlignment="1">
      <alignment horizontal="right"/>
    </xf>
    <xf numFmtId="0" fontId="86" fillId="0" borderId="16" xfId="0" applyFont="1" applyBorder="1"/>
    <xf numFmtId="169" fontId="86" fillId="0" borderId="6" xfId="0" applyNumberFormat="1" applyFont="1" applyBorder="1" applyAlignment="1">
      <alignment horizontal="right"/>
    </xf>
    <xf numFmtId="0" fontId="82" fillId="0" borderId="16" xfId="0" applyFont="1" applyBorder="1"/>
    <xf numFmtId="0" fontId="85" fillId="23" borderId="18" xfId="0" applyFont="1" applyFill="1" applyBorder="1"/>
    <xf numFmtId="169" fontId="85" fillId="23" borderId="19" xfId="0" applyNumberFormat="1" applyFont="1" applyFill="1" applyBorder="1" applyAlignment="1">
      <alignment horizontal="right"/>
    </xf>
    <xf numFmtId="0" fontId="77" fillId="0" borderId="0" xfId="0" applyFont="1"/>
    <xf numFmtId="0" fontId="87" fillId="0" borderId="0" xfId="0" applyFont="1" applyAlignment="1">
      <alignment horizontal="right"/>
    </xf>
    <xf numFmtId="0" fontId="89" fillId="0" borderId="19" xfId="0" applyFont="1" applyBorder="1" applyAlignment="1">
      <alignment horizontal="center" vertical="center" wrapText="1"/>
    </xf>
    <xf numFmtId="0" fontId="89" fillId="0" borderId="24" xfId="0" applyFont="1" applyBorder="1" applyAlignment="1">
      <alignment horizontal="center" vertical="center" wrapText="1"/>
    </xf>
    <xf numFmtId="0" fontId="90" fillId="0" borderId="21" xfId="0" applyFont="1" applyBorder="1" applyAlignment="1">
      <alignment horizontal="center" wrapText="1"/>
    </xf>
    <xf numFmtId="0" fontId="90" fillId="0" borderId="22" xfId="0" applyFont="1" applyBorder="1" applyAlignment="1">
      <alignment horizontal="center" wrapText="1"/>
    </xf>
    <xf numFmtId="0" fontId="90" fillId="0" borderId="25" xfId="0" applyFont="1" applyBorder="1" applyAlignment="1">
      <alignment horizontal="center" wrapText="1"/>
    </xf>
    <xf numFmtId="0" fontId="90" fillId="0" borderId="48" xfId="0" applyFont="1" applyBorder="1" applyAlignment="1">
      <alignment horizontal="center" wrapText="1"/>
    </xf>
    <xf numFmtId="0" fontId="90" fillId="0" borderId="16" xfId="0" applyFont="1" applyBorder="1" applyAlignment="1">
      <alignment horizontal="left" vertical="center" wrapText="1"/>
    </xf>
    <xf numFmtId="49" fontId="90" fillId="0" borderId="6" xfId="0" applyNumberFormat="1" applyFont="1" applyBorder="1" applyAlignment="1">
      <alignment horizontal="center" wrapText="1"/>
    </xf>
    <xf numFmtId="171" fontId="89" fillId="0" borderId="6" xfId="4" applyNumberFormat="1" applyFont="1" applyBorder="1" applyAlignment="1" applyProtection="1">
      <alignment horizontal="right" vertical="center" wrapText="1"/>
      <protection locked="0"/>
    </xf>
    <xf numFmtId="171" fontId="89" fillId="0" borderId="39" xfId="4" applyNumberFormat="1" applyFont="1" applyBorder="1" applyAlignment="1">
      <alignment horizontal="right" vertical="center" wrapText="1"/>
    </xf>
    <xf numFmtId="171" fontId="89" fillId="0" borderId="9" xfId="4" applyNumberFormat="1" applyFont="1" applyBorder="1" applyAlignment="1" applyProtection="1">
      <alignment horizontal="right" vertical="center" wrapText="1"/>
      <protection locked="0"/>
    </xf>
    <xf numFmtId="0" fontId="90" fillId="0" borderId="30" xfId="0" applyFont="1" applyBorder="1" applyAlignment="1">
      <alignment horizontal="left" vertical="center" wrapText="1"/>
    </xf>
    <xf numFmtId="49" fontId="90" fillId="0" borderId="10" xfId="0" applyNumberFormat="1" applyFont="1" applyBorder="1" applyAlignment="1">
      <alignment horizontal="center" wrapText="1"/>
    </xf>
    <xf numFmtId="171" fontId="89" fillId="0" borderId="10" xfId="4" applyNumberFormat="1" applyFont="1" applyBorder="1" applyAlignment="1" applyProtection="1">
      <alignment horizontal="right" vertical="center" wrapText="1"/>
      <protection locked="0"/>
    </xf>
    <xf numFmtId="171" fontId="89" fillId="0" borderId="31" xfId="4" applyNumberFormat="1" applyFont="1" applyBorder="1" applyAlignment="1" applyProtection="1">
      <alignment horizontal="right" vertical="center" wrapText="1"/>
      <protection locked="0"/>
    </xf>
    <xf numFmtId="171" fontId="89" fillId="0" borderId="89" xfId="4" applyNumberFormat="1" applyFont="1" applyBorder="1" applyAlignment="1">
      <alignment horizontal="right" vertical="center" wrapText="1"/>
    </xf>
    <xf numFmtId="0" fontId="89" fillId="0" borderId="76" xfId="0" applyFont="1" applyBorder="1" applyAlignment="1">
      <alignment horizontal="left" vertical="center" wrapText="1"/>
    </xf>
    <xf numFmtId="49" fontId="89" fillId="0" borderId="64" xfId="0" applyNumberFormat="1" applyFont="1" applyBorder="1" applyAlignment="1">
      <alignment horizontal="center" wrapText="1"/>
    </xf>
    <xf numFmtId="171" fontId="89" fillId="0" borderId="64" xfId="4" applyNumberFormat="1" applyFont="1" applyBorder="1" applyAlignment="1">
      <alignment horizontal="right" vertical="center" wrapText="1"/>
    </xf>
    <xf numFmtId="171" fontId="89" fillId="0" borderId="67" xfId="4" applyNumberFormat="1" applyFont="1" applyBorder="1" applyAlignment="1">
      <alignment horizontal="right" vertical="center" wrapText="1"/>
    </xf>
    <xf numFmtId="171" fontId="89" fillId="0" borderId="56" xfId="4" applyNumberFormat="1" applyFont="1" applyBorder="1" applyAlignment="1">
      <alignment horizontal="right" vertical="center" wrapText="1"/>
    </xf>
    <xf numFmtId="0" fontId="89" fillId="0" borderId="70" xfId="0" applyFont="1" applyBorder="1" applyAlignment="1">
      <alignment horizontal="left" vertical="center" wrapText="1"/>
    </xf>
    <xf numFmtId="49" fontId="89" fillId="0" borderId="68" xfId="0" applyNumberFormat="1" applyFont="1" applyBorder="1" applyAlignment="1">
      <alignment horizontal="center" wrapText="1"/>
    </xf>
    <xf numFmtId="171" fontId="89" fillId="0" borderId="68" xfId="4" applyNumberFormat="1" applyFont="1" applyBorder="1" applyAlignment="1">
      <alignment horizontal="right" vertical="center" wrapText="1"/>
    </xf>
    <xf numFmtId="171" fontId="89" fillId="0" borderId="77" xfId="4" applyNumberFormat="1" applyFont="1" applyBorder="1" applyAlignment="1">
      <alignment horizontal="right" vertical="center" wrapText="1"/>
    </xf>
    <xf numFmtId="0" fontId="89" fillId="0" borderId="64" xfId="0" applyFont="1" applyBorder="1" applyAlignment="1">
      <alignment horizontal="center" wrapText="1"/>
    </xf>
    <xf numFmtId="0" fontId="90" fillId="0" borderId="32" xfId="0" applyFont="1" applyBorder="1" applyAlignment="1">
      <alignment horizontal="left" vertical="center" wrapText="1"/>
    </xf>
    <xf numFmtId="0" fontId="90" fillId="0" borderId="7" xfId="0" applyFont="1" applyBorder="1" applyAlignment="1">
      <alignment horizontal="center" wrapText="1"/>
    </xf>
    <xf numFmtId="171" fontId="89" fillId="0" borderId="7" xfId="4" applyNumberFormat="1" applyFont="1" applyBorder="1" applyAlignment="1" applyProtection="1">
      <alignment horizontal="right" vertical="center" wrapText="1"/>
      <protection locked="0"/>
    </xf>
    <xf numFmtId="171" fontId="89" fillId="0" borderId="11" xfId="4" applyNumberFormat="1" applyFont="1" applyBorder="1" applyAlignment="1" applyProtection="1">
      <alignment horizontal="right" vertical="center" wrapText="1"/>
      <protection locked="0"/>
    </xf>
    <xf numFmtId="171" fontId="89" fillId="0" borderId="50" xfId="4" applyNumberFormat="1" applyFont="1" applyBorder="1" applyAlignment="1">
      <alignment horizontal="right" vertical="center" wrapText="1"/>
    </xf>
    <xf numFmtId="0" fontId="90" fillId="0" borderId="6" xfId="0" applyFont="1" applyBorder="1" applyAlignment="1">
      <alignment horizontal="center" wrapText="1"/>
    </xf>
    <xf numFmtId="0" fontId="90" fillId="0" borderId="10" xfId="0" applyFont="1" applyBorder="1" applyAlignment="1">
      <alignment horizontal="center" wrapText="1"/>
    </xf>
    <xf numFmtId="0" fontId="89" fillId="0" borderId="68" xfId="0" applyFont="1" applyBorder="1" applyAlignment="1">
      <alignment horizontal="center" wrapText="1"/>
    </xf>
    <xf numFmtId="171" fontId="89" fillId="0" borderId="88" xfId="4" applyNumberFormat="1" applyFont="1" applyBorder="1" applyAlignment="1">
      <alignment horizontal="right" vertical="center" wrapText="1"/>
    </xf>
    <xf numFmtId="0" fontId="0" fillId="0" borderId="13" xfId="0" applyBorder="1"/>
    <xf numFmtId="0" fontId="92" fillId="0" borderId="6" xfId="10" applyFont="1" applyBorder="1" applyAlignment="1">
      <alignment horizontal="center"/>
    </xf>
    <xf numFmtId="0" fontId="92" fillId="0" borderId="6" xfId="10" applyFont="1" applyBorder="1" applyAlignment="1">
      <alignment horizontal="center" wrapText="1"/>
    </xf>
    <xf numFmtId="0" fontId="93" fillId="0" borderId="6" xfId="10" applyFont="1" applyBorder="1"/>
    <xf numFmtId="0" fontId="93" fillId="0" borderId="6" xfId="10" applyFont="1" applyBorder="1" applyAlignment="1">
      <alignment horizontal="right"/>
    </xf>
    <xf numFmtId="0" fontId="92" fillId="0" borderId="6" xfId="10" applyFont="1" applyBorder="1"/>
    <xf numFmtId="0" fontId="92" fillId="24" borderId="6" xfId="10" applyFont="1" applyFill="1" applyBorder="1" applyAlignment="1">
      <alignment horizontal="center"/>
    </xf>
    <xf numFmtId="0" fontId="92" fillId="0" borderId="6" xfId="10" applyFont="1" applyBorder="1" applyAlignment="1">
      <alignment wrapText="1"/>
    </xf>
    <xf numFmtId="0" fontId="92" fillId="25" borderId="6" xfId="10" applyFont="1" applyFill="1" applyBorder="1"/>
    <xf numFmtId="0" fontId="93" fillId="0" borderId="6" xfId="10" applyFont="1" applyBorder="1" applyAlignment="1">
      <alignment wrapText="1"/>
    </xf>
    <xf numFmtId="0" fontId="0" fillId="0" borderId="0" xfId="0" applyAlignment="1">
      <alignment horizontal="left"/>
    </xf>
    <xf numFmtId="166" fontId="1" fillId="8" borderId="9" xfId="5" applyNumberFormat="1" applyFont="1" applyFill="1" applyBorder="1"/>
    <xf numFmtId="166" fontId="80" fillId="0" borderId="61" xfId="2" applyNumberFormat="1" applyFont="1" applyBorder="1" applyAlignment="1">
      <alignment horizontal="right" vertical="center"/>
    </xf>
    <xf numFmtId="166" fontId="81" fillId="0" borderId="58" xfId="2" applyNumberFormat="1" applyFont="1" applyBorder="1" applyAlignment="1">
      <alignment horizontal="center"/>
    </xf>
    <xf numFmtId="0" fontId="0" fillId="0" borderId="0" xfId="0"/>
    <xf numFmtId="43" fontId="78" fillId="0" borderId="10" xfId="15" applyFont="1" applyBorder="1"/>
    <xf numFmtId="43" fontId="78" fillId="0" borderId="6" xfId="15" applyFont="1" applyBorder="1"/>
    <xf numFmtId="0" fontId="79" fillId="0" borderId="6" xfId="0" applyFont="1" applyBorder="1" applyAlignment="1">
      <alignment horizontal="center" vertical="center"/>
    </xf>
    <xf numFmtId="43" fontId="78" fillId="0" borderId="6" xfId="15" applyNumberFormat="1" applyFont="1" applyBorder="1"/>
    <xf numFmtId="0" fontId="79" fillId="0" borderId="10" xfId="0" applyFont="1" applyBorder="1" applyAlignment="1">
      <alignment horizontal="center" vertical="center"/>
    </xf>
    <xf numFmtId="43" fontId="78" fillId="0" borderId="10" xfId="15" applyNumberFormat="1" applyFont="1" applyBorder="1"/>
    <xf numFmtId="0" fontId="79" fillId="0" borderId="7" xfId="0" applyFont="1" applyBorder="1" applyAlignment="1">
      <alignment horizontal="center" vertical="center"/>
    </xf>
    <xf numFmtId="43" fontId="78" fillId="0" borderId="7" xfId="15" applyFont="1" applyBorder="1"/>
    <xf numFmtId="43" fontId="78" fillId="0" borderId="7" xfId="15" applyNumberFormat="1" applyFont="1" applyBorder="1"/>
    <xf numFmtId="0" fontId="79" fillId="0" borderId="22" xfId="0" applyFont="1" applyBorder="1" applyAlignment="1">
      <alignment horizontal="center" vertical="center"/>
    </xf>
    <xf numFmtId="43" fontId="78" fillId="0" borderId="22" xfId="15" applyFont="1" applyBorder="1"/>
    <xf numFmtId="43" fontId="78" fillId="0" borderId="22" xfId="15" applyNumberFormat="1" applyFont="1" applyBorder="1"/>
    <xf numFmtId="0" fontId="79" fillId="0" borderId="19" xfId="0" applyFont="1" applyBorder="1" applyAlignment="1">
      <alignment horizontal="center" vertical="center"/>
    </xf>
    <xf numFmtId="43" fontId="78" fillId="0" borderId="19" xfId="15" applyFont="1" applyBorder="1"/>
    <xf numFmtId="43" fontId="78" fillId="0" borderId="19" xfId="15" applyNumberFormat="1" applyFont="1" applyBorder="1"/>
    <xf numFmtId="171" fontId="75" fillId="0" borderId="59" xfId="15" applyNumberFormat="1" applyFont="1" applyBorder="1" applyAlignment="1">
      <alignment horizontal="center" vertical="center"/>
    </xf>
    <xf numFmtId="0" fontId="58" fillId="0" borderId="60" xfId="0" applyFont="1" applyBorder="1"/>
    <xf numFmtId="175" fontId="78" fillId="0" borderId="61" xfId="15" applyNumberFormat="1" applyFont="1" applyBorder="1" applyAlignment="1">
      <alignment horizontal="center" vertical="center"/>
    </xf>
    <xf numFmtId="171" fontId="75" fillId="0" borderId="61" xfId="15" applyNumberFormat="1" applyFont="1" applyBorder="1" applyAlignment="1">
      <alignment horizontal="center" vertical="center" wrapText="1"/>
    </xf>
    <xf numFmtId="0" fontId="24" fillId="0" borderId="18" xfId="9" applyFont="1" applyBorder="1" applyAlignment="1">
      <alignment vertical="center" wrapText="1"/>
    </xf>
    <xf numFmtId="0" fontId="75" fillId="0" borderId="19" xfId="9" applyFont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43" fontId="75" fillId="0" borderId="19" xfId="15" applyFont="1" applyBorder="1" applyAlignment="1">
      <alignment vertical="center" wrapText="1"/>
    </xf>
    <xf numFmtId="43" fontId="75" fillId="0" borderId="19" xfId="15" applyNumberFormat="1" applyFont="1" applyBorder="1" applyAlignment="1">
      <alignment vertical="center" wrapText="1"/>
    </xf>
    <xf numFmtId="0" fontId="78" fillId="0" borderId="71" xfId="0" applyFont="1" applyBorder="1" applyAlignment="1"/>
    <xf numFmtId="0" fontId="78" fillId="0" borderId="66" xfId="0" applyFont="1" applyBorder="1" applyAlignment="1"/>
    <xf numFmtId="16" fontId="58" fillId="0" borderId="72" xfId="0" applyNumberFormat="1" applyFont="1" applyBorder="1"/>
    <xf numFmtId="0" fontId="78" fillId="0" borderId="74" xfId="0" applyFont="1" applyBorder="1" applyAlignment="1"/>
    <xf numFmtId="0" fontId="58" fillId="0" borderId="75" xfId="0" applyFont="1" applyBorder="1"/>
    <xf numFmtId="0" fontId="0" fillId="0" borderId="0" xfId="0" applyAlignment="1">
      <alignment horizontal="left"/>
    </xf>
    <xf numFmtId="0" fontId="58" fillId="0" borderId="73" xfId="0" applyFont="1" applyBorder="1" applyAlignment="1">
      <alignment vertical="center" wrapText="1"/>
    </xf>
    <xf numFmtId="49" fontId="78" fillId="0" borderId="82" xfId="0" applyNumberFormat="1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top" wrapText="1"/>
    </xf>
    <xf numFmtId="0" fontId="0" fillId="0" borderId="27" xfId="0" applyBorder="1" applyAlignment="1">
      <alignment horizontal="center"/>
    </xf>
    <xf numFmtId="0" fontId="0" fillId="0" borderId="73" xfId="0" applyBorder="1" applyAlignment="1">
      <alignment vertical="center" wrapText="1"/>
    </xf>
    <xf numFmtId="0" fontId="58" fillId="0" borderId="73" xfId="0" applyFont="1" applyBorder="1" applyAlignment="1">
      <alignment vertical="center" wrapText="1"/>
    </xf>
    <xf numFmtId="166" fontId="2" fillId="0" borderId="6" xfId="2" applyNumberFormat="1" applyFont="1" applyBorder="1" applyAlignment="1">
      <alignment horizontal="center" vertical="center" wrapText="1"/>
    </xf>
    <xf numFmtId="173" fontId="2" fillId="0" borderId="9" xfId="0" applyNumberFormat="1" applyFont="1" applyBorder="1"/>
    <xf numFmtId="173" fontId="0" fillId="0" borderId="9" xfId="0" applyNumberFormat="1" applyBorder="1"/>
    <xf numFmtId="166" fontId="2" fillId="6" borderId="9" xfId="2" applyNumberFormat="1" applyFont="1" applyFill="1" applyBorder="1"/>
    <xf numFmtId="0" fontId="16" fillId="3" borderId="6" xfId="3" applyFont="1" applyFill="1" applyBorder="1" applyAlignment="1">
      <alignment horizontal="left" vertical="center"/>
    </xf>
    <xf numFmtId="167" fontId="16" fillId="2" borderId="6" xfId="1" applyNumberFormat="1" applyFont="1" applyFill="1" applyBorder="1" applyAlignment="1" applyProtection="1">
      <alignment horizontal="right"/>
    </xf>
    <xf numFmtId="0" fontId="16" fillId="4" borderId="0" xfId="3" applyFont="1" applyFill="1" applyBorder="1" applyAlignment="1">
      <alignment horizontal="center" vertical="center"/>
    </xf>
    <xf numFmtId="0" fontId="16" fillId="4" borderId="0" xfId="3" applyFont="1" applyFill="1" applyBorder="1" applyAlignment="1">
      <alignment horizontal="justify" vertical="center" wrapText="1"/>
    </xf>
    <xf numFmtId="0" fontId="16" fillId="3" borderId="0" xfId="3" applyFont="1" applyFill="1" applyBorder="1" applyAlignment="1">
      <alignment horizontal="left" vertical="center" wrapText="1"/>
    </xf>
    <xf numFmtId="167" fontId="16" fillId="4" borderId="0" xfId="1" applyNumberFormat="1" applyFont="1" applyFill="1" applyBorder="1" applyAlignment="1" applyProtection="1">
      <alignment horizontal="right"/>
    </xf>
    <xf numFmtId="0" fontId="18" fillId="26" borderId="6" xfId="3" applyFont="1" applyFill="1" applyBorder="1" applyAlignment="1">
      <alignment horizontal="left"/>
    </xf>
    <xf numFmtId="0" fontId="19" fillId="3" borderId="6" xfId="3" applyFont="1" applyFill="1" applyBorder="1"/>
    <xf numFmtId="0" fontId="20" fillId="3" borderId="6" xfId="3" applyFont="1" applyFill="1" applyBorder="1"/>
    <xf numFmtId="167" fontId="18" fillId="26" borderId="6" xfId="1" applyNumberFormat="1" applyFont="1" applyFill="1" applyBorder="1" applyAlignment="1" applyProtection="1"/>
    <xf numFmtId="169" fontId="40" fillId="16" borderId="21" xfId="2" applyNumberFormat="1" applyFont="1" applyFill="1" applyBorder="1" applyAlignment="1">
      <alignment horizontal="center" vertical="center" wrapText="1"/>
    </xf>
    <xf numFmtId="0" fontId="80" fillId="0" borderId="60" xfId="0" applyFont="1" applyBorder="1" applyAlignment="1">
      <alignment horizontal="center" wrapText="1"/>
    </xf>
    <xf numFmtId="0" fontId="58" fillId="0" borderId="60" xfId="0" applyFont="1" applyBorder="1" applyAlignment="1">
      <alignment wrapText="1"/>
    </xf>
    <xf numFmtId="0" fontId="58" fillId="0" borderId="73" xfId="0" applyFont="1" applyBorder="1"/>
    <xf numFmtId="0" fontId="79" fillId="0" borderId="34" xfId="0" applyFont="1" applyBorder="1" applyAlignment="1">
      <alignment horizontal="center" vertical="center"/>
    </xf>
    <xf numFmtId="43" fontId="78" fillId="0" borderId="34" xfId="15" applyFont="1" applyBorder="1"/>
    <xf numFmtId="43" fontId="78" fillId="0" borderId="34" xfId="15" applyNumberFormat="1" applyFont="1" applyBorder="1"/>
    <xf numFmtId="43" fontId="79" fillId="0" borderId="7" xfId="0" applyNumberFormat="1" applyFont="1" applyBorder="1" applyAlignment="1">
      <alignment horizontal="center" vertical="center"/>
    </xf>
    <xf numFmtId="166" fontId="1" fillId="8" borderId="26" xfId="5" applyNumberFormat="1" applyFont="1" applyFill="1" applyBorder="1"/>
    <xf numFmtId="0" fontId="61" fillId="0" borderId="30" xfId="0" applyFont="1" applyBorder="1"/>
    <xf numFmtId="0" fontId="61" fillId="0" borderId="10" xfId="0" applyFont="1" applyBorder="1"/>
    <xf numFmtId="0" fontId="61" fillId="0" borderId="10" xfId="0" applyFont="1" applyBorder="1" applyAlignment="1">
      <alignment horizontal="left" vertical="center" wrapText="1"/>
    </xf>
    <xf numFmtId="173" fontId="61" fillId="0" borderId="55" xfId="0" applyNumberFormat="1" applyFont="1" applyBorder="1"/>
    <xf numFmtId="0" fontId="60" fillId="0" borderId="10" xfId="0" applyFont="1" applyBorder="1"/>
    <xf numFmtId="0" fontId="60" fillId="0" borderId="10" xfId="0" applyFont="1" applyBorder="1" applyAlignment="1">
      <alignment wrapText="1"/>
    </xf>
    <xf numFmtId="173" fontId="59" fillId="0" borderId="55" xfId="0" applyNumberFormat="1" applyFont="1" applyBorder="1"/>
    <xf numFmtId="166" fontId="2" fillId="8" borderId="16" xfId="5" applyNumberFormat="1" applyFont="1" applyFill="1" applyBorder="1" applyAlignment="1">
      <alignment horizontal="center" vertical="center" wrapText="1"/>
    </xf>
    <xf numFmtId="166" fontId="2" fillId="8" borderId="6" xfId="5" applyNumberFormat="1" applyFont="1" applyFill="1" applyBorder="1" applyAlignment="1">
      <alignment horizontal="center" vertical="center" wrapText="1"/>
    </xf>
    <xf numFmtId="167" fontId="24" fillId="8" borderId="16" xfId="5" applyNumberFormat="1" applyFont="1" applyFill="1" applyBorder="1" applyAlignment="1">
      <alignment horizontal="center" vertical="center" wrapText="1"/>
    </xf>
    <xf numFmtId="166" fontId="2" fillId="8" borderId="17" xfId="5" applyNumberFormat="1" applyFont="1" applyFill="1" applyBorder="1" applyAlignment="1">
      <alignment horizontal="center" vertical="center" wrapText="1"/>
    </xf>
    <xf numFmtId="166" fontId="2" fillId="8" borderId="9" xfId="5" applyNumberFormat="1" applyFont="1" applyFill="1" applyBorder="1" applyAlignment="1">
      <alignment horizontal="center" vertical="center" wrapText="1"/>
    </xf>
    <xf numFmtId="166" fontId="2" fillId="8" borderId="39" xfId="5" applyNumberFormat="1" applyFont="1" applyFill="1" applyBorder="1" applyAlignment="1">
      <alignment horizontal="center" vertical="center" wrapText="1"/>
    </xf>
    <xf numFmtId="166" fontId="2" fillId="8" borderId="26" xfId="5" applyNumberFormat="1" applyFont="1" applyFill="1" applyBorder="1" applyAlignment="1">
      <alignment horizontal="center" vertical="center" wrapText="1"/>
    </xf>
    <xf numFmtId="166" fontId="24" fillId="8" borderId="17" xfId="5" applyNumberFormat="1" applyFont="1" applyFill="1" applyBorder="1" applyAlignment="1">
      <alignment horizontal="center" vertical="center" wrapText="1"/>
    </xf>
    <xf numFmtId="166" fontId="24" fillId="8" borderId="39" xfId="5" applyNumberFormat="1" applyFont="1" applyFill="1" applyBorder="1" applyAlignment="1">
      <alignment horizontal="center" vertical="center" wrapText="1"/>
    </xf>
    <xf numFmtId="166" fontId="24" fillId="8" borderId="16" xfId="5" applyNumberFormat="1" applyFont="1" applyFill="1" applyBorder="1" applyAlignment="1">
      <alignment horizontal="center" vertical="center" wrapText="1"/>
    </xf>
    <xf numFmtId="166" fontId="24" fillId="8" borderId="6" xfId="5" applyNumberFormat="1" applyFont="1" applyFill="1" applyBorder="1" applyAlignment="1">
      <alignment horizontal="center" vertical="center" wrapText="1"/>
    </xf>
    <xf numFmtId="0" fontId="25" fillId="8" borderId="16" xfId="0" applyFont="1" applyFill="1" applyBorder="1" applyAlignment="1">
      <alignment horizontal="left" vertical="top" wrapText="1"/>
    </xf>
    <xf numFmtId="166" fontId="25" fillId="8" borderId="17" xfId="5" applyNumberFormat="1" applyFont="1" applyFill="1" applyBorder="1" applyAlignment="1">
      <alignment horizontal="right" wrapText="1"/>
    </xf>
    <xf numFmtId="166" fontId="25" fillId="8" borderId="39" xfId="5" applyNumberFormat="1" applyFont="1" applyFill="1" applyBorder="1" applyAlignment="1">
      <alignment horizontal="right" wrapText="1"/>
    </xf>
    <xf numFmtId="166" fontId="25" fillId="8" borderId="36" xfId="5" applyNumberFormat="1" applyFont="1" applyFill="1" applyBorder="1" applyAlignment="1">
      <alignment horizontal="right" wrapText="1"/>
    </xf>
    <xf numFmtId="166" fontId="25" fillId="8" borderId="12" xfId="5" applyNumberFormat="1" applyFont="1" applyFill="1" applyBorder="1" applyAlignment="1">
      <alignment horizontal="right" wrapText="1"/>
    </xf>
    <xf numFmtId="166" fontId="2" fillId="8" borderId="17" xfId="5" applyNumberFormat="1" applyFont="1" applyFill="1" applyBorder="1"/>
    <xf numFmtId="166" fontId="2" fillId="8" borderId="17" xfId="0" applyNumberFormat="1" applyFont="1" applyFill="1" applyBorder="1"/>
    <xf numFmtId="166" fontId="2" fillId="8" borderId="12" xfId="5" applyNumberFormat="1" applyFont="1" applyFill="1" applyBorder="1"/>
    <xf numFmtId="166" fontId="0" fillId="8" borderId="39" xfId="5" applyNumberFormat="1" applyFont="1" applyFill="1" applyBorder="1"/>
    <xf numFmtId="166" fontId="0" fillId="8" borderId="16" xfId="5" applyNumberFormat="1" applyFont="1" applyFill="1" applyBorder="1"/>
    <xf numFmtId="166" fontId="0" fillId="8" borderId="6" xfId="5" applyNumberFormat="1" applyFont="1" applyFill="1" applyBorder="1"/>
    <xf numFmtId="167" fontId="0" fillId="8" borderId="16" xfId="0" applyNumberFormat="1" applyFill="1" applyBorder="1"/>
    <xf numFmtId="166" fontId="0" fillId="8" borderId="17" xfId="5" applyNumberFormat="1" applyFont="1" applyFill="1" applyBorder="1"/>
    <xf numFmtId="166" fontId="0" fillId="8" borderId="9" xfId="5" applyNumberFormat="1" applyFont="1" applyFill="1" applyBorder="1"/>
    <xf numFmtId="166" fontId="0" fillId="8" borderId="26" xfId="5" applyNumberFormat="1" applyFont="1" applyFill="1" applyBorder="1"/>
    <xf numFmtId="166" fontId="25" fillId="8" borderId="16" xfId="5" applyNumberFormat="1" applyFont="1" applyFill="1" applyBorder="1" applyAlignment="1">
      <alignment horizontal="right" wrapText="1"/>
    </xf>
    <xf numFmtId="166" fontId="25" fillId="8" borderId="6" xfId="5" applyNumberFormat="1" applyFont="1" applyFill="1" applyBorder="1" applyAlignment="1">
      <alignment horizontal="right" wrapText="1"/>
    </xf>
    <xf numFmtId="167" fontId="2" fillId="8" borderId="16" xfId="0" applyNumberFormat="1" applyFont="1" applyFill="1" applyBorder="1"/>
    <xf numFmtId="166" fontId="2" fillId="8" borderId="6" xfId="5" applyNumberFormat="1" applyFont="1" applyFill="1" applyBorder="1"/>
    <xf numFmtId="166" fontId="2" fillId="8" borderId="39" xfId="5" applyNumberFormat="1" applyFont="1" applyFill="1" applyBorder="1"/>
    <xf numFmtId="166" fontId="2" fillId="8" borderId="16" xfId="5" applyNumberFormat="1" applyFont="1" applyFill="1" applyBorder="1"/>
    <xf numFmtId="166" fontId="2" fillId="8" borderId="9" xfId="5" applyNumberFormat="1" applyFont="1" applyFill="1" applyBorder="1"/>
    <xf numFmtId="166" fontId="2" fillId="8" borderId="26" xfId="5" applyNumberFormat="1" applyFont="1" applyFill="1" applyBorder="1"/>
    <xf numFmtId="167" fontId="25" fillId="8" borderId="16" xfId="5" applyNumberFormat="1" applyFont="1" applyFill="1" applyBorder="1" applyAlignment="1">
      <alignment horizontal="right" wrapText="1"/>
    </xf>
    <xf numFmtId="0" fontId="27" fillId="8" borderId="16" xfId="0" applyFont="1" applyFill="1" applyBorder="1" applyAlignment="1">
      <alignment horizontal="left" vertical="top" wrapText="1"/>
    </xf>
    <xf numFmtId="167" fontId="25" fillId="8" borderId="16" xfId="0" applyNumberFormat="1" applyFont="1" applyFill="1" applyBorder="1" applyAlignment="1">
      <alignment horizontal="right" wrapText="1"/>
    </xf>
    <xf numFmtId="0" fontId="0" fillId="8" borderId="39" xfId="0" applyFill="1" applyBorder="1"/>
    <xf numFmtId="0" fontId="25" fillId="8" borderId="18" xfId="0" applyFont="1" applyFill="1" applyBorder="1" applyAlignment="1">
      <alignment horizontal="left" vertical="top" wrapText="1"/>
    </xf>
    <xf numFmtId="0" fontId="26" fillId="8" borderId="19" xfId="0" applyFont="1" applyFill="1" applyBorder="1" applyAlignment="1">
      <alignment horizontal="right"/>
    </xf>
    <xf numFmtId="166" fontId="25" fillId="8" borderId="20" xfId="5" applyNumberFormat="1" applyFont="1" applyFill="1" applyBorder="1" applyAlignment="1">
      <alignment horizontal="right" wrapText="1"/>
    </xf>
    <xf numFmtId="166" fontId="25" fillId="8" borderId="40" xfId="5" applyNumberFormat="1" applyFont="1" applyFill="1" applyBorder="1" applyAlignment="1">
      <alignment horizontal="right" wrapText="1"/>
    </xf>
    <xf numFmtId="166" fontId="25" fillId="8" borderId="18" xfId="5" applyNumberFormat="1" applyFont="1" applyFill="1" applyBorder="1" applyAlignment="1">
      <alignment horizontal="right" wrapText="1"/>
    </xf>
    <xf numFmtId="166" fontId="25" fillId="8" borderId="19" xfId="5" applyNumberFormat="1" applyFont="1" applyFill="1" applyBorder="1" applyAlignment="1">
      <alignment horizontal="right" wrapText="1"/>
    </xf>
    <xf numFmtId="167" fontId="25" fillId="8" borderId="18" xfId="5" applyNumberFormat="1" applyFont="1" applyFill="1" applyBorder="1" applyAlignment="1">
      <alignment horizontal="right" wrapText="1"/>
    </xf>
    <xf numFmtId="166" fontId="2" fillId="8" borderId="20" xfId="5" applyNumberFormat="1" applyFont="1" applyFill="1" applyBorder="1"/>
    <xf numFmtId="166" fontId="0" fillId="8" borderId="0" xfId="5" applyNumberFormat="1" applyFont="1" applyFill="1"/>
    <xf numFmtId="167" fontId="0" fillId="8" borderId="0" xfId="0" applyNumberFormat="1" applyFill="1"/>
    <xf numFmtId="169" fontId="65" fillId="8" borderId="0" xfId="5" applyNumberFormat="1" applyFont="1" applyFill="1" applyAlignment="1">
      <alignment horizontal="right" vertical="center" wrapText="1"/>
    </xf>
    <xf numFmtId="169" fontId="65" fillId="8" borderId="0" xfId="5" applyNumberFormat="1" applyFont="1" applyFill="1" applyAlignment="1">
      <alignment horizontal="right"/>
    </xf>
    <xf numFmtId="0" fontId="66" fillId="8" borderId="0" xfId="0" applyFont="1" applyFill="1" applyBorder="1" applyAlignment="1">
      <alignment horizontal="center" vertical="center"/>
    </xf>
    <xf numFmtId="0" fontId="66" fillId="8" borderId="0" xfId="0" applyFont="1" applyFill="1" applyBorder="1"/>
    <xf numFmtId="0" fontId="66" fillId="8" borderId="0" xfId="0" applyFont="1" applyFill="1" applyBorder="1" applyAlignment="1">
      <alignment vertical="center"/>
    </xf>
    <xf numFmtId="0" fontId="66" fillId="8" borderId="0" xfId="0" applyFont="1" applyFill="1" applyBorder="1" applyAlignment="1">
      <alignment horizontal="center" vertical="center" wrapText="1"/>
    </xf>
    <xf numFmtId="169" fontId="67" fillId="8" borderId="0" xfId="5" applyNumberFormat="1" applyFont="1" applyFill="1" applyBorder="1" applyAlignment="1">
      <alignment horizontal="right"/>
    </xf>
    <xf numFmtId="169" fontId="66" fillId="22" borderId="6" xfId="5" applyNumberFormat="1" applyFont="1" applyFill="1" applyBorder="1" applyAlignment="1">
      <alignment horizontal="right" vertical="center" wrapText="1"/>
    </xf>
    <xf numFmtId="169" fontId="66" fillId="22" borderId="6" xfId="5" applyNumberFormat="1" applyFont="1" applyFill="1" applyBorder="1" applyAlignment="1">
      <alignment horizontal="right" wrapText="1"/>
    </xf>
    <xf numFmtId="169" fontId="60" fillId="22" borderId="6" xfId="5" applyNumberFormat="1" applyFont="1" applyFill="1" applyBorder="1" applyAlignment="1">
      <alignment horizontal="center" wrapText="1"/>
    </xf>
    <xf numFmtId="169" fontId="60" fillId="22" borderId="6" xfId="5" applyNumberFormat="1" applyFont="1" applyFill="1" applyBorder="1" applyAlignment="1">
      <alignment horizontal="right" wrapText="1"/>
    </xf>
    <xf numFmtId="169" fontId="60" fillId="22" borderId="9" xfId="5" applyNumberFormat="1" applyFont="1" applyFill="1" applyBorder="1" applyAlignment="1">
      <alignment horizontal="right"/>
    </xf>
    <xf numFmtId="169" fontId="60" fillId="22" borderId="13" xfId="5" applyNumberFormat="1" applyFont="1" applyFill="1" applyBorder="1" applyAlignment="1">
      <alignment horizontal="center" vertical="center"/>
    </xf>
    <xf numFmtId="169" fontId="65" fillId="8" borderId="6" xfId="5" applyNumberFormat="1" applyFont="1" applyFill="1" applyBorder="1" applyAlignment="1">
      <alignment horizontal="right"/>
    </xf>
    <xf numFmtId="169" fontId="65" fillId="8" borderId="6" xfId="5" applyNumberFormat="1" applyFont="1" applyFill="1" applyBorder="1" applyAlignment="1">
      <alignment horizontal="right" vertical="center" wrapText="1"/>
    </xf>
    <xf numFmtId="0" fontId="60" fillId="8" borderId="6" xfId="0" applyFont="1" applyFill="1" applyBorder="1" applyAlignment="1">
      <alignment horizontal="left" vertical="center" wrapText="1"/>
    </xf>
    <xf numFmtId="169" fontId="60" fillId="8" borderId="6" xfId="5" applyNumberFormat="1" applyFont="1" applyFill="1" applyBorder="1" applyAlignment="1">
      <alignment horizontal="right"/>
    </xf>
    <xf numFmtId="0" fontId="65" fillId="8" borderId="6" xfId="0" applyFont="1" applyFill="1" applyBorder="1" applyAlignment="1">
      <alignment horizontal="left" vertical="center" wrapText="1"/>
    </xf>
    <xf numFmtId="0" fontId="60" fillId="8" borderId="6" xfId="0" applyFont="1" applyFill="1" applyBorder="1" applyAlignment="1">
      <alignment horizontal="right" vertical="center"/>
    </xf>
    <xf numFmtId="0" fontId="70" fillId="8" borderId="6" xfId="0" applyFont="1" applyFill="1" applyBorder="1" applyAlignment="1">
      <alignment horizontal="left" vertical="center" wrapText="1"/>
    </xf>
    <xf numFmtId="169" fontId="70" fillId="8" borderId="6" xfId="5" applyNumberFormat="1" applyFont="1" applyFill="1" applyBorder="1" applyAlignment="1">
      <alignment horizontal="right"/>
    </xf>
    <xf numFmtId="169" fontId="70" fillId="22" borderId="6" xfId="5" applyNumberFormat="1" applyFont="1" applyFill="1" applyBorder="1" applyAlignment="1">
      <alignment horizontal="right"/>
    </xf>
    <xf numFmtId="0" fontId="70" fillId="22" borderId="6" xfId="0" applyFont="1" applyFill="1" applyBorder="1" applyAlignment="1">
      <alignment horizontal="left" vertical="center" wrapText="1"/>
    </xf>
    <xf numFmtId="0" fontId="61" fillId="8" borderId="6" xfId="0" applyFont="1" applyFill="1" applyBorder="1" applyAlignment="1">
      <alignment horizontal="center" vertical="center"/>
    </xf>
    <xf numFmtId="0" fontId="61" fillId="8" borderId="6" xfId="0" applyFont="1" applyFill="1" applyBorder="1"/>
    <xf numFmtId="0" fontId="61" fillId="8" borderId="6" xfId="0" applyFont="1" applyFill="1" applyBorder="1" applyAlignment="1">
      <alignment vertical="center"/>
    </xf>
    <xf numFmtId="0" fontId="61" fillId="8" borderId="6" xfId="0" applyFont="1" applyFill="1" applyBorder="1" applyAlignment="1">
      <alignment horizontal="center" vertical="center" wrapText="1"/>
    </xf>
    <xf numFmtId="49" fontId="60" fillId="8" borderId="6" xfId="0" applyNumberFormat="1" applyFont="1" applyFill="1" applyBorder="1" applyAlignment="1">
      <alignment horizontal="right" vertical="center"/>
    </xf>
    <xf numFmtId="49" fontId="60" fillId="8" borderId="6" xfId="0" applyNumberFormat="1" applyFont="1" applyFill="1" applyBorder="1" applyAlignment="1">
      <alignment vertical="center"/>
    </xf>
    <xf numFmtId="0" fontId="65" fillId="8" borderId="6" xfId="0" applyFont="1" applyFill="1" applyBorder="1"/>
    <xf numFmtId="0" fontId="60" fillId="8" borderId="6" xfId="0" applyFont="1" applyFill="1" applyBorder="1" applyAlignment="1">
      <alignment wrapText="1"/>
    </xf>
    <xf numFmtId="169" fontId="65" fillId="22" borderId="6" xfId="5" applyNumberFormat="1" applyFont="1" applyFill="1" applyBorder="1" applyAlignment="1">
      <alignment horizontal="right"/>
    </xf>
    <xf numFmtId="0" fontId="65" fillId="22" borderId="6" xfId="0" applyFont="1" applyFill="1" applyBorder="1" applyAlignment="1">
      <alignment horizontal="left" vertical="center" wrapText="1"/>
    </xf>
    <xf numFmtId="169" fontId="60" fillId="22" borderId="6" xfId="5" applyNumberFormat="1" applyFont="1" applyFill="1" applyBorder="1" applyAlignment="1">
      <alignment horizontal="right" vertical="center" wrapText="1"/>
    </xf>
    <xf numFmtId="169" fontId="71" fillId="22" borderId="6" xfId="5" applyNumberFormat="1" applyFont="1" applyFill="1" applyBorder="1" applyAlignment="1">
      <alignment horizontal="right"/>
    </xf>
    <xf numFmtId="0" fontId="72" fillId="8" borderId="0" xfId="0" applyFont="1" applyFill="1"/>
    <xf numFmtId="169" fontId="72" fillId="8" borderId="0" xfId="5" applyNumberFormat="1" applyFont="1" applyFill="1"/>
    <xf numFmtId="0" fontId="59" fillId="8" borderId="0" xfId="0" applyFont="1" applyFill="1" applyAlignment="1">
      <alignment wrapText="1"/>
    </xf>
    <xf numFmtId="0" fontId="59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center" wrapText="1"/>
    </xf>
    <xf numFmtId="0" fontId="2" fillId="8" borderId="21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wrapText="1"/>
    </xf>
    <xf numFmtId="0" fontId="0" fillId="8" borderId="6" xfId="0" applyFill="1" applyBorder="1"/>
    <xf numFmtId="166" fontId="0" fillId="8" borderId="6" xfId="2" applyNumberFormat="1" applyFont="1" applyFill="1" applyBorder="1"/>
    <xf numFmtId="166" fontId="0" fillId="8" borderId="17" xfId="2" applyNumberFormat="1" applyFont="1" applyFill="1" applyBorder="1"/>
    <xf numFmtId="0" fontId="2" fillId="8" borderId="16" xfId="0" applyFont="1" applyFill="1" applyBorder="1" applyAlignment="1">
      <alignment wrapText="1"/>
    </xf>
    <xf numFmtId="0" fontId="2" fillId="8" borderId="6" xfId="0" applyFont="1" applyFill="1" applyBorder="1"/>
    <xf numFmtId="166" fontId="2" fillId="8" borderId="6" xfId="2" applyNumberFormat="1" applyFont="1" applyFill="1" applyBorder="1"/>
    <xf numFmtId="166" fontId="2" fillId="8" borderId="17" xfId="2" applyNumberFormat="1" applyFont="1" applyFill="1" applyBorder="1" applyAlignment="1">
      <alignment horizontal="right"/>
    </xf>
    <xf numFmtId="0" fontId="0" fillId="8" borderId="18" xfId="0" applyFill="1" applyBorder="1" applyAlignment="1">
      <alignment wrapText="1"/>
    </xf>
    <xf numFmtId="0" fontId="0" fillId="8" borderId="19" xfId="0" applyFill="1" applyBorder="1"/>
    <xf numFmtId="166" fontId="0" fillId="8" borderId="19" xfId="2" applyNumberFormat="1" applyFont="1" applyFill="1" applyBorder="1"/>
    <xf numFmtId="166" fontId="0" fillId="8" borderId="20" xfId="2" applyNumberFormat="1" applyFont="1" applyFill="1" applyBorder="1"/>
    <xf numFmtId="0" fontId="0" fillId="8" borderId="0" xfId="0" applyFill="1" applyAlignment="1">
      <alignment wrapText="1"/>
    </xf>
    <xf numFmtId="0" fontId="2" fillId="8" borderId="0" xfId="0" applyFont="1" applyFill="1"/>
    <xf numFmtId="0" fontId="23" fillId="8" borderId="21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166" fontId="24" fillId="8" borderId="23" xfId="2" applyNumberFormat="1" applyFont="1" applyFill="1" applyBorder="1" applyAlignment="1">
      <alignment horizontal="center" vertical="center" wrapText="1"/>
    </xf>
    <xf numFmtId="0" fontId="53" fillId="8" borderId="16" xfId="0" applyFont="1" applyFill="1" applyBorder="1" applyAlignment="1">
      <alignment horizontal="left" vertical="top" wrapText="1"/>
    </xf>
    <xf numFmtId="0" fontId="54" fillId="8" borderId="6" xfId="0" applyFont="1" applyFill="1" applyBorder="1" applyAlignment="1">
      <alignment horizontal="right"/>
    </xf>
    <xf numFmtId="166" fontId="53" fillId="8" borderId="17" xfId="2" applyNumberFormat="1" applyFont="1" applyFill="1" applyBorder="1" applyAlignment="1">
      <alignment horizontal="right" wrapText="1"/>
    </xf>
    <xf numFmtId="0" fontId="25" fillId="8" borderId="16" xfId="0" applyFont="1" applyFill="1" applyBorder="1" applyAlignment="1">
      <alignment horizontal="right" vertical="top" wrapText="1"/>
    </xf>
    <xf numFmtId="166" fontId="25" fillId="8" borderId="17" xfId="2" applyNumberFormat="1" applyFont="1" applyFill="1" applyBorder="1" applyAlignment="1">
      <alignment horizontal="right" wrapText="1"/>
    </xf>
    <xf numFmtId="0" fontId="28" fillId="8" borderId="19" xfId="0" applyFont="1" applyFill="1" applyBorder="1" applyAlignment="1">
      <alignment horizontal="right"/>
    </xf>
    <xf numFmtId="166" fontId="25" fillId="8" borderId="20" xfId="2" applyNumberFormat="1" applyFont="1" applyFill="1" applyBorder="1" applyAlignment="1">
      <alignment horizontal="right" wrapText="1"/>
    </xf>
    <xf numFmtId="0" fontId="22" fillId="8" borderId="6" xfId="0" applyFont="1" applyFill="1" applyBorder="1" applyAlignment="1">
      <alignment horizontal="center"/>
    </xf>
    <xf numFmtId="0" fontId="5" fillId="8" borderId="6" xfId="0" applyFont="1" applyFill="1" applyBorder="1"/>
    <xf numFmtId="0" fontId="6" fillId="8" borderId="6" xfId="0" applyFont="1" applyFill="1" applyBorder="1"/>
    <xf numFmtId="0" fontId="6" fillId="8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right"/>
    </xf>
    <xf numFmtId="167" fontId="6" fillId="8" borderId="6" xfId="2" applyNumberFormat="1" applyFont="1" applyFill="1" applyBorder="1" applyAlignment="1">
      <alignment horizontal="right"/>
    </xf>
    <xf numFmtId="167" fontId="6" fillId="8" borderId="6" xfId="0" applyNumberFormat="1" applyFont="1" applyFill="1" applyBorder="1" applyAlignment="1">
      <alignment horizontal="right"/>
    </xf>
    <xf numFmtId="0" fontId="7" fillId="8" borderId="6" xfId="0" applyFont="1" applyFill="1" applyBorder="1" applyAlignment="1">
      <alignment horizontal="right"/>
    </xf>
    <xf numFmtId="0" fontId="8" fillId="8" borderId="6" xfId="0" applyFont="1" applyFill="1" applyBorder="1" applyAlignment="1">
      <alignment horizontal="right"/>
    </xf>
    <xf numFmtId="167" fontId="4" fillId="8" borderId="6" xfId="0" applyNumberFormat="1" applyFont="1" applyFill="1" applyBorder="1" applyAlignment="1">
      <alignment wrapText="1"/>
    </xf>
    <xf numFmtId="0" fontId="9" fillId="8" borderId="6" xfId="0" applyFont="1" applyFill="1" applyBorder="1" applyAlignment="1">
      <alignment horizontal="right"/>
    </xf>
    <xf numFmtId="167" fontId="10" fillId="8" borderId="6" xfId="0" applyNumberFormat="1" applyFont="1" applyFill="1" applyBorder="1" applyAlignment="1">
      <alignment horizontal="right"/>
    </xf>
    <xf numFmtId="167" fontId="10" fillId="8" borderId="6" xfId="2" applyNumberFormat="1" applyFont="1" applyFill="1" applyBorder="1" applyAlignment="1">
      <alignment horizontal="right"/>
    </xf>
    <xf numFmtId="0" fontId="6" fillId="8" borderId="6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center" vertical="center"/>
    </xf>
    <xf numFmtId="0" fontId="11" fillId="8" borderId="6" xfId="0" applyFont="1" applyFill="1" applyBorder="1"/>
    <xf numFmtId="167" fontId="11" fillId="8" borderId="6" xfId="0" applyNumberFormat="1" applyFont="1" applyFill="1" applyBorder="1" applyAlignment="1">
      <alignment horizontal="right"/>
    </xf>
    <xf numFmtId="0" fontId="15" fillId="8" borderId="7" xfId="3" applyFont="1" applyFill="1" applyBorder="1" applyAlignment="1">
      <alignment horizontal="right"/>
    </xf>
    <xf numFmtId="0" fontId="15" fillId="8" borderId="7" xfId="3" applyFont="1" applyFill="1" applyBorder="1" applyAlignment="1">
      <alignment horizontal="center"/>
    </xf>
    <xf numFmtId="168" fontId="15" fillId="8" borderId="7" xfId="3" applyNumberFormat="1" applyFont="1" applyFill="1" applyBorder="1"/>
    <xf numFmtId="167" fontId="15" fillId="8" borderId="7" xfId="1" applyNumberFormat="1" applyFont="1" applyFill="1" applyBorder="1" applyAlignment="1" applyProtection="1">
      <alignment horizontal="right"/>
    </xf>
    <xf numFmtId="0" fontId="15" fillId="8" borderId="6" xfId="3" applyFont="1" applyFill="1" applyBorder="1" applyAlignment="1">
      <alignment horizontal="right"/>
    </xf>
    <xf numFmtId="0" fontId="15" fillId="8" borderId="6" xfId="3" applyFont="1" applyFill="1" applyBorder="1" applyAlignment="1">
      <alignment horizontal="center"/>
    </xf>
    <xf numFmtId="168" fontId="15" fillId="8" borderId="6" xfId="3" applyNumberFormat="1" applyFont="1" applyFill="1" applyBorder="1"/>
    <xf numFmtId="167" fontId="15" fillId="8" borderId="6" xfId="1" applyNumberFormat="1" applyFont="1" applyFill="1" applyBorder="1" applyAlignment="1" applyProtection="1">
      <alignment horizontal="right"/>
    </xf>
    <xf numFmtId="0" fontId="15" fillId="8" borderId="6" xfId="3" applyFont="1" applyFill="1" applyBorder="1"/>
    <xf numFmtId="0" fontId="16" fillId="2" borderId="6" xfId="3" applyFont="1" applyFill="1" applyBorder="1" applyAlignment="1">
      <alignment horizontal="left" vertical="center"/>
    </xf>
    <xf numFmtId="0" fontId="14" fillId="8" borderId="6" xfId="3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167" fontId="6" fillId="8" borderId="4" xfId="2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right"/>
    </xf>
    <xf numFmtId="0" fontId="10" fillId="8" borderId="1" xfId="0" applyFont="1" applyFill="1" applyBorder="1" applyAlignment="1">
      <alignment horizontal="right"/>
    </xf>
    <xf numFmtId="0" fontId="10" fillId="8" borderId="3" xfId="0" applyFont="1" applyFill="1" applyBorder="1"/>
    <xf numFmtId="167" fontId="10" fillId="8" borderId="4" xfId="2" applyNumberFormat="1" applyFont="1" applyFill="1" applyBorder="1" applyAlignment="1">
      <alignment horizontal="right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167" fontId="11" fillId="8" borderId="4" xfId="2" applyNumberFormat="1" applyFont="1" applyFill="1" applyBorder="1" applyAlignment="1">
      <alignment horizontal="right"/>
    </xf>
    <xf numFmtId="0" fontId="6" fillId="8" borderId="1" xfId="0" applyFont="1" applyFill="1" applyBorder="1"/>
    <xf numFmtId="0" fontId="6" fillId="8" borderId="1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167" fontId="11" fillId="8" borderId="5" xfId="0" applyNumberFormat="1" applyFont="1" applyFill="1" applyBorder="1" applyAlignment="1">
      <alignment horizontal="right"/>
    </xf>
    <xf numFmtId="167" fontId="12" fillId="8" borderId="6" xfId="0" applyNumberFormat="1" applyFont="1" applyFill="1" applyBorder="1" applyAlignment="1">
      <alignment horizontal="right"/>
    </xf>
    <xf numFmtId="0" fontId="73" fillId="8" borderId="6" xfId="0" applyFont="1" applyFill="1" applyBorder="1" applyAlignment="1">
      <alignment wrapText="1"/>
    </xf>
    <xf numFmtId="0" fontId="73" fillId="8" borderId="6" xfId="0" applyFont="1" applyFill="1" applyBorder="1"/>
    <xf numFmtId="173" fontId="73" fillId="8" borderId="17" xfId="0" applyNumberFormat="1" applyFont="1" applyFill="1" applyBorder="1"/>
    <xf numFmtId="0" fontId="4" fillId="8" borderId="6" xfId="0" applyFont="1" applyFill="1" applyBorder="1"/>
    <xf numFmtId="169" fontId="4" fillId="8" borderId="17" xfId="5" applyNumberFormat="1" applyFont="1" applyFill="1" applyBorder="1"/>
    <xf numFmtId="169" fontId="73" fillId="8" borderId="17" xfId="5" applyNumberFormat="1" applyFont="1" applyFill="1" applyBorder="1" applyAlignment="1">
      <alignment wrapText="1"/>
    </xf>
    <xf numFmtId="0" fontId="4" fillId="8" borderId="10" xfId="0" applyFont="1" applyFill="1" applyBorder="1" applyAlignment="1">
      <alignment wrapText="1"/>
    </xf>
    <xf numFmtId="0" fontId="4" fillId="8" borderId="10" xfId="0" applyFont="1" applyFill="1" applyBorder="1"/>
    <xf numFmtId="169" fontId="4" fillId="8" borderId="55" xfId="5" applyNumberFormat="1" applyFont="1" applyFill="1" applyBorder="1"/>
    <xf numFmtId="0" fontId="73" fillId="8" borderId="21" xfId="0" applyFont="1" applyFill="1" applyBorder="1" applyAlignment="1">
      <alignment wrapText="1"/>
    </xf>
    <xf numFmtId="0" fontId="0" fillId="8" borderId="22" xfId="0" applyFill="1" applyBorder="1"/>
    <xf numFmtId="166" fontId="0" fillId="8" borderId="23" xfId="2" applyNumberFormat="1" applyFont="1" applyFill="1" applyBorder="1"/>
    <xf numFmtId="0" fontId="4" fillId="8" borderId="18" xfId="0" applyFont="1" applyFill="1" applyBorder="1" applyAlignment="1">
      <alignment wrapText="1"/>
    </xf>
    <xf numFmtId="0" fontId="60" fillId="8" borderId="21" xfId="0" applyFont="1" applyFill="1" applyBorder="1" applyAlignment="1">
      <alignment horizontal="left"/>
    </xf>
    <xf numFmtId="0" fontId="60" fillId="8" borderId="22" xfId="0" applyFont="1" applyFill="1" applyBorder="1"/>
    <xf numFmtId="0" fontId="60" fillId="8" borderId="22" xfId="0" applyFont="1" applyFill="1" applyBorder="1" applyAlignment="1">
      <alignment horizontal="left"/>
    </xf>
    <xf numFmtId="0" fontId="60" fillId="8" borderId="22" xfId="0" applyFont="1" applyFill="1" applyBorder="1" applyAlignment="1">
      <alignment vertical="center"/>
    </xf>
    <xf numFmtId="0" fontId="60" fillId="8" borderId="22" xfId="0" applyFont="1" applyFill="1" applyBorder="1" applyAlignment="1">
      <alignment horizontal="center" vertical="center" wrapText="1"/>
    </xf>
    <xf numFmtId="0" fontId="60" fillId="21" borderId="16" xfId="0" applyFont="1" applyFill="1" applyBorder="1" applyAlignment="1">
      <alignment horizontal="center"/>
    </xf>
    <xf numFmtId="0" fontId="61" fillId="21" borderId="6" xfId="0" applyFont="1" applyFill="1" applyBorder="1" applyAlignment="1">
      <alignment horizontal="center"/>
    </xf>
    <xf numFmtId="0" fontId="61" fillId="21" borderId="6" xfId="0" applyFont="1" applyFill="1" applyBorder="1" applyAlignment="1">
      <alignment horizontal="left"/>
    </xf>
    <xf numFmtId="0" fontId="59" fillId="8" borderId="17" xfId="0" applyFont="1" applyFill="1" applyBorder="1"/>
    <xf numFmtId="0" fontId="60" fillId="8" borderId="16" xfId="0" applyFont="1" applyFill="1" applyBorder="1" applyAlignment="1">
      <alignment horizontal="center"/>
    </xf>
    <xf numFmtId="0" fontId="59" fillId="8" borderId="6" xfId="0" applyFont="1" applyFill="1" applyBorder="1"/>
    <xf numFmtId="0" fontId="61" fillId="8" borderId="6" xfId="0" applyFont="1" applyFill="1" applyBorder="1" applyAlignment="1">
      <alignment horizontal="center"/>
    </xf>
    <xf numFmtId="0" fontId="60" fillId="8" borderId="6" xfId="0" applyFont="1" applyFill="1" applyBorder="1" applyAlignment="1">
      <alignment horizontal="left" vertical="center"/>
    </xf>
    <xf numFmtId="0" fontId="61" fillId="8" borderId="6" xfId="0" applyFont="1" applyFill="1" applyBorder="1" applyAlignment="1">
      <alignment horizontal="left"/>
    </xf>
    <xf numFmtId="0" fontId="61" fillId="8" borderId="6" xfId="0" applyFont="1" applyFill="1" applyBorder="1" applyAlignment="1">
      <alignment horizontal="left" vertical="center" wrapText="1"/>
    </xf>
    <xf numFmtId="170" fontId="61" fillId="8" borderId="6" xfId="5" applyNumberFormat="1" applyFont="1" applyFill="1" applyBorder="1" applyAlignment="1">
      <alignment horizontal="right" wrapText="1"/>
    </xf>
    <xf numFmtId="170" fontId="59" fillId="8" borderId="17" xfId="0" applyNumberFormat="1" applyFont="1" applyFill="1" applyBorder="1" applyAlignment="1"/>
    <xf numFmtId="0" fontId="59" fillId="8" borderId="6" xfId="3" applyFont="1" applyFill="1" applyBorder="1" applyAlignment="1">
      <alignment horizontal="justify" vertical="center" wrapText="1"/>
    </xf>
    <xf numFmtId="0" fontId="59" fillId="8" borderId="6" xfId="3" applyFont="1" applyFill="1" applyBorder="1" applyAlignment="1">
      <alignment horizontal="left" vertical="center" wrapText="1"/>
    </xf>
    <xf numFmtId="0" fontId="61" fillId="8" borderId="6" xfId="0" applyFont="1" applyFill="1" applyBorder="1" applyAlignment="1">
      <alignment horizontal="left" vertical="top" wrapText="1"/>
    </xf>
    <xf numFmtId="0" fontId="59" fillId="8" borderId="6" xfId="0" applyFont="1" applyFill="1" applyBorder="1" applyAlignment="1">
      <alignment horizontal="left"/>
    </xf>
    <xf numFmtId="3" fontId="64" fillId="21" borderId="6" xfId="0" applyNumberFormat="1" applyFont="1" applyFill="1" applyBorder="1"/>
    <xf numFmtId="3" fontId="64" fillId="21" borderId="17" xfId="0" applyNumberFormat="1" applyFont="1" applyFill="1" applyBorder="1"/>
    <xf numFmtId="0" fontId="59" fillId="8" borderId="6" xfId="0" applyFont="1" applyFill="1" applyBorder="1" applyAlignment="1">
      <alignment horizontal="left" vertical="center" wrapText="1"/>
    </xf>
    <xf numFmtId="3" fontId="64" fillId="8" borderId="6" xfId="0" applyNumberFormat="1" applyFont="1" applyFill="1" applyBorder="1"/>
    <xf numFmtId="49" fontId="61" fillId="8" borderId="6" xfId="0" applyNumberFormat="1" applyFont="1" applyFill="1" applyBorder="1" applyAlignment="1">
      <alignment horizontal="center"/>
    </xf>
    <xf numFmtId="3" fontId="59" fillId="8" borderId="6" xfId="0" applyNumberFormat="1" applyFont="1" applyFill="1" applyBorder="1"/>
    <xf numFmtId="3" fontId="59" fillId="8" borderId="17" xfId="0" applyNumberFormat="1" applyFont="1" applyFill="1" applyBorder="1"/>
    <xf numFmtId="0" fontId="59" fillId="8" borderId="0" xfId="0" applyFont="1" applyFill="1" applyBorder="1" applyAlignment="1">
      <alignment wrapText="1"/>
    </xf>
    <xf numFmtId="0" fontId="4" fillId="8" borderId="16" xfId="0" applyFont="1" applyFill="1" applyBorder="1"/>
    <xf numFmtId="3" fontId="60" fillId="21" borderId="6" xfId="0" applyNumberFormat="1" applyFont="1" applyFill="1" applyBorder="1"/>
    <xf numFmtId="3" fontId="60" fillId="21" borderId="17" xfId="0" applyNumberFormat="1" applyFont="1" applyFill="1" applyBorder="1"/>
    <xf numFmtId="0" fontId="60" fillId="21" borderId="6" xfId="0" applyFont="1" applyFill="1" applyBorder="1" applyAlignment="1">
      <alignment horizontal="left"/>
    </xf>
    <xf numFmtId="0" fontId="60" fillId="21" borderId="6" xfId="0" applyFont="1" applyFill="1" applyBorder="1" applyAlignment="1">
      <alignment horizontal="left" vertical="center" wrapText="1"/>
    </xf>
    <xf numFmtId="3" fontId="60" fillId="8" borderId="6" xfId="0" applyNumberFormat="1" applyFont="1" applyFill="1" applyBorder="1" applyAlignment="1">
      <alignment wrapText="1"/>
    </xf>
    <xf numFmtId="0" fontId="61" fillId="8" borderId="6" xfId="0" applyFont="1" applyFill="1" applyBorder="1" applyAlignment="1">
      <alignment wrapText="1"/>
    </xf>
    <xf numFmtId="3" fontId="61" fillId="8" borderId="6" xfId="0" applyNumberFormat="1" applyFont="1" applyFill="1" applyBorder="1" applyAlignment="1">
      <alignment wrapText="1"/>
    </xf>
    <xf numFmtId="49" fontId="61" fillId="8" borderId="6" xfId="0" applyNumberFormat="1" applyFont="1" applyFill="1" applyBorder="1" applyAlignment="1">
      <alignment horizontal="left"/>
    </xf>
    <xf numFmtId="3" fontId="60" fillId="8" borderId="17" xfId="0" applyNumberFormat="1" applyFont="1" applyFill="1" applyBorder="1" applyAlignment="1">
      <alignment wrapText="1"/>
    </xf>
    <xf numFmtId="49" fontId="61" fillId="21" borderId="6" xfId="0" applyNumberFormat="1" applyFont="1" applyFill="1" applyBorder="1" applyAlignment="1">
      <alignment horizontal="left"/>
    </xf>
    <xf numFmtId="0" fontId="61" fillId="8" borderId="6" xfId="0" applyFont="1" applyFill="1" applyBorder="1" applyAlignment="1">
      <alignment horizontal="left" vertical="center"/>
    </xf>
    <xf numFmtId="49" fontId="60" fillId="21" borderId="6" xfId="0" applyNumberFormat="1" applyFont="1" applyFill="1" applyBorder="1" applyAlignment="1">
      <alignment horizontal="left"/>
    </xf>
    <xf numFmtId="0" fontId="60" fillId="21" borderId="9" xfId="0" applyFont="1" applyFill="1" applyBorder="1" applyAlignment="1">
      <alignment vertical="center"/>
    </xf>
    <xf numFmtId="0" fontId="60" fillId="21" borderId="12" xfId="0" applyFont="1" applyFill="1" applyBorder="1" applyAlignment="1">
      <alignment vertical="center"/>
    </xf>
    <xf numFmtId="0" fontId="60" fillId="21" borderId="13" xfId="0" applyFont="1" applyFill="1" applyBorder="1" applyAlignment="1">
      <alignment vertical="center"/>
    </xf>
    <xf numFmtId="3" fontId="60" fillId="21" borderId="6" xfId="0" applyNumberFormat="1" applyFont="1" applyFill="1" applyBorder="1" applyAlignment="1">
      <alignment wrapText="1"/>
    </xf>
    <xf numFmtId="3" fontId="60" fillId="21" borderId="17" xfId="0" applyNumberFormat="1" applyFont="1" applyFill="1" applyBorder="1" applyAlignment="1">
      <alignment wrapText="1"/>
    </xf>
    <xf numFmtId="0" fontId="60" fillId="21" borderId="6" xfId="0" applyFont="1" applyFill="1" applyBorder="1" applyAlignment="1">
      <alignment horizontal="center"/>
    </xf>
    <xf numFmtId="174" fontId="61" fillId="8" borderId="6" xfId="1" applyNumberFormat="1" applyFont="1" applyFill="1" applyBorder="1" applyAlignment="1">
      <alignment horizontal="right" wrapText="1"/>
    </xf>
    <xf numFmtId="0" fontId="61" fillId="8" borderId="34" xfId="0" applyFont="1" applyFill="1" applyBorder="1" applyAlignment="1">
      <alignment wrapText="1"/>
    </xf>
    <xf numFmtId="172" fontId="60" fillId="21" borderId="13" xfId="4" applyNumberFormat="1" applyFont="1" applyFill="1" applyBorder="1" applyAlignment="1">
      <alignment horizontal="right" vertical="center"/>
    </xf>
    <xf numFmtId="3" fontId="61" fillId="21" borderId="6" xfId="0" applyNumberFormat="1" applyFont="1" applyFill="1" applyBorder="1" applyAlignment="1">
      <alignment wrapText="1"/>
    </xf>
    <xf numFmtId="0" fontId="60" fillId="8" borderId="6" xfId="0" applyFont="1" applyFill="1" applyBorder="1" applyAlignment="1">
      <alignment horizontal="center"/>
    </xf>
    <xf numFmtId="3" fontId="61" fillId="8" borderId="6" xfId="0" applyNumberFormat="1" applyFont="1" applyFill="1" applyBorder="1" applyAlignment="1">
      <alignment horizontal="right" vertical="center" wrapText="1"/>
    </xf>
    <xf numFmtId="3" fontId="61" fillId="8" borderId="17" xfId="0" applyNumberFormat="1" applyFont="1" applyFill="1" applyBorder="1" applyAlignment="1">
      <alignment horizontal="right" vertical="center" wrapText="1"/>
    </xf>
    <xf numFmtId="0" fontId="60" fillId="8" borderId="30" xfId="0" applyFont="1" applyFill="1" applyBorder="1" applyAlignment="1">
      <alignment horizontal="center"/>
    </xf>
    <xf numFmtId="0" fontId="60" fillId="8" borderId="10" xfId="0" applyFont="1" applyFill="1" applyBorder="1" applyAlignment="1">
      <alignment horizontal="center"/>
    </xf>
    <xf numFmtId="0" fontId="60" fillId="21" borderId="10" xfId="0" applyFont="1" applyFill="1" applyBorder="1" applyAlignment="1">
      <alignment horizontal="left"/>
    </xf>
    <xf numFmtId="0" fontId="60" fillId="21" borderId="10" xfId="0" applyFont="1" applyFill="1" applyBorder="1" applyAlignment="1">
      <alignment horizontal="center"/>
    </xf>
    <xf numFmtId="0" fontId="59" fillId="8" borderId="10" xfId="0" applyFont="1" applyFill="1" applyBorder="1"/>
    <xf numFmtId="3" fontId="61" fillId="21" borderId="10" xfId="0" applyNumberFormat="1" applyFont="1" applyFill="1" applyBorder="1" applyAlignment="1">
      <alignment wrapText="1"/>
    </xf>
    <xf numFmtId="3" fontId="61" fillId="21" borderId="55" xfId="0" applyNumberFormat="1" applyFont="1" applyFill="1" applyBorder="1" applyAlignment="1">
      <alignment wrapText="1"/>
    </xf>
    <xf numFmtId="0" fontId="60" fillId="8" borderId="18" xfId="0" applyFont="1" applyFill="1" applyBorder="1" applyAlignment="1">
      <alignment horizontal="center"/>
    </xf>
    <xf numFmtId="0" fontId="61" fillId="21" borderId="19" xfId="0" applyFont="1" applyFill="1" applyBorder="1" applyAlignment="1">
      <alignment horizontal="center"/>
    </xf>
    <xf numFmtId="0" fontId="61" fillId="21" borderId="19" xfId="0" applyFont="1" applyFill="1" applyBorder="1" applyAlignment="1">
      <alignment horizontal="left"/>
    </xf>
    <xf numFmtId="3" fontId="60" fillId="21" borderId="19" xfId="0" applyNumberFormat="1" applyFont="1" applyFill="1" applyBorder="1" applyAlignment="1">
      <alignment wrapText="1"/>
    </xf>
    <xf numFmtId="3" fontId="60" fillId="21" borderId="20" xfId="0" applyNumberFormat="1" applyFont="1" applyFill="1" applyBorder="1" applyAlignment="1">
      <alignment wrapText="1"/>
    </xf>
    <xf numFmtId="0" fontId="52" fillId="19" borderId="6" xfId="0" applyFont="1" applyFill="1" applyBorder="1" applyAlignment="1">
      <alignment horizontal="center" vertical="center"/>
    </xf>
    <xf numFmtId="0" fontId="56" fillId="0" borderId="0" xfId="0" applyFont="1" applyAlignment="1">
      <alignment horizontal="left" wrapText="1"/>
    </xf>
    <xf numFmtId="169" fontId="56" fillId="0" borderId="0" xfId="5" applyNumberFormat="1" applyFont="1" applyAlignment="1">
      <alignment horizontal="center"/>
    </xf>
    <xf numFmtId="0" fontId="57" fillId="0" borderId="0" xfId="0" applyFont="1" applyAlignment="1">
      <alignment horizontal="center" wrapText="1"/>
    </xf>
    <xf numFmtId="169" fontId="56" fillId="0" borderId="14" xfId="5" applyNumberFormat="1" applyFont="1" applyBorder="1" applyAlignment="1">
      <alignment horizontal="center"/>
    </xf>
    <xf numFmtId="0" fontId="23" fillId="6" borderId="6" xfId="0" applyFont="1" applyFill="1" applyBorder="1" applyAlignment="1">
      <alignment horizontal="center"/>
    </xf>
    <xf numFmtId="0" fontId="5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0" fillId="20" borderId="6" xfId="0" applyFont="1" applyFill="1" applyBorder="1" applyAlignment="1">
      <alignment horizontal="left" vertical="center"/>
    </xf>
    <xf numFmtId="0" fontId="60" fillId="20" borderId="18" xfId="0" applyFont="1" applyFill="1" applyBorder="1" applyAlignment="1">
      <alignment horizontal="left" vertical="center"/>
    </xf>
    <xf numFmtId="0" fontId="60" fillId="20" borderId="19" xfId="0" applyFont="1" applyFill="1" applyBorder="1" applyAlignment="1">
      <alignment horizontal="left" vertical="center"/>
    </xf>
    <xf numFmtId="0" fontId="59" fillId="0" borderId="0" xfId="0" applyFont="1" applyAlignment="1">
      <alignment horizontal="left" wrapText="1"/>
    </xf>
    <xf numFmtId="0" fontId="60" fillId="0" borderId="0" xfId="0" applyFont="1" applyBorder="1" applyAlignment="1">
      <alignment horizontal="center" vertical="top" wrapText="1"/>
    </xf>
    <xf numFmtId="0" fontId="60" fillId="20" borderId="22" xfId="0" applyFont="1" applyFill="1" applyBorder="1" applyAlignment="1">
      <alignment horizontal="center" vertical="center" textRotation="90" wrapText="1"/>
    </xf>
    <xf numFmtId="0" fontId="60" fillId="20" borderId="6" xfId="0" applyFont="1" applyFill="1" applyBorder="1" applyAlignment="1">
      <alignment horizontal="center" vertical="center" textRotation="90" wrapText="1"/>
    </xf>
    <xf numFmtId="0" fontId="60" fillId="20" borderId="22" xfId="0" applyFont="1" applyFill="1" applyBorder="1" applyAlignment="1">
      <alignment horizontal="center" vertical="center" wrapText="1"/>
    </xf>
    <xf numFmtId="0" fontId="60" fillId="20" borderId="6" xfId="0" applyFont="1" applyFill="1" applyBorder="1" applyAlignment="1">
      <alignment horizontal="center" vertical="center" wrapText="1"/>
    </xf>
    <xf numFmtId="0" fontId="60" fillId="20" borderId="35" xfId="0" applyFont="1" applyFill="1" applyBorder="1" applyAlignment="1">
      <alignment horizontal="center" vertical="center" wrapText="1"/>
    </xf>
    <xf numFmtId="0" fontId="60" fillId="20" borderId="7" xfId="0" applyFont="1" applyFill="1" applyBorder="1" applyAlignment="1">
      <alignment horizontal="center" vertical="center" wrapText="1"/>
    </xf>
    <xf numFmtId="0" fontId="60" fillId="20" borderId="16" xfId="0" applyFont="1" applyFill="1" applyBorder="1" applyAlignment="1">
      <alignment horizontal="center"/>
    </xf>
    <xf numFmtId="0" fontId="60" fillId="20" borderId="6" xfId="0" applyFont="1" applyFill="1" applyBorder="1" applyAlignment="1">
      <alignment horizontal="center"/>
    </xf>
    <xf numFmtId="0" fontId="61" fillId="20" borderId="16" xfId="0" applyFont="1" applyFill="1" applyBorder="1" applyAlignment="1">
      <alignment horizontal="center" vertical="center"/>
    </xf>
    <xf numFmtId="0" fontId="61" fillId="20" borderId="6" xfId="0" applyFont="1" applyFill="1" applyBorder="1" applyAlignment="1">
      <alignment horizontal="center" vertical="center"/>
    </xf>
    <xf numFmtId="0" fontId="60" fillId="21" borderId="6" xfId="0" applyFont="1" applyFill="1" applyBorder="1" applyAlignment="1">
      <alignment horizontal="left" vertical="center" wrapText="1"/>
    </xf>
    <xf numFmtId="0" fontId="60" fillId="0" borderId="0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right" vertical="center" wrapText="1"/>
    </xf>
    <xf numFmtId="0" fontId="60" fillId="8" borderId="22" xfId="0" applyFont="1" applyFill="1" applyBorder="1" applyAlignment="1">
      <alignment horizontal="center" vertical="center" wrapText="1"/>
    </xf>
    <xf numFmtId="0" fontId="60" fillId="8" borderId="6" xfId="0" applyFont="1" applyFill="1" applyBorder="1" applyAlignment="1">
      <alignment horizontal="center" vertical="center" wrapText="1"/>
    </xf>
    <xf numFmtId="0" fontId="64" fillId="8" borderId="23" xfId="0" applyFont="1" applyFill="1" applyBorder="1" applyAlignment="1">
      <alignment horizontal="center" wrapText="1"/>
    </xf>
    <xf numFmtId="0" fontId="64" fillId="8" borderId="17" xfId="0" applyFont="1" applyFill="1" applyBorder="1" applyAlignment="1">
      <alignment horizontal="center" wrapText="1"/>
    </xf>
    <xf numFmtId="0" fontId="60" fillId="8" borderId="16" xfId="0" applyFont="1" applyFill="1" applyBorder="1" applyAlignment="1">
      <alignment horizontal="center"/>
    </xf>
    <xf numFmtId="0" fontId="60" fillId="8" borderId="6" xfId="0" applyFont="1" applyFill="1" applyBorder="1" applyAlignment="1">
      <alignment horizontal="center"/>
    </xf>
    <xf numFmtId="0" fontId="60" fillId="21" borderId="6" xfId="0" applyFont="1" applyFill="1" applyBorder="1" applyAlignment="1">
      <alignment horizontal="left" vertical="center"/>
    </xf>
    <xf numFmtId="0" fontId="60" fillId="21" borderId="9" xfId="0" applyFont="1" applyFill="1" applyBorder="1" applyAlignment="1">
      <alignment horizontal="left" vertical="center" wrapText="1"/>
    </xf>
    <xf numFmtId="0" fontId="60" fillId="21" borderId="12" xfId="0" applyFont="1" applyFill="1" applyBorder="1" applyAlignment="1">
      <alignment horizontal="left" vertical="center" wrapText="1"/>
    </xf>
    <xf numFmtId="0" fontId="60" fillId="21" borderId="13" xfId="0" applyFont="1" applyFill="1" applyBorder="1" applyAlignment="1">
      <alignment horizontal="left" vertical="center" wrapText="1"/>
    </xf>
    <xf numFmtId="0" fontId="60" fillId="21" borderId="19" xfId="0" applyFont="1" applyFill="1" applyBorder="1" applyAlignment="1">
      <alignment horizontal="left" vertical="center"/>
    </xf>
    <xf numFmtId="0" fontId="60" fillId="21" borderId="26" xfId="0" applyFont="1" applyFill="1" applyBorder="1" applyAlignment="1">
      <alignment horizontal="left" vertical="center" wrapText="1"/>
    </xf>
    <xf numFmtId="0" fontId="61" fillId="8" borderId="6" xfId="0" applyFont="1" applyFill="1" applyBorder="1" applyAlignment="1">
      <alignment horizontal="left" vertical="center" wrapText="1"/>
    </xf>
    <xf numFmtId="0" fontId="61" fillId="8" borderId="6" xfId="0" applyFont="1" applyFill="1" applyBorder="1" applyAlignment="1">
      <alignment horizontal="left" vertical="center"/>
    </xf>
    <xf numFmtId="0" fontId="60" fillId="21" borderId="9" xfId="0" applyFont="1" applyFill="1" applyBorder="1" applyAlignment="1">
      <alignment horizontal="left" vertical="center"/>
    </xf>
    <xf numFmtId="0" fontId="60" fillId="21" borderId="12" xfId="0" applyFont="1" applyFill="1" applyBorder="1" applyAlignment="1">
      <alignment horizontal="left" vertical="center"/>
    </xf>
    <xf numFmtId="0" fontId="60" fillId="21" borderId="13" xfId="0" applyFont="1" applyFill="1" applyBorder="1" applyAlignment="1">
      <alignment horizontal="left" vertical="center"/>
    </xf>
    <xf numFmtId="0" fontId="73" fillId="8" borderId="41" xfId="0" applyFont="1" applyFill="1" applyBorder="1" applyAlignment="1">
      <alignment horizontal="center" vertical="center"/>
    </xf>
    <xf numFmtId="0" fontId="73" fillId="8" borderId="57" xfId="0" applyFont="1" applyFill="1" applyBorder="1" applyAlignment="1">
      <alignment horizontal="center" vertical="center"/>
    </xf>
    <xf numFmtId="0" fontId="73" fillId="8" borderId="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14" fillId="8" borderId="7" xfId="3" applyFont="1" applyFill="1" applyBorder="1" applyAlignment="1">
      <alignment horizontal="left" vertical="center"/>
    </xf>
    <xf numFmtId="0" fontId="14" fillId="8" borderId="6" xfId="3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7" fillId="0" borderId="6" xfId="0" applyFont="1" applyBorder="1" applyAlignment="1">
      <alignment horizontal="left" vertical="top" wrapText="1"/>
    </xf>
    <xf numFmtId="0" fontId="59" fillId="8" borderId="0" xfId="0" applyFont="1" applyFill="1" applyAlignment="1">
      <alignment horizontal="left" wrapText="1"/>
    </xf>
    <xf numFmtId="169" fontId="65" fillId="8" borderId="0" xfId="5" applyNumberFormat="1" applyFont="1" applyFill="1" applyAlignment="1">
      <alignment horizontal="right"/>
    </xf>
    <xf numFmtId="0" fontId="68" fillId="8" borderId="0" xfId="0" applyFont="1" applyFill="1" applyBorder="1" applyAlignment="1">
      <alignment horizontal="center" vertical="center"/>
    </xf>
    <xf numFmtId="169" fontId="65" fillId="8" borderId="14" xfId="5" applyNumberFormat="1" applyFont="1" applyFill="1" applyBorder="1" applyAlignment="1">
      <alignment horizontal="right"/>
    </xf>
    <xf numFmtId="0" fontId="69" fillId="22" borderId="6" xfId="0" applyFont="1" applyFill="1" applyBorder="1" applyAlignment="1">
      <alignment horizontal="center" vertical="center"/>
    </xf>
    <xf numFmtId="0" fontId="69" fillId="22" borderId="6" xfId="0" applyFont="1" applyFill="1" applyBorder="1" applyAlignment="1">
      <alignment horizontal="center" vertical="center" wrapText="1"/>
    </xf>
    <xf numFmtId="0" fontId="69" fillId="22" borderId="6" xfId="0" applyFont="1" applyFill="1" applyBorder="1" applyAlignment="1">
      <alignment horizontal="center" vertical="center" textRotation="90" wrapText="1"/>
    </xf>
    <xf numFmtId="169" fontId="60" fillId="22" borderId="9" xfId="5" applyNumberFormat="1" applyFont="1" applyFill="1" applyBorder="1" applyAlignment="1">
      <alignment horizontal="center" vertical="center"/>
    </xf>
    <xf numFmtId="169" fontId="60" fillId="22" borderId="12" xfId="5" applyNumberFormat="1" applyFont="1" applyFill="1" applyBorder="1" applyAlignment="1">
      <alignment horizontal="center" vertical="center"/>
    </xf>
    <xf numFmtId="169" fontId="60" fillId="22" borderId="13" xfId="5" applyNumberFormat="1" applyFont="1" applyFill="1" applyBorder="1" applyAlignment="1">
      <alignment horizontal="center" vertical="center"/>
    </xf>
    <xf numFmtId="169" fontId="60" fillId="22" borderId="6" xfId="5" applyNumberFormat="1" applyFont="1" applyFill="1" applyBorder="1" applyAlignment="1">
      <alignment horizontal="right" vertical="center"/>
    </xf>
    <xf numFmtId="169" fontId="60" fillId="22" borderId="6" xfId="5" applyNumberFormat="1" applyFont="1" applyFill="1" applyBorder="1" applyAlignment="1">
      <alignment horizontal="center" vertical="center"/>
    </xf>
    <xf numFmtId="169" fontId="60" fillId="22" borderId="10" xfId="5" applyNumberFormat="1" applyFont="1" applyFill="1" applyBorder="1" applyAlignment="1">
      <alignment horizontal="center" vertical="center" wrapText="1"/>
    </xf>
    <xf numFmtId="169" fontId="60" fillId="22" borderId="34" xfId="5" applyNumberFormat="1" applyFont="1" applyFill="1" applyBorder="1" applyAlignment="1">
      <alignment horizontal="center" vertical="center" wrapText="1"/>
    </xf>
    <xf numFmtId="169" fontId="60" fillId="22" borderId="34" xfId="5" applyNumberFormat="1" applyFont="1" applyFill="1" applyBorder="1" applyAlignment="1">
      <alignment horizontal="center" vertical="center"/>
    </xf>
    <xf numFmtId="169" fontId="60" fillId="22" borderId="7" xfId="5" applyNumberFormat="1" applyFont="1" applyFill="1" applyBorder="1" applyAlignment="1">
      <alignment horizontal="center" vertical="center"/>
    </xf>
    <xf numFmtId="169" fontId="66" fillId="22" borderId="6" xfId="5" applyNumberFormat="1" applyFont="1" applyFill="1" applyBorder="1" applyAlignment="1">
      <alignment horizontal="right" vertical="center" wrapText="1"/>
    </xf>
    <xf numFmtId="169" fontId="66" fillId="22" borderId="6" xfId="5" applyNumberFormat="1" applyFont="1" applyFill="1" applyBorder="1" applyAlignment="1">
      <alignment horizontal="center" vertical="center" wrapText="1"/>
    </xf>
    <xf numFmtId="169" fontId="66" fillId="22" borderId="9" xfId="5" applyNumberFormat="1" applyFont="1" applyFill="1" applyBorder="1" applyAlignment="1">
      <alignment horizontal="center" vertical="center" wrapText="1"/>
    </xf>
    <xf numFmtId="169" fontId="66" fillId="22" borderId="12" xfId="5" applyNumberFormat="1" applyFont="1" applyFill="1" applyBorder="1" applyAlignment="1">
      <alignment horizontal="center" vertical="center" wrapText="1"/>
    </xf>
    <xf numFmtId="169" fontId="66" fillId="22" borderId="13" xfId="5" applyNumberFormat="1" applyFont="1" applyFill="1" applyBorder="1" applyAlignment="1">
      <alignment horizontal="center" vertical="center" wrapText="1"/>
    </xf>
    <xf numFmtId="169" fontId="60" fillId="22" borderId="9" xfId="5" applyNumberFormat="1" applyFont="1" applyFill="1" applyBorder="1" applyAlignment="1">
      <alignment horizontal="center" vertical="center" wrapText="1"/>
    </xf>
    <xf numFmtId="169" fontId="60" fillId="22" borderId="13" xfId="5" applyNumberFormat="1" applyFont="1" applyFill="1" applyBorder="1" applyAlignment="1">
      <alignment horizontal="center" vertical="center" wrapText="1"/>
    </xf>
    <xf numFmtId="169" fontId="60" fillId="22" borderId="7" xfId="5" applyNumberFormat="1" applyFont="1" applyFill="1" applyBorder="1" applyAlignment="1">
      <alignment horizontal="center" vertical="center" wrapText="1"/>
    </xf>
    <xf numFmtId="0" fontId="60" fillId="8" borderId="6" xfId="0" applyFont="1" applyFill="1" applyBorder="1" applyAlignment="1">
      <alignment horizontal="left" vertical="center" wrapText="1"/>
    </xf>
    <xf numFmtId="0" fontId="60" fillId="22" borderId="6" xfId="0" applyFont="1" applyFill="1" applyBorder="1" applyAlignment="1">
      <alignment horizontal="left" vertical="center" wrapText="1"/>
    </xf>
    <xf numFmtId="3" fontId="71" fillId="22" borderId="6" xfId="0" applyNumberFormat="1" applyFont="1" applyFill="1" applyBorder="1" applyAlignment="1">
      <alignment horizontal="center" vertical="center"/>
    </xf>
    <xf numFmtId="169" fontId="72" fillId="8" borderId="37" xfId="5" applyNumberFormat="1" applyFont="1" applyFill="1" applyBorder="1" applyAlignment="1">
      <alignment horizontal="center"/>
    </xf>
    <xf numFmtId="0" fontId="60" fillId="22" borderId="9" xfId="0" applyFont="1" applyFill="1" applyBorder="1" applyAlignment="1">
      <alignment horizontal="left" vertical="center" wrapText="1"/>
    </xf>
    <xf numFmtId="0" fontId="60" fillId="22" borderId="13" xfId="0" applyFont="1" applyFill="1" applyBorder="1" applyAlignment="1">
      <alignment horizontal="left" vertical="center" wrapText="1"/>
    </xf>
    <xf numFmtId="0" fontId="60" fillId="22" borderId="9" xfId="0" applyFont="1" applyFill="1" applyBorder="1" applyAlignment="1">
      <alignment horizontal="center" vertical="center" wrapText="1"/>
    </xf>
    <xf numFmtId="0" fontId="60" fillId="22" borderId="13" xfId="0" applyFont="1" applyFill="1" applyBorder="1" applyAlignment="1">
      <alignment horizontal="center" vertical="center" wrapText="1"/>
    </xf>
    <xf numFmtId="0" fontId="60" fillId="8" borderId="9" xfId="0" applyFont="1" applyFill="1" applyBorder="1" applyAlignment="1">
      <alignment horizontal="left" vertical="center" wrapText="1"/>
    </xf>
    <xf numFmtId="0" fontId="60" fillId="8" borderId="12" xfId="0" applyFont="1" applyFill="1" applyBorder="1" applyAlignment="1">
      <alignment horizontal="left" vertical="center" wrapText="1"/>
    </xf>
    <xf numFmtId="0" fontId="60" fillId="8" borderId="13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vertical="center" wrapText="1"/>
    </xf>
    <xf numFmtId="166" fontId="2" fillId="0" borderId="0" xfId="5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23" fillId="8" borderId="21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166" fontId="24" fillId="8" borderId="23" xfId="5" applyNumberFormat="1" applyFont="1" applyFill="1" applyBorder="1" applyAlignment="1">
      <alignment horizontal="center" vertical="center" wrapText="1"/>
    </xf>
    <xf numFmtId="166" fontId="24" fillId="8" borderId="17" xfId="5" applyNumberFormat="1" applyFont="1" applyFill="1" applyBorder="1" applyAlignment="1">
      <alignment horizontal="center" vertical="center" wrapText="1"/>
    </xf>
    <xf numFmtId="166" fontId="2" fillId="8" borderId="38" xfId="5" applyNumberFormat="1" applyFont="1" applyFill="1" applyBorder="1" applyAlignment="1">
      <alignment horizontal="center" vertical="center" wrapText="1"/>
    </xf>
    <xf numFmtId="166" fontId="2" fillId="8" borderId="39" xfId="5" applyNumberFormat="1" applyFont="1" applyFill="1" applyBorder="1" applyAlignment="1">
      <alignment horizontal="center" vertical="center" wrapText="1"/>
    </xf>
    <xf numFmtId="167" fontId="2" fillId="8" borderId="21" xfId="0" applyNumberFormat="1" applyFont="1" applyFill="1" applyBorder="1" applyAlignment="1">
      <alignment horizontal="center" vertical="center"/>
    </xf>
    <xf numFmtId="167" fontId="2" fillId="8" borderId="23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167" fontId="2" fillId="8" borderId="48" xfId="0" applyNumberFormat="1" applyFont="1" applyFill="1" applyBorder="1" applyAlignment="1">
      <alignment horizontal="center" vertical="center" wrapText="1"/>
    </xf>
    <xf numFmtId="167" fontId="2" fillId="8" borderId="49" xfId="0" applyNumberFormat="1" applyFont="1" applyFill="1" applyBorder="1" applyAlignment="1">
      <alignment horizontal="center" vertical="center" wrapText="1"/>
    </xf>
    <xf numFmtId="167" fontId="2" fillId="8" borderId="50" xfId="0" applyNumberFormat="1" applyFont="1" applyFill="1" applyBorder="1" applyAlignment="1">
      <alignment horizontal="center" vertical="center" wrapText="1"/>
    </xf>
    <xf numFmtId="166" fontId="2" fillId="8" borderId="21" xfId="5" applyNumberFormat="1" applyFont="1" applyFill="1" applyBorder="1" applyAlignment="1">
      <alignment horizontal="center" vertical="center" wrapText="1"/>
    </xf>
    <xf numFmtId="166" fontId="2" fillId="8" borderId="22" xfId="5" applyNumberFormat="1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/>
    </xf>
    <xf numFmtId="0" fontId="2" fillId="8" borderId="45" xfId="0" applyFont="1" applyFill="1" applyBorder="1" applyAlignment="1">
      <alignment horizontal="center"/>
    </xf>
    <xf numFmtId="0" fontId="2" fillId="8" borderId="92" xfId="0" applyFont="1" applyFill="1" applyBorder="1" applyAlignment="1">
      <alignment horizontal="center"/>
    </xf>
    <xf numFmtId="167" fontId="2" fillId="8" borderId="53" xfId="0" applyNumberFormat="1" applyFont="1" applyFill="1" applyBorder="1" applyAlignment="1">
      <alignment horizontal="center" vertical="center" wrapText="1"/>
    </xf>
    <xf numFmtId="167" fontId="2" fillId="8" borderId="51" xfId="0" applyNumberFormat="1" applyFont="1" applyFill="1" applyBorder="1" applyAlignment="1">
      <alignment horizontal="center" vertical="center" wrapText="1"/>
    </xf>
    <xf numFmtId="167" fontId="2" fillId="8" borderId="52" xfId="0" applyNumberFormat="1" applyFont="1" applyFill="1" applyBorder="1" applyAlignment="1">
      <alignment horizontal="center" vertical="center" wrapText="1"/>
    </xf>
    <xf numFmtId="166" fontId="2" fillId="8" borderId="23" xfId="5" applyNumberFormat="1" applyFont="1" applyFill="1" applyBorder="1" applyAlignment="1">
      <alignment horizontal="center" vertical="center" wrapText="1"/>
    </xf>
    <xf numFmtId="166" fontId="2" fillId="8" borderId="17" xfId="5" applyNumberFormat="1" applyFont="1" applyFill="1" applyBorder="1" applyAlignment="1">
      <alignment horizontal="center" vertical="center" wrapText="1"/>
    </xf>
    <xf numFmtId="167" fontId="2" fillId="8" borderId="21" xfId="0" applyNumberFormat="1" applyFont="1" applyFill="1" applyBorder="1" applyAlignment="1">
      <alignment horizontal="center" wrapText="1"/>
    </xf>
    <xf numFmtId="167" fontId="2" fillId="8" borderId="23" xfId="0" applyNumberFormat="1" applyFont="1" applyFill="1" applyBorder="1" applyAlignment="1">
      <alignment horizontal="center" wrapText="1"/>
    </xf>
    <xf numFmtId="0" fontId="2" fillId="8" borderId="44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166" fontId="24" fillId="8" borderId="26" xfId="5" applyNumberFormat="1" applyFont="1" applyFill="1" applyBorder="1" applyAlignment="1">
      <alignment horizontal="center" vertical="center" wrapText="1"/>
    </xf>
    <xf numFmtId="166" fontId="24" fillId="8" borderId="36" xfId="5" applyNumberFormat="1" applyFont="1" applyFill="1" applyBorder="1" applyAlignment="1">
      <alignment horizontal="center" vertical="center" wrapText="1"/>
    </xf>
    <xf numFmtId="166" fontId="2" fillId="8" borderId="89" xfId="5" applyNumberFormat="1" applyFont="1" applyFill="1" applyBorder="1" applyAlignment="1">
      <alignment horizontal="center" vertical="center" wrapText="1"/>
    </xf>
    <xf numFmtId="166" fontId="2" fillId="8" borderId="50" xfId="5" applyNumberFormat="1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/>
    </xf>
    <xf numFmtId="0" fontId="64" fillId="0" borderId="29" xfId="0" applyFont="1" applyBorder="1" applyAlignment="1">
      <alignment horizontal="center"/>
    </xf>
    <xf numFmtId="49" fontId="74" fillId="0" borderId="0" xfId="0" applyNumberFormat="1" applyFont="1" applyAlignment="1">
      <alignment horizontal="center" vertical="center" wrapText="1"/>
    </xf>
    <xf numFmtId="49" fontId="74" fillId="0" borderId="0" xfId="0" applyNumberFormat="1" applyFont="1" applyAlignment="1">
      <alignment horizontal="center" wrapText="1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9" fillId="6" borderId="10" xfId="0" applyFont="1" applyFill="1" applyBorder="1" applyAlignment="1">
      <alignment horizontal="center" vertical="center" wrapText="1"/>
    </xf>
    <xf numFmtId="0" fontId="29" fillId="6" borderId="34" xfId="0" applyFont="1" applyFill="1" applyBorder="1" applyAlignment="1">
      <alignment horizontal="center" vertical="center" wrapText="1"/>
    </xf>
    <xf numFmtId="0" fontId="29" fillId="6" borderId="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169" fontId="1" fillId="0" borderId="27" xfId="2" applyNumberFormat="1" applyFont="1" applyBorder="1" applyAlignment="1">
      <alignment horizontal="center"/>
    </xf>
    <xf numFmtId="169" fontId="40" fillId="11" borderId="17" xfId="2" applyNumberFormat="1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169" fontId="40" fillId="16" borderId="17" xfId="2" applyNumberFormat="1" applyFont="1" applyFill="1" applyBorder="1" applyAlignment="1">
      <alignment horizontal="center" vertical="center"/>
    </xf>
    <xf numFmtId="169" fontId="40" fillId="16" borderId="16" xfId="2" applyNumberFormat="1" applyFont="1" applyFill="1" applyBorder="1" applyAlignment="1">
      <alignment horizontal="center" vertical="center"/>
    </xf>
    <xf numFmtId="169" fontId="40" fillId="15" borderId="6" xfId="2" applyNumberFormat="1" applyFont="1" applyFill="1" applyBorder="1" applyAlignment="1">
      <alignment horizontal="center" vertical="center"/>
    </xf>
    <xf numFmtId="0" fontId="48" fillId="17" borderId="16" xfId="0" applyFont="1" applyFill="1" applyBorder="1" applyAlignment="1">
      <alignment horizontal="center"/>
    </xf>
    <xf numFmtId="0" fontId="48" fillId="17" borderId="6" xfId="0" applyFont="1" applyFill="1" applyBorder="1" applyAlignment="1">
      <alignment horizontal="center"/>
    </xf>
    <xf numFmtId="0" fontId="49" fillId="16" borderId="18" xfId="0" applyFont="1" applyFill="1" applyBorder="1" applyAlignment="1">
      <alignment horizontal="center"/>
    </xf>
    <xf numFmtId="0" fontId="49" fillId="16" borderId="19" xfId="0" applyFont="1" applyFill="1" applyBorder="1" applyAlignment="1">
      <alignment horizontal="center"/>
    </xf>
    <xf numFmtId="0" fontId="40" fillId="0" borderId="21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8" fillId="16" borderId="7" xfId="0" applyFont="1" applyFill="1" applyBorder="1" applyAlignment="1">
      <alignment horizontal="left"/>
    </xf>
    <xf numFmtId="0" fontId="37" fillId="16" borderId="6" xfId="0" applyFont="1" applyFill="1" applyBorder="1" applyAlignment="1">
      <alignment horizontal="center"/>
    </xf>
    <xf numFmtId="0" fontId="44" fillId="12" borderId="16" xfId="0" applyFont="1" applyFill="1" applyBorder="1" applyAlignment="1">
      <alignment horizontal="center" wrapText="1"/>
    </xf>
    <xf numFmtId="0" fontId="44" fillId="12" borderId="6" xfId="0" applyFont="1" applyFill="1" applyBorder="1" applyAlignment="1">
      <alignment horizontal="center" wrapText="1"/>
    </xf>
    <xf numFmtId="0" fontId="44" fillId="7" borderId="16" xfId="0" applyFont="1" applyFill="1" applyBorder="1" applyAlignment="1">
      <alignment horizontal="center" wrapText="1"/>
    </xf>
    <xf numFmtId="0" fontId="44" fillId="7" borderId="6" xfId="0" applyFont="1" applyFill="1" applyBorder="1" applyAlignment="1">
      <alignment horizontal="center" wrapText="1"/>
    </xf>
    <xf numFmtId="0" fontId="48" fillId="17" borderId="16" xfId="0" applyFont="1" applyFill="1" applyBorder="1" applyAlignment="1">
      <alignment horizontal="center" wrapText="1"/>
    </xf>
    <xf numFmtId="0" fontId="48" fillId="17" borderId="6" xfId="0" applyFont="1" applyFill="1" applyBorder="1" applyAlignment="1">
      <alignment horizontal="center" wrapText="1"/>
    </xf>
    <xf numFmtId="169" fontId="46" fillId="15" borderId="17" xfId="2" applyNumberFormat="1" applyFont="1" applyFill="1" applyBorder="1" applyAlignment="1">
      <alignment horizontal="center" vertical="center"/>
    </xf>
    <xf numFmtId="0" fontId="82" fillId="5" borderId="26" xfId="0" applyFont="1" applyFill="1" applyBorder="1" applyAlignment="1">
      <alignment horizontal="center" vertical="center"/>
    </xf>
    <xf numFmtId="0" fontId="82" fillId="5" borderId="12" xfId="0" applyFont="1" applyFill="1" applyBorder="1" applyAlignment="1">
      <alignment horizontal="center" vertical="center"/>
    </xf>
    <xf numFmtId="0" fontId="82" fillId="5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2" fillId="0" borderId="26" xfId="0" applyFont="1" applyBorder="1" applyAlignment="1">
      <alignment horizontal="center" vertical="center"/>
    </xf>
    <xf numFmtId="0" fontId="82" fillId="0" borderId="12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 vertical="center"/>
    </xf>
    <xf numFmtId="0" fontId="0" fillId="0" borderId="73" xfId="0" applyBorder="1" applyAlignment="1">
      <alignment vertical="center" wrapText="1"/>
    </xf>
    <xf numFmtId="0" fontId="58" fillId="0" borderId="83" xfId="0" applyFont="1" applyBorder="1" applyAlignment="1">
      <alignment vertical="center" wrapText="1"/>
    </xf>
    <xf numFmtId="0" fontId="58" fillId="0" borderId="73" xfId="0" applyFont="1" applyBorder="1" applyAlignment="1">
      <alignment vertical="center" wrapText="1"/>
    </xf>
    <xf numFmtId="0" fontId="58" fillId="0" borderId="74" xfId="0" applyFont="1" applyBorder="1" applyAlignment="1">
      <alignment vertical="center" wrapText="1"/>
    </xf>
    <xf numFmtId="0" fontId="58" fillId="0" borderId="83" xfId="0" applyFont="1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0" fontId="58" fillId="0" borderId="80" xfId="0" applyFont="1" applyBorder="1" applyAlignment="1">
      <alignment vertical="center" wrapText="1"/>
    </xf>
    <xf numFmtId="0" fontId="58" fillId="0" borderId="81" xfId="0" applyFont="1" applyBorder="1" applyAlignment="1">
      <alignment vertical="center" wrapText="1"/>
    </xf>
    <xf numFmtId="171" fontId="75" fillId="0" borderId="61" xfId="15" applyNumberFormat="1" applyFont="1" applyBorder="1" applyAlignment="1">
      <alignment horizontal="center" vertical="center" wrapText="1"/>
    </xf>
    <xf numFmtId="171" fontId="75" fillId="0" borderId="63" xfId="15" applyNumberFormat="1" applyFont="1" applyBorder="1" applyAlignment="1">
      <alignment horizontal="center" vertical="center" wrapText="1"/>
    </xf>
    <xf numFmtId="43" fontId="75" fillId="0" borderId="6" xfId="15" applyFont="1" applyBorder="1" applyAlignment="1">
      <alignment vertical="center" wrapText="1"/>
    </xf>
    <xf numFmtId="43" fontId="75" fillId="0" borderId="10" xfId="15" applyFont="1" applyBorder="1" applyAlignment="1">
      <alignment vertical="center" wrapText="1"/>
    </xf>
    <xf numFmtId="43" fontId="75" fillId="0" borderId="6" xfId="15" applyNumberFormat="1" applyFont="1" applyBorder="1" applyAlignment="1">
      <alignment vertical="center" wrapText="1"/>
    </xf>
    <xf numFmtId="43" fontId="75" fillId="0" borderId="10" xfId="15" applyNumberFormat="1" applyFont="1" applyBorder="1" applyAlignment="1">
      <alignment vertical="center" wrapText="1"/>
    </xf>
    <xf numFmtId="0" fontId="75" fillId="0" borderId="6" xfId="9" applyFont="1" applyBorder="1" applyAlignment="1">
      <alignment vertical="center" wrapText="1"/>
    </xf>
    <xf numFmtId="0" fontId="75" fillId="0" borderId="10" xfId="9" applyFont="1" applyBorder="1" applyAlignment="1">
      <alignment vertical="center" wrapText="1"/>
    </xf>
    <xf numFmtId="0" fontId="75" fillId="0" borderId="10" xfId="9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8" fillId="0" borderId="84" xfId="0" applyFont="1" applyBorder="1" applyAlignment="1">
      <alignment vertical="center" wrapText="1"/>
    </xf>
    <xf numFmtId="0" fontId="78" fillId="0" borderId="73" xfId="0" applyFont="1" applyBorder="1" applyAlignment="1">
      <alignment vertical="center" wrapText="1"/>
    </xf>
    <xf numFmtId="0" fontId="24" fillId="0" borderId="65" xfId="9" applyFont="1" applyBorder="1" applyAlignment="1">
      <alignment vertical="center" wrapText="1"/>
    </xf>
    <xf numFmtId="0" fontId="24" fillId="0" borderId="6" xfId="9" applyFont="1" applyBorder="1" applyAlignment="1">
      <alignment vertical="center" wrapText="1"/>
    </xf>
    <xf numFmtId="0" fontId="24" fillId="0" borderId="10" xfId="9" applyFont="1" applyBorder="1" applyAlignment="1">
      <alignment vertical="center" wrapText="1"/>
    </xf>
    <xf numFmtId="0" fontId="24" fillId="0" borderId="65" xfId="9" applyFont="1" applyBorder="1" applyAlignment="1">
      <alignment horizontal="center"/>
    </xf>
    <xf numFmtId="171" fontId="24" fillId="0" borderId="6" xfId="15" applyNumberFormat="1" applyFont="1" applyBorder="1" applyAlignment="1">
      <alignment horizontal="center"/>
    </xf>
    <xf numFmtId="0" fontId="24" fillId="0" borderId="9" xfId="9" applyFont="1" applyBorder="1" applyAlignment="1">
      <alignment horizontal="center"/>
    </xf>
    <xf numFmtId="0" fontId="24" fillId="0" borderId="12" xfId="9" applyFont="1" applyBorder="1" applyAlignment="1">
      <alignment horizontal="center"/>
    </xf>
    <xf numFmtId="0" fontId="24" fillId="0" borderId="13" xfId="9" applyFont="1" applyBorder="1" applyAlignment="1">
      <alignment horizontal="center"/>
    </xf>
    <xf numFmtId="43" fontId="75" fillId="0" borderId="10" xfId="15" applyFont="1" applyBorder="1" applyAlignment="1">
      <alignment horizontal="center" vertical="center" wrapText="1"/>
    </xf>
    <xf numFmtId="43" fontId="75" fillId="0" borderId="7" xfId="15" applyFont="1" applyBorder="1" applyAlignment="1">
      <alignment horizontal="center" vertical="center" wrapText="1"/>
    </xf>
    <xf numFmtId="0" fontId="81" fillId="0" borderId="84" xfId="0" applyFont="1" applyBorder="1" applyAlignment="1">
      <alignment horizontal="center"/>
    </xf>
    <xf numFmtId="0" fontId="78" fillId="0" borderId="85" xfId="0" applyFont="1" applyBorder="1" applyAlignment="1">
      <alignment horizontal="center"/>
    </xf>
    <xf numFmtId="0" fontId="78" fillId="0" borderId="86" xfId="0" applyFont="1" applyBorder="1" applyAlignment="1">
      <alignment horizontal="center"/>
    </xf>
    <xf numFmtId="0" fontId="81" fillId="0" borderId="73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78" fillId="0" borderId="6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6" fillId="0" borderId="0" xfId="0" applyFont="1" applyAlignment="1" applyProtection="1">
      <alignment horizontal="center" vertical="center" wrapText="1"/>
      <protection locked="0"/>
    </xf>
    <xf numFmtId="0" fontId="88" fillId="0" borderId="79" xfId="0" applyFont="1" applyBorder="1" applyAlignment="1">
      <alignment horizontal="center" vertical="center" wrapText="1"/>
    </xf>
    <xf numFmtId="0" fontId="88" fillId="0" borderId="78" xfId="0" applyFont="1" applyBorder="1" applyAlignment="1">
      <alignment horizontal="center" vertical="center" wrapText="1"/>
    </xf>
    <xf numFmtId="0" fontId="88" fillId="0" borderId="70" xfId="0" applyFont="1" applyBorder="1" applyAlignment="1">
      <alignment horizontal="center" vertical="center" wrapText="1"/>
    </xf>
    <xf numFmtId="0" fontId="88" fillId="0" borderId="35" xfId="0" applyFont="1" applyBorder="1" applyAlignment="1">
      <alignment horizontal="center" vertical="center" wrapText="1"/>
    </xf>
    <xf numFmtId="0" fontId="88" fillId="0" borderId="34" xfId="0" applyFont="1" applyBorder="1" applyAlignment="1">
      <alignment horizontal="center" vertical="center" wrapText="1"/>
    </xf>
    <xf numFmtId="0" fontId="88" fillId="0" borderId="68" xfId="0" applyFont="1" applyBorder="1" applyAlignment="1">
      <alignment horizontal="center" vertical="center" wrapText="1"/>
    </xf>
    <xf numFmtId="0" fontId="88" fillId="0" borderId="87" xfId="0" applyFont="1" applyBorder="1" applyAlignment="1">
      <alignment horizontal="center" vertical="center" wrapText="1"/>
    </xf>
    <xf numFmtId="0" fontId="88" fillId="0" borderId="15" xfId="0" applyFont="1" applyBorder="1" applyAlignment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88" fillId="0" borderId="14" xfId="0" applyFont="1" applyBorder="1" applyAlignment="1">
      <alignment horizontal="center" vertical="center" wrapText="1"/>
    </xf>
    <xf numFmtId="0" fontId="88" fillId="0" borderId="48" xfId="0" applyFont="1" applyBorder="1" applyAlignment="1">
      <alignment horizontal="center" vertical="center" wrapText="1"/>
    </xf>
    <xf numFmtId="0" fontId="88" fillId="0" borderId="49" xfId="0" applyFont="1" applyBorder="1" applyAlignment="1">
      <alignment horizontal="center" vertical="center" wrapText="1"/>
    </xf>
    <xf numFmtId="0" fontId="88" fillId="0" borderId="88" xfId="0" applyFont="1" applyBorder="1" applyAlignment="1">
      <alignment horizontal="center" vertical="center" wrapText="1"/>
    </xf>
    <xf numFmtId="0" fontId="92" fillId="0" borderId="6" xfId="10" applyFont="1" applyBorder="1" applyAlignment="1">
      <alignment horizontal="center" textRotation="90"/>
    </xf>
    <xf numFmtId="0" fontId="92" fillId="0" borderId="10" xfId="10" applyFont="1" applyBorder="1" applyAlignment="1">
      <alignment horizontal="center"/>
    </xf>
    <xf numFmtId="0" fontId="92" fillId="0" borderId="7" xfId="10" applyFont="1" applyBorder="1" applyAlignment="1">
      <alignment horizontal="center"/>
    </xf>
    <xf numFmtId="0" fontId="92" fillId="0" borderId="10" xfId="10" applyFont="1" applyBorder="1" applyAlignment="1">
      <alignment horizontal="center" wrapText="1"/>
    </xf>
    <xf numFmtId="0" fontId="92" fillId="0" borderId="7" xfId="1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92" fillId="0" borderId="6" xfId="10" applyFont="1" applyBorder="1" applyAlignment="1">
      <alignment horizontal="center"/>
    </xf>
  </cellXfs>
  <cellStyles count="16">
    <cellStyle name="Ezres" xfId="1" builtinId="3"/>
    <cellStyle name="Ezres 2" xfId="4"/>
    <cellStyle name="Ezres 2 2" xfId="11"/>
    <cellStyle name="Ezres 3" xfId="6"/>
    <cellStyle name="Ezres 3 2" xfId="13"/>
    <cellStyle name="Ezres 4" xfId="8"/>
    <cellStyle name="Ezres 4 2" xfId="15"/>
    <cellStyle name="Normál" xfId="0" builtinId="0"/>
    <cellStyle name="Normál_2012létszám tábla" xfId="9"/>
    <cellStyle name="Normál_3.eredeti  2009. évi költségvetés 2-13 mell." xfId="10"/>
    <cellStyle name="Pénznem" xfId="2" builtinId="4"/>
    <cellStyle name="Pénznem 2" xfId="5"/>
    <cellStyle name="Pénznem 2 2" xfId="12"/>
    <cellStyle name="Pénznem 3" xfId="7"/>
    <cellStyle name="Pénznem 3 2" xfId="14"/>
    <cellStyle name="TableStyleLight1" xfId="3"/>
  </cellStyles>
  <dxfs count="0"/>
  <tableStyles count="0" defaultTableStyle="TableStyleMedium2" defaultPivotStyle="PivotStyleLight16"/>
  <colors>
    <mruColors>
      <color rgb="FFECB2D9"/>
      <color rgb="FFFFCCFF"/>
      <color rgb="FFFFCCCC"/>
      <color rgb="FFCCCCFF"/>
      <color rgb="FFBED195"/>
      <color rgb="FFF58D71"/>
      <color rgb="FF8BDBC0"/>
      <color rgb="FF827AEC"/>
      <color rgb="FF76E1F0"/>
      <color rgb="FFE8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z\Desktop\Tiszav&#225;rkony\Tiszav&#225;rkony%20K&#246;zs&#233;g%202017%20&#233;vi%20k&#246;lts&#233;gvet&#233;si%20rendelet&#233;nek%20mell&#233;klet%20t&#225;bl&#225;zat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mellékler"/>
      <sheetName val="2 melléklet összesítő"/>
      <sheetName val="3 melléklet-Önk-Bevétel és Kiad"/>
      <sheetName val="4.mell-ÖNK_Bevétel"/>
      <sheetName val="5.mell-Normatíva"/>
      <sheetName val="6.mell.-Közhatalmi bevételek"/>
      <sheetName val="7 mell.-Önk.kiadások"/>
      <sheetName val="8. mell-Személyi jell.ráf."/>
      <sheetName val="9.mell-Dologi kiadások"/>
      <sheetName val="10 melléklet-települési támogat"/>
      <sheetName val="11.melléklet-átadott pénzeszköz"/>
      <sheetName val="12.mell-Beruházás,felújítás"/>
      <sheetName val="13.melléklet-Óvoda összesített"/>
      <sheetName val="14. melléklet-Előirányzat felha"/>
      <sheetName val="15.mell-Engedélyezett létszámke"/>
      <sheetName val="16.mell-Közvetett támogatások"/>
      <sheetName val="17.mell-adósságot keletkeztető"/>
      <sheetName val="18.mell-Kötelezettségek"/>
    </sheetNames>
    <sheetDataSet>
      <sheetData sheetId="0"/>
      <sheetData sheetId="1">
        <row r="18">
          <cell r="D18"/>
        </row>
      </sheetData>
      <sheetData sheetId="2"/>
      <sheetData sheetId="3">
        <row r="45">
          <cell r="J45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9" workbookViewId="0">
      <selection activeCell="L35" sqref="L35"/>
    </sheetView>
  </sheetViews>
  <sheetFormatPr defaultRowHeight="15" x14ac:dyDescent="0.25"/>
  <cols>
    <col min="1" max="1" width="32.85546875" style="135" customWidth="1"/>
    <col min="2" max="4" width="22.42578125" style="160" customWidth="1"/>
    <col min="5" max="5" width="28.140625" style="135" customWidth="1"/>
    <col min="6" max="8" width="25.42578125" style="160" customWidth="1"/>
    <col min="9" max="9" width="13.5703125" style="135" bestFit="1" customWidth="1"/>
    <col min="10" max="16384" width="9.140625" style="135"/>
  </cols>
  <sheetData>
    <row r="1" spans="1:8" ht="15.75" x14ac:dyDescent="0.25">
      <c r="A1" s="716" t="s">
        <v>728</v>
      </c>
      <c r="B1" s="716"/>
      <c r="C1" s="716"/>
      <c r="D1" s="716"/>
      <c r="E1" s="716"/>
      <c r="F1" s="142"/>
      <c r="G1" s="717"/>
      <c r="H1" s="717"/>
    </row>
    <row r="2" spans="1:8" ht="15.75" x14ac:dyDescent="0.25">
      <c r="A2" s="143"/>
      <c r="B2" s="142"/>
      <c r="C2" s="142"/>
      <c r="D2" s="142"/>
      <c r="E2" s="144"/>
      <c r="F2" s="142"/>
      <c r="G2" s="142"/>
      <c r="H2" s="142"/>
    </row>
    <row r="3" spans="1:8" ht="15.75" x14ac:dyDescent="0.25">
      <c r="A3" s="143"/>
      <c r="B3" s="142"/>
      <c r="C3" s="142"/>
      <c r="D3" s="142"/>
      <c r="E3" s="144"/>
      <c r="F3" s="142"/>
      <c r="G3" s="142"/>
      <c r="H3" s="142"/>
    </row>
    <row r="4" spans="1:8" ht="15.75" x14ac:dyDescent="0.25">
      <c r="A4" s="718" t="s">
        <v>776</v>
      </c>
      <c r="B4" s="718"/>
      <c r="C4" s="718"/>
      <c r="D4" s="718"/>
      <c r="E4" s="718"/>
      <c r="F4" s="718"/>
      <c r="G4" s="718"/>
      <c r="H4" s="718"/>
    </row>
    <row r="5" spans="1:8" ht="15.75" x14ac:dyDescent="0.25">
      <c r="A5" s="143"/>
      <c r="B5" s="142"/>
      <c r="C5" s="142"/>
      <c r="D5" s="142"/>
      <c r="E5" s="144"/>
      <c r="F5" s="142"/>
      <c r="G5" s="719" t="s">
        <v>375</v>
      </c>
      <c r="H5" s="719"/>
    </row>
    <row r="6" spans="1:8" ht="15.75" x14ac:dyDescent="0.25">
      <c r="A6" s="715" t="s">
        <v>376</v>
      </c>
      <c r="B6" s="715"/>
      <c r="C6" s="715"/>
      <c r="D6" s="715"/>
      <c r="E6" s="715"/>
      <c r="F6" s="715"/>
      <c r="G6" s="715"/>
      <c r="H6" s="715"/>
    </row>
    <row r="7" spans="1:8" ht="15.75" x14ac:dyDescent="0.25">
      <c r="A7" s="715" t="s">
        <v>342</v>
      </c>
      <c r="B7" s="715"/>
      <c r="C7" s="715"/>
      <c r="D7" s="715"/>
      <c r="E7" s="715" t="s">
        <v>377</v>
      </c>
      <c r="F7" s="715"/>
      <c r="G7" s="715"/>
      <c r="H7" s="715"/>
    </row>
    <row r="8" spans="1:8" ht="31.5" x14ac:dyDescent="0.25">
      <c r="A8" s="145" t="s">
        <v>378</v>
      </c>
      <c r="B8" s="146" t="s">
        <v>379</v>
      </c>
      <c r="C8" s="147" t="s">
        <v>380</v>
      </c>
      <c r="D8" s="146" t="s">
        <v>381</v>
      </c>
      <c r="E8" s="148" t="s">
        <v>378</v>
      </c>
      <c r="F8" s="146" t="s">
        <v>379</v>
      </c>
      <c r="G8" s="147" t="s">
        <v>380</v>
      </c>
      <c r="H8" s="146" t="s">
        <v>381</v>
      </c>
    </row>
    <row r="9" spans="1:8" ht="31.5" x14ac:dyDescent="0.25">
      <c r="A9" s="149" t="s">
        <v>382</v>
      </c>
      <c r="B9" s="150">
        <f>'2.melléklÖnkormányzati összesen'!C16</f>
        <v>116620473</v>
      </c>
      <c r="C9" s="150">
        <f>'2.melléklÖnkormányzati összesen'!D16</f>
        <v>5270500</v>
      </c>
      <c r="D9" s="150">
        <f>SUM(B9:C9)</f>
        <v>121890973</v>
      </c>
      <c r="E9" s="149" t="s">
        <v>383</v>
      </c>
      <c r="F9" s="150">
        <f>SUM('2.melléklÖnkormányzati összesen'!H8:H12)</f>
        <v>79601364.799999997</v>
      </c>
      <c r="G9" s="150">
        <f>SUM('2.melléklÖnkormányzati összesen'!I8:I10)</f>
        <v>42257488.600000001</v>
      </c>
      <c r="H9" s="150">
        <f>SUM(F9:G9)</f>
        <v>121858853.40000001</v>
      </c>
    </row>
    <row r="10" spans="1:8" ht="31.5" x14ac:dyDescent="0.25">
      <c r="A10" s="149" t="s">
        <v>384</v>
      </c>
      <c r="B10" s="150">
        <f>D9-H9</f>
        <v>32119.59999999404</v>
      </c>
      <c r="C10" s="150"/>
      <c r="D10" s="150"/>
      <c r="E10" s="151"/>
      <c r="F10" s="150"/>
      <c r="G10" s="150"/>
      <c r="H10" s="150"/>
    </row>
    <row r="11" spans="1:8" ht="15.75" x14ac:dyDescent="0.25">
      <c r="A11" s="149"/>
      <c r="B11" s="150"/>
      <c r="C11" s="150"/>
      <c r="D11" s="150"/>
      <c r="E11" s="151"/>
      <c r="F11" s="150"/>
      <c r="G11" s="150"/>
      <c r="H11" s="150"/>
    </row>
    <row r="12" spans="1:8" ht="63" x14ac:dyDescent="0.25">
      <c r="A12" s="149" t="s">
        <v>385</v>
      </c>
      <c r="B12" s="150">
        <f>'2.melléklÖnkormányzati összesen'!C20</f>
        <v>10000000</v>
      </c>
      <c r="C12" s="150"/>
      <c r="D12" s="150">
        <f>SUM(B12:C12)</f>
        <v>10000000</v>
      </c>
      <c r="E12" s="149" t="s">
        <v>386</v>
      </c>
      <c r="F12" s="150">
        <f>'2.melléklÖnkormányzati összesen'!H20</f>
        <v>10000000</v>
      </c>
      <c r="G12" s="150"/>
      <c r="H12" s="150">
        <f>SUM(F12:G12)</f>
        <v>10000000</v>
      </c>
    </row>
    <row r="13" spans="1:8" ht="78.75" x14ac:dyDescent="0.25">
      <c r="A13" s="149" t="s">
        <v>387</v>
      </c>
      <c r="B13" s="150">
        <f>'4mell-Önkormányzat Bevétel'!J54</f>
        <v>2351500</v>
      </c>
      <c r="C13" s="150">
        <f>'[1]2 melléklet összesítő'!D18</f>
        <v>0</v>
      </c>
      <c r="D13" s="150">
        <f>SUM(B13:C13)</f>
        <v>2351500</v>
      </c>
      <c r="E13" s="149" t="s">
        <v>388</v>
      </c>
      <c r="F13" s="150"/>
      <c r="G13" s="150"/>
      <c r="H13" s="150">
        <f>SUM(F13:G13)</f>
        <v>0</v>
      </c>
    </row>
    <row r="14" spans="1:8" ht="47.25" x14ac:dyDescent="0.25">
      <c r="A14" s="149" t="s">
        <v>389</v>
      </c>
      <c r="B14" s="150"/>
      <c r="C14" s="150">
        <f>F14</f>
        <v>36986988.600000001</v>
      </c>
      <c r="D14" s="150">
        <f>SUM(B14:C14)</f>
        <v>36986988.600000001</v>
      </c>
      <c r="E14" s="149" t="s">
        <v>390</v>
      </c>
      <c r="F14" s="150">
        <f>'2.melléklÖnkormányzati összesen'!H19-G21</f>
        <v>36986988.600000001</v>
      </c>
      <c r="G14" s="150"/>
      <c r="H14" s="150">
        <f>SUM(F14:G14)</f>
        <v>36986988.600000001</v>
      </c>
    </row>
    <row r="15" spans="1:8" ht="15.75" x14ac:dyDescent="0.25">
      <c r="A15" s="149" t="s">
        <v>391</v>
      </c>
      <c r="B15" s="150"/>
      <c r="C15" s="150"/>
      <c r="D15" s="150">
        <f>SUM(B15:C15)</f>
        <v>0</v>
      </c>
      <c r="E15" s="151" t="s">
        <v>392</v>
      </c>
      <c r="F15" s="150">
        <f>'2.melléklÖnkormányzati összesen'!H18</f>
        <v>2383620</v>
      </c>
      <c r="G15" s="150"/>
      <c r="H15" s="150">
        <f>SUM(F15:G15)</f>
        <v>2383620</v>
      </c>
    </row>
    <row r="16" spans="1:8" ht="47.25" x14ac:dyDescent="0.25">
      <c r="A16" s="149" t="s">
        <v>827</v>
      </c>
      <c r="B16" s="150">
        <f>D12+D13+D14-H14-H15-H12</f>
        <v>-32120</v>
      </c>
      <c r="C16" s="150"/>
      <c r="D16" s="150"/>
      <c r="E16" s="151"/>
      <c r="F16" s="150"/>
      <c r="G16" s="150"/>
      <c r="H16" s="150"/>
    </row>
    <row r="17" spans="1:8" ht="15.75" x14ac:dyDescent="0.25">
      <c r="A17" s="149"/>
      <c r="B17" s="150"/>
      <c r="C17" s="150"/>
      <c r="D17" s="150"/>
      <c r="E17" s="151"/>
      <c r="F17" s="150"/>
      <c r="G17" s="150"/>
      <c r="H17" s="150"/>
    </row>
    <row r="18" spans="1:8" ht="15.75" x14ac:dyDescent="0.25">
      <c r="A18" s="152" t="s">
        <v>393</v>
      </c>
      <c r="B18" s="153">
        <f>B10+B16</f>
        <v>-0.40000000596046448</v>
      </c>
      <c r="C18" s="150"/>
      <c r="D18" s="150"/>
      <c r="E18" s="151"/>
      <c r="F18" s="150"/>
      <c r="G18" s="150"/>
      <c r="H18" s="150"/>
    </row>
    <row r="19" spans="1:8" ht="15.75" x14ac:dyDescent="0.25">
      <c r="A19" s="149"/>
      <c r="B19" s="150"/>
      <c r="C19" s="150"/>
      <c r="D19" s="150"/>
      <c r="E19" s="151"/>
      <c r="F19" s="150"/>
      <c r="G19" s="150"/>
      <c r="H19" s="150"/>
    </row>
    <row r="20" spans="1:8" ht="15.75" x14ac:dyDescent="0.25">
      <c r="A20" s="715" t="s">
        <v>394</v>
      </c>
      <c r="B20" s="715"/>
      <c r="C20" s="715"/>
      <c r="D20" s="715"/>
      <c r="E20" s="715"/>
      <c r="F20" s="715"/>
      <c r="G20" s="715"/>
      <c r="H20" s="715"/>
    </row>
    <row r="21" spans="1:8" ht="31.5" x14ac:dyDescent="0.25">
      <c r="A21" s="149" t="s">
        <v>395</v>
      </c>
      <c r="B21" s="150">
        <v>0</v>
      </c>
      <c r="C21" s="150">
        <v>0</v>
      </c>
      <c r="D21" s="150">
        <f>SUM(B21:C21)</f>
        <v>0</v>
      </c>
      <c r="E21" s="149" t="s">
        <v>396</v>
      </c>
      <c r="F21" s="150">
        <f>'2.melléklÖnkormányzati összesen'!H13+'2.melléklÖnkormányzati összesen'!H14</f>
        <v>0</v>
      </c>
      <c r="G21" s="150">
        <f>'2.melléklÖnkormányzati összesen'!I13+'2.melléklÖnkormányzati összesen'!I14</f>
        <v>0</v>
      </c>
      <c r="H21" s="150">
        <f>SUM(F21:G21)</f>
        <v>0</v>
      </c>
    </row>
    <row r="22" spans="1:8" ht="78.75" x14ac:dyDescent="0.25">
      <c r="A22" s="149" t="s">
        <v>397</v>
      </c>
      <c r="B22" s="150">
        <f>'4mell-Önkormányzat Bevétel'!I55</f>
        <v>0</v>
      </c>
      <c r="C22" s="150"/>
      <c r="D22" s="150">
        <f>SUM(B22:C22)</f>
        <v>0</v>
      </c>
      <c r="E22" s="154" t="s">
        <v>404</v>
      </c>
      <c r="F22" s="150">
        <f>G21</f>
        <v>0</v>
      </c>
      <c r="G22" s="150"/>
      <c r="H22" s="150">
        <f>SUM(F22:G22)</f>
        <v>0</v>
      </c>
    </row>
    <row r="23" spans="1:8" ht="47.25" x14ac:dyDescent="0.25">
      <c r="A23" s="149" t="s">
        <v>398</v>
      </c>
      <c r="B23" s="150"/>
      <c r="C23" s="150"/>
      <c r="D23" s="150"/>
      <c r="E23" s="154" t="s">
        <v>399</v>
      </c>
      <c r="F23" s="150"/>
      <c r="G23" s="150"/>
      <c r="H23" s="150"/>
    </row>
    <row r="24" spans="1:8" ht="47.25" x14ac:dyDescent="0.25">
      <c r="A24" s="149" t="s">
        <v>400</v>
      </c>
      <c r="B24" s="150"/>
      <c r="C24" s="150"/>
      <c r="D24" s="150"/>
      <c r="E24" s="154" t="s">
        <v>401</v>
      </c>
      <c r="F24" s="150"/>
      <c r="G24" s="150"/>
      <c r="H24" s="150"/>
    </row>
    <row r="25" spans="1:8" ht="31.5" x14ac:dyDescent="0.25">
      <c r="A25" s="149" t="s">
        <v>389</v>
      </c>
      <c r="B25" s="150"/>
      <c r="C25" s="150">
        <f>G21</f>
        <v>0</v>
      </c>
      <c r="D25" s="150">
        <f>SUM(C25)</f>
        <v>0</v>
      </c>
      <c r="E25" s="154" t="s">
        <v>402</v>
      </c>
      <c r="F25" s="150"/>
      <c r="G25" s="150"/>
      <c r="H25" s="150"/>
    </row>
    <row r="26" spans="1:8" ht="63" x14ac:dyDescent="0.25">
      <c r="A26" s="154" t="s">
        <v>403</v>
      </c>
      <c r="B26" s="150"/>
      <c r="C26" s="150"/>
      <c r="D26" s="150"/>
      <c r="E26" s="154" t="s">
        <v>404</v>
      </c>
      <c r="F26" s="150"/>
      <c r="G26" s="150"/>
      <c r="H26" s="150"/>
    </row>
    <row r="27" spans="1:8" ht="15.75" x14ac:dyDescent="0.25">
      <c r="A27" s="149"/>
      <c r="B27" s="150"/>
      <c r="C27" s="150"/>
      <c r="D27" s="150"/>
      <c r="E27" s="151"/>
      <c r="F27" s="150"/>
      <c r="G27" s="150"/>
      <c r="H27" s="150"/>
    </row>
    <row r="28" spans="1:8" ht="31.5" x14ac:dyDescent="0.25">
      <c r="A28" s="154" t="s">
        <v>405</v>
      </c>
      <c r="B28" s="150"/>
      <c r="C28" s="150"/>
      <c r="D28" s="150"/>
      <c r="E28" s="151"/>
      <c r="F28" s="150"/>
      <c r="G28" s="150"/>
      <c r="H28" s="150"/>
    </row>
    <row r="29" spans="1:8" ht="31.5" x14ac:dyDescent="0.25">
      <c r="A29" s="154" t="s">
        <v>406</v>
      </c>
      <c r="B29" s="150"/>
      <c r="C29" s="150"/>
      <c r="D29" s="150"/>
      <c r="E29" s="151"/>
      <c r="F29" s="150"/>
      <c r="G29" s="150"/>
      <c r="H29" s="150"/>
    </row>
    <row r="30" spans="1:8" ht="15.75" x14ac:dyDescent="0.25">
      <c r="A30" s="149"/>
      <c r="B30" s="150"/>
      <c r="C30" s="150"/>
      <c r="D30" s="150"/>
      <c r="E30" s="151"/>
      <c r="F30" s="150"/>
      <c r="G30" s="150"/>
      <c r="H30" s="150"/>
    </row>
    <row r="31" spans="1:8" ht="15.75" x14ac:dyDescent="0.25">
      <c r="A31" s="152" t="s">
        <v>407</v>
      </c>
      <c r="B31" s="153">
        <f>D22-H21-H22+D25</f>
        <v>0</v>
      </c>
      <c r="C31" s="150"/>
      <c r="D31" s="150"/>
      <c r="E31" s="151"/>
      <c r="F31" s="150"/>
      <c r="G31" s="150"/>
      <c r="H31" s="150"/>
    </row>
    <row r="32" spans="1:8" ht="15.75" x14ac:dyDescent="0.25">
      <c r="A32" s="149"/>
      <c r="B32" s="150"/>
      <c r="C32" s="150"/>
      <c r="D32" s="150"/>
      <c r="E32" s="151"/>
      <c r="F32" s="150"/>
      <c r="G32" s="150"/>
      <c r="H32" s="150"/>
    </row>
    <row r="33" spans="1:9" ht="31.5" x14ac:dyDescent="0.25">
      <c r="A33" s="155" t="s">
        <v>408</v>
      </c>
      <c r="B33" s="156">
        <f>B9+B13+B12</f>
        <v>128971973</v>
      </c>
      <c r="C33" s="156">
        <f>C9+C13+C14</f>
        <v>42257488.600000001</v>
      </c>
      <c r="D33" s="156">
        <f>SUM(B33:C33)</f>
        <v>171229461.59999999</v>
      </c>
      <c r="E33" s="155" t="s">
        <v>409</v>
      </c>
      <c r="F33" s="156">
        <f>F9+F14+F15+F12</f>
        <v>128971973.40000001</v>
      </c>
      <c r="G33" s="156">
        <f>G9</f>
        <v>42257488.600000001</v>
      </c>
      <c r="H33" s="156">
        <f>F33+G33</f>
        <v>171229462</v>
      </c>
    </row>
    <row r="34" spans="1:9" ht="31.5" x14ac:dyDescent="0.25">
      <c r="A34" s="155" t="s">
        <v>410</v>
      </c>
      <c r="B34" s="156">
        <f>B33+C33</f>
        <v>171229461.59999999</v>
      </c>
      <c r="C34" s="156"/>
      <c r="D34" s="156"/>
      <c r="E34" s="155" t="s">
        <v>411</v>
      </c>
      <c r="F34" s="156">
        <f>F33+G33</f>
        <v>171229462</v>
      </c>
      <c r="G34" s="156"/>
      <c r="H34" s="156"/>
      <c r="I34" s="285"/>
    </row>
    <row r="35" spans="1:9" s="336" customFormat="1" ht="31.5" x14ac:dyDescent="0.25">
      <c r="A35" s="155" t="s">
        <v>711</v>
      </c>
      <c r="B35" s="156">
        <f>B34-F34</f>
        <v>-0.40000000596046448</v>
      </c>
      <c r="C35" s="156"/>
      <c r="D35" s="156"/>
      <c r="E35" s="155"/>
      <c r="F35" s="156"/>
      <c r="G35" s="156"/>
      <c r="H35" s="156"/>
      <c r="I35" s="285"/>
    </row>
    <row r="36" spans="1:9" ht="31.5" x14ac:dyDescent="0.25">
      <c r="A36" s="155" t="s">
        <v>412</v>
      </c>
      <c r="B36" s="156">
        <f>B22</f>
        <v>0</v>
      </c>
      <c r="C36" s="156">
        <f>C25</f>
        <v>0</v>
      </c>
      <c r="D36" s="156">
        <f>SUM(B36:C36)</f>
        <v>0</v>
      </c>
      <c r="E36" s="155" t="s">
        <v>413</v>
      </c>
      <c r="F36" s="156">
        <f>F22+F21</f>
        <v>0</v>
      </c>
      <c r="G36" s="156">
        <f>G21+G26</f>
        <v>0</v>
      </c>
      <c r="H36" s="156">
        <f>SUM(F36:G36)</f>
        <v>0</v>
      </c>
    </row>
    <row r="37" spans="1:9" ht="31.5" x14ac:dyDescent="0.25">
      <c r="A37" s="155" t="s">
        <v>414</v>
      </c>
      <c r="B37" s="156">
        <f>B36+C36</f>
        <v>0</v>
      </c>
      <c r="C37" s="156"/>
      <c r="D37" s="156"/>
      <c r="E37" s="155" t="s">
        <v>415</v>
      </c>
      <c r="F37" s="156">
        <f>F36+G36</f>
        <v>0</v>
      </c>
      <c r="G37" s="156"/>
      <c r="H37" s="156"/>
      <c r="I37" s="285"/>
    </row>
    <row r="38" spans="1:9" s="336" customFormat="1" ht="15.75" x14ac:dyDescent="0.25">
      <c r="A38" s="155" t="s">
        <v>712</v>
      </c>
      <c r="B38" s="156">
        <f>B37-F37</f>
        <v>0</v>
      </c>
      <c r="C38" s="156"/>
      <c r="D38" s="156"/>
      <c r="E38" s="155"/>
      <c r="F38" s="156"/>
      <c r="G38" s="156"/>
      <c r="H38" s="156"/>
      <c r="I38" s="285"/>
    </row>
    <row r="39" spans="1:9" ht="15.75" x14ac:dyDescent="0.25">
      <c r="A39" s="157" t="s">
        <v>416</v>
      </c>
      <c r="B39" s="158">
        <f>B33+B36</f>
        <v>128971973</v>
      </c>
      <c r="C39" s="158">
        <f>C33+C36</f>
        <v>42257488.600000001</v>
      </c>
      <c r="D39" s="158">
        <f>D33+D36</f>
        <v>171229461.59999999</v>
      </c>
      <c r="E39" s="157" t="s">
        <v>417</v>
      </c>
      <c r="F39" s="158">
        <f>F33+F36</f>
        <v>128971973.40000001</v>
      </c>
      <c r="G39" s="158">
        <f>G33+G36</f>
        <v>42257488.600000001</v>
      </c>
      <c r="H39" s="158">
        <f>H33+H36</f>
        <v>171229462</v>
      </c>
    </row>
    <row r="40" spans="1:9" ht="15.75" x14ac:dyDescent="0.25">
      <c r="A40" s="149"/>
      <c r="B40" s="150"/>
      <c r="C40" s="150"/>
      <c r="D40" s="150"/>
      <c r="E40" s="151"/>
      <c r="F40" s="150"/>
      <c r="G40" s="150"/>
      <c r="H40" s="150"/>
    </row>
    <row r="41" spans="1:9" ht="31.5" x14ac:dyDescent="0.25">
      <c r="A41" s="157" t="s">
        <v>418</v>
      </c>
      <c r="B41" s="159">
        <f>B34+B37</f>
        <v>171229461.59999999</v>
      </c>
      <c r="C41" s="159"/>
      <c r="D41" s="159"/>
      <c r="E41" s="157" t="s">
        <v>419</v>
      </c>
      <c r="F41" s="159">
        <f>F34+F37</f>
        <v>171229462</v>
      </c>
      <c r="G41" s="159"/>
      <c r="H41" s="159"/>
    </row>
    <row r="42" spans="1:9" x14ac:dyDescent="0.25">
      <c r="B42" s="160">
        <f>B41-'2.melléklÖnkormányzati összesen'!E23</f>
        <v>0</v>
      </c>
      <c r="F42" s="160">
        <f>F41-'2.melléklÖnkormányzati összesen'!J23</f>
        <v>0</v>
      </c>
    </row>
  </sheetData>
  <mergeCells count="8">
    <mergeCell ref="A20:H20"/>
    <mergeCell ref="A1:E1"/>
    <mergeCell ref="G1:H1"/>
    <mergeCell ref="A4:H4"/>
    <mergeCell ref="G5:H5"/>
    <mergeCell ref="A6:H6"/>
    <mergeCell ref="A7:D7"/>
    <mergeCell ref="E7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66"/>
  <sheetViews>
    <sheetView tabSelected="1" view="pageBreakPreview" zoomScale="90" zoomScaleNormal="100" zoomScaleSheetLayoutView="90" workbookViewId="0">
      <pane xSplit="3" ySplit="7" topLeftCell="D31" activePane="bottomRight" state="frozen"/>
      <selection pane="topRight" activeCell="D1" sqref="D1"/>
      <selection pane="bottomLeft" activeCell="A8" sqref="A8"/>
      <selection pane="bottomRight" activeCell="D3" sqref="D3:K3"/>
    </sheetView>
  </sheetViews>
  <sheetFormatPr defaultRowHeight="15" x14ac:dyDescent="0.25"/>
  <cols>
    <col min="1" max="1" width="24.7109375" style="135" customWidth="1"/>
    <col min="2" max="2" width="11.7109375" style="135" customWidth="1"/>
    <col min="3" max="3" width="20.140625" style="220" customWidth="1"/>
    <col min="4" max="4" width="19.42578125" style="220" customWidth="1"/>
    <col min="5" max="5" width="22.7109375" style="135" customWidth="1"/>
    <col min="6" max="7" width="16.85546875" style="135" customWidth="1"/>
    <col min="8" max="8" width="20.85546875" style="135" customWidth="1"/>
    <col min="9" max="9" width="17.42578125" style="135" customWidth="1"/>
    <col min="10" max="10" width="15.85546875" style="135" customWidth="1"/>
    <col min="11" max="11" width="15.5703125" style="135" customWidth="1"/>
    <col min="12" max="13" width="17.42578125" style="135" customWidth="1"/>
    <col min="14" max="14" width="22.7109375" style="4" hidden="1" customWidth="1"/>
    <col min="15" max="16" width="22" style="220" hidden="1" customWidth="1"/>
    <col min="17" max="17" width="18.140625" style="220" customWidth="1"/>
    <col min="18" max="18" width="20.140625" style="135" hidden="1" customWidth="1"/>
    <col min="19" max="19" width="20.140625" style="135" customWidth="1"/>
    <col min="20" max="20" width="19.7109375" style="135" customWidth="1"/>
    <col min="21" max="21" width="19.5703125" style="135" customWidth="1"/>
    <col min="22" max="22" width="16.85546875" style="135" hidden="1" customWidth="1"/>
    <col min="23" max="23" width="17.5703125" style="135" customWidth="1"/>
    <col min="24" max="24" width="17.5703125" style="336" customWidth="1"/>
    <col min="25" max="25" width="17.5703125" style="336" hidden="1" customWidth="1"/>
    <col min="26" max="26" width="17.28515625" customWidth="1"/>
    <col min="27" max="27" width="22.5703125" style="135" customWidth="1"/>
    <col min="28" max="29" width="22.5703125" style="402" customWidth="1"/>
    <col min="30" max="30" width="19.42578125" style="220" customWidth="1"/>
    <col min="31" max="32" width="22.140625" style="220" customWidth="1"/>
    <col min="33" max="33" width="15.140625" customWidth="1"/>
    <col min="38" max="16384" width="9.140625" style="135"/>
  </cols>
  <sheetData>
    <row r="1" spans="1:37" x14ac:dyDescent="0.25">
      <c r="A1" s="726" t="s">
        <v>750</v>
      </c>
      <c r="B1" s="726"/>
      <c r="C1" s="726"/>
      <c r="D1" s="726"/>
      <c r="Z1" s="135"/>
      <c r="AG1" s="135"/>
      <c r="AH1" s="135"/>
      <c r="AI1" s="135"/>
      <c r="AJ1" s="135"/>
      <c r="AK1" s="135"/>
    </row>
    <row r="2" spans="1:37" x14ac:dyDescent="0.25">
      <c r="A2" s="217"/>
      <c r="B2" s="217"/>
      <c r="C2" s="217"/>
      <c r="D2" s="217"/>
      <c r="Z2" s="135"/>
      <c r="AG2" s="135"/>
      <c r="AH2" s="135"/>
      <c r="AI2" s="135"/>
      <c r="AJ2" s="135"/>
      <c r="AK2" s="135"/>
    </row>
    <row r="3" spans="1:37" x14ac:dyDescent="0.25">
      <c r="D3" s="811" t="s">
        <v>838</v>
      </c>
      <c r="E3" s="811"/>
      <c r="F3" s="811"/>
      <c r="G3" s="811"/>
      <c r="H3" s="811"/>
      <c r="I3" s="811"/>
      <c r="J3" s="811"/>
      <c r="K3" s="811"/>
      <c r="Z3" s="135"/>
      <c r="AG3" s="135"/>
      <c r="AH3" s="135"/>
      <c r="AI3" s="135"/>
      <c r="AJ3" s="135"/>
      <c r="AK3" s="135"/>
    </row>
    <row r="4" spans="1:37" ht="15.75" thickBot="1" x14ac:dyDescent="0.3">
      <c r="A4" s="88"/>
      <c r="B4" s="88"/>
      <c r="V4" s="812" t="s">
        <v>585</v>
      </c>
      <c r="W4" s="812"/>
      <c r="X4" s="284"/>
      <c r="Y4" s="284"/>
    </row>
    <row r="5" spans="1:37" ht="63.75" customHeight="1" x14ac:dyDescent="0.25">
      <c r="A5" s="813" t="s">
        <v>69</v>
      </c>
      <c r="B5" s="815" t="s">
        <v>68</v>
      </c>
      <c r="C5" s="817" t="s">
        <v>583</v>
      </c>
      <c r="D5" s="819" t="s">
        <v>565</v>
      </c>
      <c r="E5" s="831" t="s">
        <v>536</v>
      </c>
      <c r="F5" s="832"/>
      <c r="G5" s="832"/>
      <c r="H5" s="832"/>
      <c r="I5" s="832"/>
      <c r="J5" s="832"/>
      <c r="K5" s="832"/>
      <c r="L5" s="833"/>
      <c r="M5" s="823" t="s">
        <v>772</v>
      </c>
      <c r="N5" s="821" t="s">
        <v>566</v>
      </c>
      <c r="O5" s="822"/>
      <c r="P5" s="826" t="s">
        <v>773</v>
      </c>
      <c r="Q5" s="829" t="s">
        <v>568</v>
      </c>
      <c r="R5" s="830"/>
      <c r="S5" s="840" t="s">
        <v>774</v>
      </c>
      <c r="T5" s="834" t="s">
        <v>569</v>
      </c>
      <c r="U5" s="835"/>
      <c r="V5" s="835"/>
      <c r="W5" s="835"/>
      <c r="X5" s="835"/>
      <c r="Y5" s="836"/>
      <c r="Z5" s="840" t="s">
        <v>593</v>
      </c>
      <c r="AA5" s="844" t="s">
        <v>576</v>
      </c>
      <c r="AB5" s="845"/>
      <c r="AC5" s="846"/>
      <c r="AD5" s="842" t="s">
        <v>567</v>
      </c>
      <c r="AE5" s="843"/>
      <c r="AF5" s="837" t="s">
        <v>592</v>
      </c>
    </row>
    <row r="6" spans="1:37" s="218" customFormat="1" ht="56.25" customHeight="1" x14ac:dyDescent="0.25">
      <c r="A6" s="814"/>
      <c r="B6" s="816"/>
      <c r="C6" s="818"/>
      <c r="D6" s="820"/>
      <c r="E6" s="469" t="s">
        <v>578</v>
      </c>
      <c r="F6" s="470" t="s">
        <v>579</v>
      </c>
      <c r="G6" s="470" t="s">
        <v>580</v>
      </c>
      <c r="H6" s="470" t="s">
        <v>581</v>
      </c>
      <c r="I6" s="470" t="s">
        <v>582</v>
      </c>
      <c r="J6" s="470" t="s">
        <v>812</v>
      </c>
      <c r="K6" s="470"/>
      <c r="L6" s="470"/>
      <c r="M6" s="824"/>
      <c r="N6" s="471"/>
      <c r="O6" s="472" t="s">
        <v>570</v>
      </c>
      <c r="P6" s="827"/>
      <c r="Q6" s="469" t="s">
        <v>784</v>
      </c>
      <c r="R6" s="470" t="s">
        <v>571</v>
      </c>
      <c r="S6" s="841"/>
      <c r="T6" s="469" t="s">
        <v>572</v>
      </c>
      <c r="U6" s="470" t="s">
        <v>573</v>
      </c>
      <c r="V6" s="470" t="s">
        <v>574</v>
      </c>
      <c r="W6" s="470" t="s">
        <v>695</v>
      </c>
      <c r="X6" s="473" t="s">
        <v>813</v>
      </c>
      <c r="Y6" s="473" t="s">
        <v>693</v>
      </c>
      <c r="Z6" s="841"/>
      <c r="AA6" s="474" t="s">
        <v>811</v>
      </c>
      <c r="AB6" s="475" t="s">
        <v>815</v>
      </c>
      <c r="AC6" s="849" t="s">
        <v>229</v>
      </c>
      <c r="AD6" s="469" t="s">
        <v>814</v>
      </c>
      <c r="AE6" s="472"/>
      <c r="AF6" s="838"/>
    </row>
    <row r="7" spans="1:37" ht="38.25" x14ac:dyDescent="0.25">
      <c r="A7" s="814"/>
      <c r="B7" s="816"/>
      <c r="C7" s="476" t="s">
        <v>771</v>
      </c>
      <c r="D7" s="477" t="s">
        <v>771</v>
      </c>
      <c r="E7" s="478" t="s">
        <v>771</v>
      </c>
      <c r="F7" s="479" t="s">
        <v>771</v>
      </c>
      <c r="G7" s="479" t="s">
        <v>771</v>
      </c>
      <c r="H7" s="479" t="s">
        <v>771</v>
      </c>
      <c r="I7" s="479" t="s">
        <v>771</v>
      </c>
      <c r="J7" s="479" t="s">
        <v>575</v>
      </c>
      <c r="K7" s="479" t="s">
        <v>575</v>
      </c>
      <c r="L7" s="479" t="s">
        <v>575</v>
      </c>
      <c r="M7" s="825"/>
      <c r="N7" s="471" t="s">
        <v>771</v>
      </c>
      <c r="O7" s="476" t="s">
        <v>771</v>
      </c>
      <c r="P7" s="828"/>
      <c r="Q7" s="478" t="s">
        <v>771</v>
      </c>
      <c r="R7" s="479" t="s">
        <v>771</v>
      </c>
      <c r="S7" s="841"/>
      <c r="T7" s="478" t="s">
        <v>771</v>
      </c>
      <c r="U7" s="479" t="s">
        <v>771</v>
      </c>
      <c r="V7" s="479" t="s">
        <v>771</v>
      </c>
      <c r="W7" s="479" t="s">
        <v>771</v>
      </c>
      <c r="X7" s="479" t="s">
        <v>771</v>
      </c>
      <c r="Y7" s="479" t="s">
        <v>771</v>
      </c>
      <c r="Z7" s="841"/>
      <c r="AA7" s="847" t="s">
        <v>771</v>
      </c>
      <c r="AB7" s="848"/>
      <c r="AC7" s="850"/>
      <c r="AD7" s="478" t="s">
        <v>771</v>
      </c>
      <c r="AE7" s="476" t="s">
        <v>771</v>
      </c>
      <c r="AF7" s="839"/>
      <c r="AG7" s="239" t="s">
        <v>595</v>
      </c>
    </row>
    <row r="8" spans="1:37" s="31" customFormat="1" x14ac:dyDescent="0.25">
      <c r="A8" s="480" t="s">
        <v>107</v>
      </c>
      <c r="B8" s="226" t="s">
        <v>108</v>
      </c>
      <c r="C8" s="481">
        <f>SUM(C9:C13)</f>
        <v>100000</v>
      </c>
      <c r="D8" s="482">
        <f>SUM(D9:D13)</f>
        <v>0</v>
      </c>
      <c r="E8" s="482">
        <f>SUM(E9:E13)</f>
        <v>0</v>
      </c>
      <c r="F8" s="482">
        <f t="shared" ref="F8:I8" si="0">SUM(F9:F13)</f>
        <v>0</v>
      </c>
      <c r="G8" s="482">
        <f t="shared" si="0"/>
        <v>0</v>
      </c>
      <c r="H8" s="482">
        <f t="shared" si="0"/>
        <v>0</v>
      </c>
      <c r="I8" s="482">
        <f t="shared" si="0"/>
        <v>0</v>
      </c>
      <c r="J8" s="482">
        <f t="shared" ref="J8:L8" si="1">SUM(J9:J13)</f>
        <v>0</v>
      </c>
      <c r="K8" s="482">
        <f t="shared" si="1"/>
        <v>0</v>
      </c>
      <c r="L8" s="482">
        <f t="shared" si="1"/>
        <v>0</v>
      </c>
      <c r="M8" s="483">
        <f>SUM(E8:L8)</f>
        <v>0</v>
      </c>
      <c r="N8" s="482">
        <f t="shared" ref="N8" si="2">SUM(N9:N13)</f>
        <v>0</v>
      </c>
      <c r="O8" s="482">
        <f t="shared" ref="O8" si="3">SUM(O9:O13)</f>
        <v>0</v>
      </c>
      <c r="P8" s="484">
        <f>SUM(N8:O8)</f>
        <v>0</v>
      </c>
      <c r="Q8" s="482">
        <f t="shared" ref="Q8" si="4">SUM(Q9:Q13)</f>
        <v>0</v>
      </c>
      <c r="R8" s="482">
        <f t="shared" ref="R8" si="5">SUM(R9:R13)</f>
        <v>0</v>
      </c>
      <c r="S8" s="485">
        <f>SUM(Q8:R8)</f>
        <v>0</v>
      </c>
      <c r="T8" s="482">
        <f t="shared" ref="T8" si="6">SUM(T9:T13)</f>
        <v>50000</v>
      </c>
      <c r="U8" s="482">
        <f t="shared" ref="U8" si="7">SUM(U9:U13)</f>
        <v>0</v>
      </c>
      <c r="V8" s="482">
        <f t="shared" ref="V8" si="8">SUM(V9:V13)</f>
        <v>0</v>
      </c>
      <c r="W8" s="482">
        <f t="shared" ref="W8:Y8" si="9">SUM(W9:W13)</f>
        <v>0</v>
      </c>
      <c r="X8" s="482">
        <f t="shared" si="9"/>
        <v>0</v>
      </c>
      <c r="Y8" s="482">
        <f t="shared" si="9"/>
        <v>0</v>
      </c>
      <c r="Z8" s="486">
        <f>SUM(T8:Y8)</f>
        <v>50000</v>
      </c>
      <c r="AA8" s="482">
        <f t="shared" ref="AA8:AB8" si="10">SUM(AA9:AA13)</f>
        <v>0</v>
      </c>
      <c r="AB8" s="482">
        <f t="shared" si="10"/>
        <v>50000</v>
      </c>
      <c r="AC8" s="482">
        <f>SUM(AA8:AB8)</f>
        <v>50000</v>
      </c>
      <c r="AD8" s="482">
        <f t="shared" ref="AD8" si="11">SUM(AD9:AD13)</f>
        <v>0</v>
      </c>
      <c r="AE8" s="482">
        <f t="shared" ref="AE8" si="12">SUM(AE9:AE13)</f>
        <v>0</v>
      </c>
      <c r="AF8" s="487">
        <f>SUM(AD8:AE8)</f>
        <v>0</v>
      </c>
      <c r="AG8" s="240">
        <f>AA8+Z8+S8+AF8+P8+M8+D8-C8+AB8</f>
        <v>0</v>
      </c>
    </row>
    <row r="9" spans="1:37" s="34" customFormat="1" hidden="1" x14ac:dyDescent="0.25">
      <c r="A9" s="33" t="s">
        <v>272</v>
      </c>
      <c r="B9" s="18"/>
      <c r="C9" s="221">
        <f>SUM(D9,N9,AE9,AD9,Q9,O9,L9,AA9,T9,U9,V9,W9,J9,I9,E9,R9,H9,F9,K9,G9,X9,Y9,AB9)</f>
        <v>0</v>
      </c>
      <c r="D9" s="221"/>
      <c r="E9" s="221"/>
      <c r="F9" s="221"/>
      <c r="G9" s="221"/>
      <c r="H9" s="221"/>
      <c r="I9" s="221"/>
      <c r="J9" s="221"/>
      <c r="K9" s="221"/>
      <c r="L9" s="221"/>
      <c r="M9" s="483"/>
      <c r="N9" s="222"/>
      <c r="O9" s="221"/>
      <c r="P9" s="484">
        <f t="shared" ref="P9:P64" si="13">SUM(N9:O9)</f>
        <v>0</v>
      </c>
      <c r="Q9" s="223"/>
      <c r="R9" s="225"/>
      <c r="S9" s="485">
        <f t="shared" ref="S9:S64" si="14">SUM(Q9:R9)</f>
        <v>0</v>
      </c>
      <c r="T9" s="237"/>
      <c r="U9" s="225"/>
      <c r="V9" s="225"/>
      <c r="W9" s="225"/>
      <c r="X9" s="399"/>
      <c r="Y9" s="399"/>
      <c r="Z9" s="486">
        <f t="shared" ref="Z9:Z64" si="15">SUM(T9:Y9)</f>
        <v>0</v>
      </c>
      <c r="AA9" s="238"/>
      <c r="AB9" s="461"/>
      <c r="AC9" s="482">
        <f t="shared" ref="AC9:AC64" si="16">SUM(AA9:AB9)</f>
        <v>0</v>
      </c>
      <c r="AD9" s="223"/>
      <c r="AE9" s="224"/>
      <c r="AF9" s="487">
        <f t="shared" ref="AF9:AF64" si="17">SUM(AD9:AE9)</f>
        <v>0</v>
      </c>
      <c r="AG9" s="240">
        <f t="shared" ref="AG9:AG64" si="18">AA9+Z9+S9+AF9+P9+M9+D9-C9+AB9</f>
        <v>0</v>
      </c>
    </row>
    <row r="10" spans="1:37" hidden="1" x14ac:dyDescent="0.25">
      <c r="A10" s="33" t="s">
        <v>241</v>
      </c>
      <c r="B10" s="18"/>
      <c r="C10" s="221">
        <f t="shared" ref="C10:C21" si="19">SUM(D10,N10,AE10,AD10,Q10,O10,L10,AA10,T10,U10,V10,W10,J10,I10,E10,R10,H10,F10,K10,G10,X10,Y10,AB10)</f>
        <v>0</v>
      </c>
      <c r="D10" s="488"/>
      <c r="E10" s="489"/>
      <c r="F10" s="490"/>
      <c r="G10" s="490"/>
      <c r="H10" s="490"/>
      <c r="I10" s="490"/>
      <c r="J10" s="490"/>
      <c r="K10" s="490"/>
      <c r="L10" s="490"/>
      <c r="M10" s="483">
        <f t="shared" ref="M10:M64" si="20">SUM(E10:L10)</f>
        <v>0</v>
      </c>
      <c r="N10" s="491"/>
      <c r="O10" s="492"/>
      <c r="P10" s="484">
        <f t="shared" si="13"/>
        <v>0</v>
      </c>
      <c r="Q10" s="489"/>
      <c r="R10" s="490"/>
      <c r="S10" s="485">
        <f t="shared" si="14"/>
        <v>0</v>
      </c>
      <c r="T10" s="489"/>
      <c r="U10" s="490"/>
      <c r="V10" s="490"/>
      <c r="W10" s="490"/>
      <c r="X10" s="493"/>
      <c r="Y10" s="493"/>
      <c r="Z10" s="486">
        <f t="shared" si="15"/>
        <v>0</v>
      </c>
      <c r="AA10" s="488"/>
      <c r="AB10" s="494"/>
      <c r="AC10" s="482">
        <f t="shared" si="16"/>
        <v>0</v>
      </c>
      <c r="AD10" s="489"/>
      <c r="AE10" s="492"/>
      <c r="AF10" s="487">
        <f t="shared" si="17"/>
        <v>0</v>
      </c>
      <c r="AG10" s="240">
        <f t="shared" si="18"/>
        <v>0</v>
      </c>
    </row>
    <row r="11" spans="1:37" hidden="1" x14ac:dyDescent="0.25">
      <c r="A11" s="33" t="s">
        <v>242</v>
      </c>
      <c r="B11" s="18"/>
      <c r="C11" s="221">
        <f t="shared" si="19"/>
        <v>0</v>
      </c>
      <c r="D11" s="488"/>
      <c r="E11" s="489"/>
      <c r="F11" s="490"/>
      <c r="G11" s="490"/>
      <c r="H11" s="490"/>
      <c r="I11" s="490"/>
      <c r="J11" s="490"/>
      <c r="K11" s="490"/>
      <c r="L11" s="490"/>
      <c r="M11" s="483">
        <f t="shared" si="20"/>
        <v>0</v>
      </c>
      <c r="N11" s="491"/>
      <c r="O11" s="492"/>
      <c r="P11" s="484">
        <f t="shared" si="13"/>
        <v>0</v>
      </c>
      <c r="Q11" s="489"/>
      <c r="R11" s="490"/>
      <c r="S11" s="485">
        <f t="shared" si="14"/>
        <v>0</v>
      </c>
      <c r="T11" s="489"/>
      <c r="U11" s="490"/>
      <c r="V11" s="490"/>
      <c r="W11" s="490"/>
      <c r="X11" s="493"/>
      <c r="Y11" s="493"/>
      <c r="Z11" s="486">
        <f t="shared" si="15"/>
        <v>0</v>
      </c>
      <c r="AA11" s="488"/>
      <c r="AB11" s="494"/>
      <c r="AC11" s="482">
        <f t="shared" si="16"/>
        <v>0</v>
      </c>
      <c r="AD11" s="489"/>
      <c r="AE11" s="492"/>
      <c r="AF11" s="487">
        <f t="shared" si="17"/>
        <v>0</v>
      </c>
      <c r="AG11" s="240">
        <f t="shared" si="18"/>
        <v>0</v>
      </c>
    </row>
    <row r="12" spans="1:37" hidden="1" x14ac:dyDescent="0.25">
      <c r="A12" s="33" t="s">
        <v>243</v>
      </c>
      <c r="B12" s="18"/>
      <c r="C12" s="221">
        <f t="shared" si="19"/>
        <v>0</v>
      </c>
      <c r="D12" s="488"/>
      <c r="E12" s="489"/>
      <c r="F12" s="490"/>
      <c r="G12" s="490"/>
      <c r="H12" s="490"/>
      <c r="I12" s="490"/>
      <c r="J12" s="490"/>
      <c r="K12" s="490"/>
      <c r="L12" s="490"/>
      <c r="M12" s="483">
        <f t="shared" si="20"/>
        <v>0</v>
      </c>
      <c r="N12" s="491"/>
      <c r="O12" s="492"/>
      <c r="P12" s="484">
        <f t="shared" si="13"/>
        <v>0</v>
      </c>
      <c r="Q12" s="489"/>
      <c r="R12" s="490"/>
      <c r="S12" s="485">
        <f t="shared" si="14"/>
        <v>0</v>
      </c>
      <c r="T12" s="489"/>
      <c r="U12" s="490"/>
      <c r="V12" s="490"/>
      <c r="W12" s="490"/>
      <c r="X12" s="493"/>
      <c r="Y12" s="493"/>
      <c r="Z12" s="486">
        <f t="shared" si="15"/>
        <v>0</v>
      </c>
      <c r="AA12" s="488"/>
      <c r="AB12" s="494"/>
      <c r="AC12" s="482">
        <f t="shared" si="16"/>
        <v>0</v>
      </c>
      <c r="AD12" s="489"/>
      <c r="AE12" s="492"/>
      <c r="AF12" s="487">
        <f t="shared" si="17"/>
        <v>0</v>
      </c>
      <c r="AG12" s="240">
        <f t="shared" si="18"/>
        <v>0</v>
      </c>
    </row>
    <row r="13" spans="1:37" hidden="1" x14ac:dyDescent="0.25">
      <c r="A13" s="33" t="s">
        <v>244</v>
      </c>
      <c r="B13" s="18"/>
      <c r="C13" s="221">
        <f t="shared" si="19"/>
        <v>100000</v>
      </c>
      <c r="D13" s="488"/>
      <c r="E13" s="489"/>
      <c r="F13" s="490"/>
      <c r="G13" s="490"/>
      <c r="H13" s="490"/>
      <c r="I13" s="490"/>
      <c r="J13" s="490"/>
      <c r="K13" s="490"/>
      <c r="L13" s="490"/>
      <c r="M13" s="483">
        <f t="shared" si="20"/>
        <v>0</v>
      </c>
      <c r="N13" s="491"/>
      <c r="O13" s="492"/>
      <c r="P13" s="484">
        <f t="shared" si="13"/>
        <v>0</v>
      </c>
      <c r="Q13" s="489"/>
      <c r="R13" s="490"/>
      <c r="S13" s="485">
        <f t="shared" si="14"/>
        <v>0</v>
      </c>
      <c r="T13" s="489">
        <v>50000</v>
      </c>
      <c r="U13" s="490"/>
      <c r="V13" s="490"/>
      <c r="W13" s="490"/>
      <c r="X13" s="493"/>
      <c r="Y13" s="493"/>
      <c r="Z13" s="486">
        <f t="shared" si="15"/>
        <v>50000</v>
      </c>
      <c r="AA13" s="488"/>
      <c r="AB13" s="494">
        <v>50000</v>
      </c>
      <c r="AC13" s="482">
        <f t="shared" si="16"/>
        <v>50000</v>
      </c>
      <c r="AD13" s="489"/>
      <c r="AE13" s="492"/>
      <c r="AF13" s="487">
        <f t="shared" si="17"/>
        <v>0</v>
      </c>
      <c r="AG13" s="240">
        <f t="shared" si="18"/>
        <v>0</v>
      </c>
    </row>
    <row r="14" spans="1:37" s="31" customFormat="1" ht="25.5" x14ac:dyDescent="0.25">
      <c r="A14" s="480" t="s">
        <v>110</v>
      </c>
      <c r="B14" s="226" t="s">
        <v>111</v>
      </c>
      <c r="C14" s="485">
        <f>SUM(C15:C20)</f>
        <v>3000000</v>
      </c>
      <c r="D14" s="482">
        <f t="shared" ref="D14" si="21">SUM(D15:D20)</f>
        <v>260000</v>
      </c>
      <c r="E14" s="495">
        <f>SUM(E15:E20)</f>
        <v>2000000</v>
      </c>
      <c r="F14" s="495">
        <f t="shared" ref="F14:K14" si="22">SUM(F15:F20)</f>
        <v>250000</v>
      </c>
      <c r="G14" s="495">
        <f t="shared" si="22"/>
        <v>0</v>
      </c>
      <c r="H14" s="495">
        <f t="shared" si="22"/>
        <v>150000</v>
      </c>
      <c r="I14" s="495">
        <f t="shared" si="22"/>
        <v>110000</v>
      </c>
      <c r="J14" s="495">
        <f t="shared" si="22"/>
        <v>0</v>
      </c>
      <c r="K14" s="495">
        <f t="shared" si="22"/>
        <v>0</v>
      </c>
      <c r="L14" s="496">
        <f>SUM(L15:L20)</f>
        <v>0</v>
      </c>
      <c r="M14" s="483">
        <f t="shared" si="20"/>
        <v>2510000</v>
      </c>
      <c r="N14" s="497"/>
      <c r="O14" s="481">
        <f>SUM(O15:O20)</f>
        <v>0</v>
      </c>
      <c r="P14" s="484">
        <f t="shared" si="13"/>
        <v>0</v>
      </c>
      <c r="Q14" s="495">
        <f>SUM(Q15:Q20)</f>
        <v>0</v>
      </c>
      <c r="R14" s="498"/>
      <c r="S14" s="485">
        <f t="shared" si="14"/>
        <v>0</v>
      </c>
      <c r="T14" s="495">
        <f>SUM(T15:T20)</f>
        <v>10000</v>
      </c>
      <c r="U14" s="496">
        <f>SUM(U15:U20)</f>
        <v>20000</v>
      </c>
      <c r="V14" s="496">
        <f>SUM(V15:V20)</f>
        <v>0</v>
      </c>
      <c r="W14" s="496">
        <f t="shared" ref="W14:Y14" si="23">SUM(W15:W20)</f>
        <v>0</v>
      </c>
      <c r="X14" s="496">
        <f t="shared" si="23"/>
        <v>0</v>
      </c>
      <c r="Y14" s="496">
        <f t="shared" si="23"/>
        <v>0</v>
      </c>
      <c r="Z14" s="486">
        <f t="shared" si="15"/>
        <v>30000</v>
      </c>
      <c r="AA14" s="482">
        <f>SUM(AA15:AA20)</f>
        <v>0</v>
      </c>
      <c r="AB14" s="482">
        <f>SUM(AB15:AB20)</f>
        <v>200000</v>
      </c>
      <c r="AC14" s="482">
        <f t="shared" si="16"/>
        <v>200000</v>
      </c>
      <c r="AD14" s="495">
        <f>SUM(AD15:AD20)</f>
        <v>0</v>
      </c>
      <c r="AE14" s="481">
        <f>SUM(AE15:AE20)</f>
        <v>0</v>
      </c>
      <c r="AF14" s="487">
        <f t="shared" si="17"/>
        <v>0</v>
      </c>
      <c r="AG14" s="240">
        <f t="shared" si="18"/>
        <v>0</v>
      </c>
    </row>
    <row r="15" spans="1:37" hidden="1" x14ac:dyDescent="0.25">
      <c r="A15" s="33" t="s">
        <v>245</v>
      </c>
      <c r="B15" s="18"/>
      <c r="C15" s="221">
        <f t="shared" si="19"/>
        <v>260000</v>
      </c>
      <c r="D15" s="488">
        <v>260000</v>
      </c>
      <c r="E15" s="489"/>
      <c r="F15" s="490"/>
      <c r="G15" s="490"/>
      <c r="H15" s="490"/>
      <c r="I15" s="490"/>
      <c r="J15" s="490"/>
      <c r="K15" s="490"/>
      <c r="L15" s="490"/>
      <c r="M15" s="483">
        <f t="shared" si="20"/>
        <v>0</v>
      </c>
      <c r="N15" s="491"/>
      <c r="O15" s="492"/>
      <c r="P15" s="484">
        <f t="shared" si="13"/>
        <v>0</v>
      </c>
      <c r="Q15" s="489"/>
      <c r="R15" s="490"/>
      <c r="S15" s="485">
        <f t="shared" si="14"/>
        <v>0</v>
      </c>
      <c r="T15" s="489"/>
      <c r="U15" s="490"/>
      <c r="V15" s="490"/>
      <c r="W15" s="490"/>
      <c r="X15" s="493"/>
      <c r="Y15" s="493"/>
      <c r="Z15" s="486">
        <f t="shared" si="15"/>
        <v>0</v>
      </c>
      <c r="AA15" s="488"/>
      <c r="AB15" s="494"/>
      <c r="AC15" s="482">
        <f t="shared" si="16"/>
        <v>0</v>
      </c>
      <c r="AD15" s="489"/>
      <c r="AE15" s="492"/>
      <c r="AF15" s="487">
        <f t="shared" si="17"/>
        <v>0</v>
      </c>
      <c r="AG15" s="240">
        <f t="shared" si="18"/>
        <v>0</v>
      </c>
    </row>
    <row r="16" spans="1:37" hidden="1" x14ac:dyDescent="0.25">
      <c r="A16" s="33" t="s">
        <v>273</v>
      </c>
      <c r="B16" s="18"/>
      <c r="C16" s="221">
        <f t="shared" si="19"/>
        <v>0</v>
      </c>
      <c r="D16" s="488"/>
      <c r="E16" s="489"/>
      <c r="F16" s="490"/>
      <c r="G16" s="490"/>
      <c r="H16" s="490"/>
      <c r="I16" s="490"/>
      <c r="J16" s="490"/>
      <c r="K16" s="490"/>
      <c r="L16" s="490"/>
      <c r="M16" s="483">
        <f t="shared" si="20"/>
        <v>0</v>
      </c>
      <c r="N16" s="491"/>
      <c r="O16" s="492"/>
      <c r="P16" s="484">
        <f t="shared" si="13"/>
        <v>0</v>
      </c>
      <c r="Q16" s="489"/>
      <c r="R16" s="490"/>
      <c r="S16" s="485">
        <f t="shared" si="14"/>
        <v>0</v>
      </c>
      <c r="T16" s="489"/>
      <c r="U16" s="490"/>
      <c r="V16" s="490"/>
      <c r="W16" s="490"/>
      <c r="X16" s="493"/>
      <c r="Y16" s="493"/>
      <c r="Z16" s="486">
        <f t="shared" si="15"/>
        <v>0</v>
      </c>
      <c r="AA16" s="488"/>
      <c r="AB16" s="494"/>
      <c r="AC16" s="482">
        <f t="shared" si="16"/>
        <v>0</v>
      </c>
      <c r="AD16" s="489"/>
      <c r="AE16" s="492"/>
      <c r="AF16" s="487">
        <f t="shared" si="17"/>
        <v>0</v>
      </c>
      <c r="AG16" s="240">
        <f t="shared" si="18"/>
        <v>0</v>
      </c>
    </row>
    <row r="17" spans="1:33" ht="25.5" hidden="1" x14ac:dyDescent="0.25">
      <c r="A17" s="33" t="s">
        <v>246</v>
      </c>
      <c r="B17" s="18"/>
      <c r="C17" s="221">
        <f t="shared" si="19"/>
        <v>0</v>
      </c>
      <c r="D17" s="488"/>
      <c r="E17" s="489"/>
      <c r="F17" s="490"/>
      <c r="G17" s="490"/>
      <c r="H17" s="490"/>
      <c r="I17" s="490"/>
      <c r="J17" s="490"/>
      <c r="K17" s="490"/>
      <c r="L17" s="490"/>
      <c r="M17" s="483">
        <f t="shared" si="20"/>
        <v>0</v>
      </c>
      <c r="N17" s="491"/>
      <c r="O17" s="492"/>
      <c r="P17" s="484">
        <f t="shared" si="13"/>
        <v>0</v>
      </c>
      <c r="Q17" s="489"/>
      <c r="R17" s="490"/>
      <c r="S17" s="485">
        <f t="shared" si="14"/>
        <v>0</v>
      </c>
      <c r="T17" s="489"/>
      <c r="U17" s="490"/>
      <c r="V17" s="490"/>
      <c r="W17" s="490"/>
      <c r="X17" s="493"/>
      <c r="Y17" s="493"/>
      <c r="Z17" s="486">
        <f t="shared" si="15"/>
        <v>0</v>
      </c>
      <c r="AA17" s="488"/>
      <c r="AB17" s="494"/>
      <c r="AC17" s="482">
        <f t="shared" si="16"/>
        <v>0</v>
      </c>
      <c r="AD17" s="489"/>
      <c r="AE17" s="492"/>
      <c r="AF17" s="487">
        <f t="shared" si="17"/>
        <v>0</v>
      </c>
      <c r="AG17" s="240">
        <f t="shared" si="18"/>
        <v>0</v>
      </c>
    </row>
    <row r="18" spans="1:33" hidden="1" x14ac:dyDescent="0.25">
      <c r="A18" s="33" t="s">
        <v>247</v>
      </c>
      <c r="B18" s="18"/>
      <c r="C18" s="221">
        <f t="shared" si="19"/>
        <v>0</v>
      </c>
      <c r="D18" s="488"/>
      <c r="E18" s="489"/>
      <c r="F18" s="490"/>
      <c r="G18" s="490"/>
      <c r="H18" s="490"/>
      <c r="I18" s="490"/>
      <c r="J18" s="490"/>
      <c r="K18" s="490"/>
      <c r="L18" s="490"/>
      <c r="M18" s="483">
        <f t="shared" si="20"/>
        <v>0</v>
      </c>
      <c r="N18" s="491"/>
      <c r="O18" s="492"/>
      <c r="P18" s="484">
        <f t="shared" si="13"/>
        <v>0</v>
      </c>
      <c r="Q18" s="489"/>
      <c r="R18" s="490"/>
      <c r="S18" s="485">
        <f t="shared" si="14"/>
        <v>0</v>
      </c>
      <c r="T18" s="489"/>
      <c r="U18" s="490"/>
      <c r="V18" s="490"/>
      <c r="W18" s="490"/>
      <c r="X18" s="493"/>
      <c r="Y18" s="493"/>
      <c r="Z18" s="486">
        <f t="shared" si="15"/>
        <v>0</v>
      </c>
      <c r="AA18" s="488"/>
      <c r="AB18" s="494"/>
      <c r="AC18" s="482">
        <f t="shared" si="16"/>
        <v>0</v>
      </c>
      <c r="AD18" s="489"/>
      <c r="AE18" s="492"/>
      <c r="AF18" s="487">
        <f t="shared" si="17"/>
        <v>0</v>
      </c>
      <c r="AG18" s="240">
        <f t="shared" si="18"/>
        <v>0</v>
      </c>
    </row>
    <row r="19" spans="1:33" hidden="1" x14ac:dyDescent="0.25">
      <c r="A19" s="33" t="s">
        <v>248</v>
      </c>
      <c r="B19" s="18"/>
      <c r="C19" s="221">
        <f t="shared" si="19"/>
        <v>0</v>
      </c>
      <c r="D19" s="488"/>
      <c r="E19" s="489"/>
      <c r="F19" s="490"/>
      <c r="G19" s="490"/>
      <c r="H19" s="490"/>
      <c r="I19" s="490"/>
      <c r="J19" s="490"/>
      <c r="K19" s="490"/>
      <c r="L19" s="490"/>
      <c r="M19" s="483">
        <f t="shared" si="20"/>
        <v>0</v>
      </c>
      <c r="N19" s="491"/>
      <c r="O19" s="492"/>
      <c r="P19" s="484">
        <f t="shared" si="13"/>
        <v>0</v>
      </c>
      <c r="Q19" s="489"/>
      <c r="R19" s="490"/>
      <c r="S19" s="485">
        <f t="shared" si="14"/>
        <v>0</v>
      </c>
      <c r="T19" s="489"/>
      <c r="U19" s="490"/>
      <c r="V19" s="490"/>
      <c r="W19" s="490"/>
      <c r="X19" s="493"/>
      <c r="Y19" s="493"/>
      <c r="Z19" s="486">
        <f t="shared" si="15"/>
        <v>0</v>
      </c>
      <c r="AA19" s="488"/>
      <c r="AB19" s="494"/>
      <c r="AC19" s="482">
        <f t="shared" si="16"/>
        <v>0</v>
      </c>
      <c r="AD19" s="489"/>
      <c r="AE19" s="492"/>
      <c r="AF19" s="487">
        <f t="shared" si="17"/>
        <v>0</v>
      </c>
      <c r="AG19" s="240">
        <f t="shared" si="18"/>
        <v>0</v>
      </c>
    </row>
    <row r="20" spans="1:33" ht="12" hidden="1" customHeight="1" x14ac:dyDescent="0.25">
      <c r="A20" s="33" t="s">
        <v>249</v>
      </c>
      <c r="B20" s="18"/>
      <c r="C20" s="221">
        <f t="shared" si="19"/>
        <v>2740000</v>
      </c>
      <c r="D20" s="488"/>
      <c r="E20" s="489">
        <v>2000000</v>
      </c>
      <c r="F20" s="490">
        <v>250000</v>
      </c>
      <c r="G20" s="490"/>
      <c r="H20" s="490">
        <v>150000</v>
      </c>
      <c r="I20" s="490">
        <v>110000</v>
      </c>
      <c r="J20" s="490"/>
      <c r="K20" s="490"/>
      <c r="L20" s="490"/>
      <c r="M20" s="483">
        <f t="shared" si="20"/>
        <v>2510000</v>
      </c>
      <c r="N20" s="491"/>
      <c r="O20" s="492"/>
      <c r="P20" s="484">
        <f t="shared" si="13"/>
        <v>0</v>
      </c>
      <c r="Q20" s="489"/>
      <c r="R20" s="490"/>
      <c r="S20" s="485">
        <f t="shared" si="14"/>
        <v>0</v>
      </c>
      <c r="T20" s="489">
        <v>10000</v>
      </c>
      <c r="U20" s="490">
        <v>20000</v>
      </c>
      <c r="V20" s="490"/>
      <c r="W20" s="490"/>
      <c r="X20" s="493"/>
      <c r="Y20" s="493"/>
      <c r="Z20" s="486">
        <f t="shared" si="15"/>
        <v>30000</v>
      </c>
      <c r="AA20" s="488"/>
      <c r="AB20" s="494">
        <v>200000</v>
      </c>
      <c r="AC20" s="482">
        <f t="shared" si="16"/>
        <v>200000</v>
      </c>
      <c r="AD20" s="489"/>
      <c r="AE20" s="492"/>
      <c r="AF20" s="487">
        <f t="shared" si="17"/>
        <v>0</v>
      </c>
      <c r="AG20" s="240">
        <f t="shared" si="18"/>
        <v>0</v>
      </c>
    </row>
    <row r="21" spans="1:33" s="31" customFormat="1" x14ac:dyDescent="0.25">
      <c r="A21" s="480" t="s">
        <v>113</v>
      </c>
      <c r="B21" s="226" t="s">
        <v>114</v>
      </c>
      <c r="C21" s="221">
        <f t="shared" si="19"/>
        <v>0</v>
      </c>
      <c r="D21" s="499"/>
      <c r="E21" s="500"/>
      <c r="F21" s="498"/>
      <c r="G21" s="498"/>
      <c r="H21" s="498"/>
      <c r="I21" s="498"/>
      <c r="J21" s="498"/>
      <c r="K21" s="498"/>
      <c r="L21" s="498"/>
      <c r="M21" s="483">
        <f t="shared" si="20"/>
        <v>0</v>
      </c>
      <c r="N21" s="497"/>
      <c r="O21" s="485"/>
      <c r="P21" s="484">
        <f t="shared" si="13"/>
        <v>0</v>
      </c>
      <c r="Q21" s="500">
        <v>0</v>
      </c>
      <c r="R21" s="498"/>
      <c r="S21" s="485">
        <f t="shared" si="14"/>
        <v>0</v>
      </c>
      <c r="T21" s="500"/>
      <c r="U21" s="498"/>
      <c r="V21" s="498"/>
      <c r="W21" s="498"/>
      <c r="X21" s="501"/>
      <c r="Y21" s="501"/>
      <c r="Z21" s="486">
        <f t="shared" si="15"/>
        <v>0</v>
      </c>
      <c r="AA21" s="499"/>
      <c r="AB21" s="502"/>
      <c r="AC21" s="482">
        <f t="shared" si="16"/>
        <v>0</v>
      </c>
      <c r="AD21" s="500"/>
      <c r="AE21" s="485"/>
      <c r="AF21" s="487">
        <f t="shared" si="17"/>
        <v>0</v>
      </c>
      <c r="AG21" s="240">
        <f t="shared" si="18"/>
        <v>0</v>
      </c>
    </row>
    <row r="22" spans="1:33" s="28" customFormat="1" x14ac:dyDescent="0.25">
      <c r="A22" s="480" t="s">
        <v>116</v>
      </c>
      <c r="B22" s="226" t="s">
        <v>117</v>
      </c>
      <c r="C22" s="481">
        <f>SUM(C14,C8,C21)</f>
        <v>3100000</v>
      </c>
      <c r="D22" s="482">
        <f>SUM(D14,D8,D21)</f>
        <v>260000</v>
      </c>
      <c r="E22" s="482">
        <f t="shared" ref="E22:O22" si="24">SUM(E14,E8,E21)</f>
        <v>2000000</v>
      </c>
      <c r="F22" s="482">
        <f t="shared" si="24"/>
        <v>250000</v>
      </c>
      <c r="G22" s="482">
        <f t="shared" si="24"/>
        <v>0</v>
      </c>
      <c r="H22" s="482">
        <f t="shared" si="24"/>
        <v>150000</v>
      </c>
      <c r="I22" s="482">
        <f t="shared" si="24"/>
        <v>110000</v>
      </c>
      <c r="J22" s="482">
        <f t="shared" si="24"/>
        <v>0</v>
      </c>
      <c r="K22" s="482">
        <f t="shared" si="24"/>
        <v>0</v>
      </c>
      <c r="L22" s="482">
        <f t="shared" si="24"/>
        <v>0</v>
      </c>
      <c r="M22" s="483">
        <f t="shared" si="20"/>
        <v>2510000</v>
      </c>
      <c r="N22" s="482">
        <f t="shared" si="24"/>
        <v>0</v>
      </c>
      <c r="O22" s="482">
        <f t="shared" si="24"/>
        <v>0</v>
      </c>
      <c r="P22" s="484">
        <f t="shared" si="13"/>
        <v>0</v>
      </c>
      <c r="Q22" s="482">
        <f t="shared" ref="Q22" si="25">SUM(Q14,Q8,Q21)</f>
        <v>0</v>
      </c>
      <c r="R22" s="482">
        <f t="shared" ref="R22" si="26">SUM(R14,R8,R21)</f>
        <v>0</v>
      </c>
      <c r="S22" s="485">
        <f t="shared" si="14"/>
        <v>0</v>
      </c>
      <c r="T22" s="482">
        <f t="shared" ref="T22" si="27">SUM(T14,T8,T21)</f>
        <v>60000</v>
      </c>
      <c r="U22" s="482">
        <f t="shared" ref="U22" si="28">SUM(U14,U8,U21)</f>
        <v>20000</v>
      </c>
      <c r="V22" s="482">
        <f t="shared" ref="V22:Y22" si="29">SUM(V14,V8,V21)</f>
        <v>0</v>
      </c>
      <c r="W22" s="482">
        <f t="shared" si="29"/>
        <v>0</v>
      </c>
      <c r="X22" s="482">
        <f t="shared" si="29"/>
        <v>0</v>
      </c>
      <c r="Y22" s="482">
        <f t="shared" si="29"/>
        <v>0</v>
      </c>
      <c r="Z22" s="486">
        <f t="shared" si="15"/>
        <v>80000</v>
      </c>
      <c r="AA22" s="482">
        <f>SUM(AA14,AA8,AA21)</f>
        <v>0</v>
      </c>
      <c r="AB22" s="482">
        <f>SUM(AB14,AB8,AB21)</f>
        <v>250000</v>
      </c>
      <c r="AC22" s="482">
        <f t="shared" si="16"/>
        <v>250000</v>
      </c>
      <c r="AD22" s="482">
        <f t="shared" ref="AD22" si="30">SUM(AD14,AD8,AD21)</f>
        <v>0</v>
      </c>
      <c r="AE22" s="482">
        <f t="shared" ref="AE22" si="31">SUM(AE14,AE8,AE21)</f>
        <v>0</v>
      </c>
      <c r="AF22" s="487">
        <f t="shared" si="17"/>
        <v>0</v>
      </c>
      <c r="AG22" s="240">
        <f t="shared" si="18"/>
        <v>0</v>
      </c>
    </row>
    <row r="23" spans="1:33" s="31" customFormat="1" ht="25.5" x14ac:dyDescent="0.25">
      <c r="A23" s="480" t="s">
        <v>120</v>
      </c>
      <c r="B23" s="226" t="s">
        <v>121</v>
      </c>
      <c r="C23" s="485">
        <f>SUM(C24:C27)</f>
        <v>672000</v>
      </c>
      <c r="D23" s="499">
        <f t="shared" ref="D23:K23" si="32">SUM(D24:D27)</f>
        <v>110000</v>
      </c>
      <c r="E23" s="499">
        <f t="shared" si="32"/>
        <v>150000</v>
      </c>
      <c r="F23" s="499">
        <f t="shared" si="32"/>
        <v>0</v>
      </c>
      <c r="G23" s="499">
        <f t="shared" si="32"/>
        <v>0</v>
      </c>
      <c r="H23" s="499">
        <f t="shared" si="32"/>
        <v>0</v>
      </c>
      <c r="I23" s="499">
        <f t="shared" si="32"/>
        <v>0</v>
      </c>
      <c r="J23" s="499">
        <f t="shared" si="32"/>
        <v>0</v>
      </c>
      <c r="K23" s="499">
        <f t="shared" si="32"/>
        <v>0</v>
      </c>
      <c r="L23" s="498">
        <f>SUM(L24:L27)</f>
        <v>0</v>
      </c>
      <c r="M23" s="483">
        <f t="shared" si="20"/>
        <v>150000</v>
      </c>
      <c r="N23" s="497"/>
      <c r="O23" s="485">
        <f>SUM(O24:O27)</f>
        <v>0</v>
      </c>
      <c r="P23" s="484">
        <f t="shared" si="13"/>
        <v>0</v>
      </c>
      <c r="Q23" s="500">
        <f t="shared" ref="Q23" si="33">SUM(Q24:Q27)</f>
        <v>0</v>
      </c>
      <c r="R23" s="498"/>
      <c r="S23" s="485">
        <f t="shared" si="14"/>
        <v>0</v>
      </c>
      <c r="T23" s="498">
        <f t="shared" ref="T23:Y23" si="34">SUM(T24:T27)</f>
        <v>42000</v>
      </c>
      <c r="U23" s="498">
        <f t="shared" si="34"/>
        <v>105000</v>
      </c>
      <c r="V23" s="498">
        <f t="shared" si="34"/>
        <v>0</v>
      </c>
      <c r="W23" s="498">
        <f t="shared" si="34"/>
        <v>0</v>
      </c>
      <c r="X23" s="498">
        <f t="shared" si="34"/>
        <v>0</v>
      </c>
      <c r="Y23" s="498">
        <f t="shared" si="34"/>
        <v>0</v>
      </c>
      <c r="Z23" s="486">
        <f t="shared" si="15"/>
        <v>147000</v>
      </c>
      <c r="AA23" s="485">
        <f t="shared" ref="AA23:AB23" si="35">SUM(AA24:AA27)</f>
        <v>0</v>
      </c>
      <c r="AB23" s="485">
        <f t="shared" si="35"/>
        <v>250000</v>
      </c>
      <c r="AC23" s="482">
        <f t="shared" si="16"/>
        <v>250000</v>
      </c>
      <c r="AD23" s="500">
        <f>SUM(AD24:AD27)</f>
        <v>15000</v>
      </c>
      <c r="AE23" s="485"/>
      <c r="AF23" s="487">
        <f t="shared" si="17"/>
        <v>15000</v>
      </c>
      <c r="AG23" s="240">
        <f t="shared" si="18"/>
        <v>0</v>
      </c>
    </row>
    <row r="24" spans="1:33" ht="25.5" hidden="1" x14ac:dyDescent="0.25">
      <c r="A24" s="33" t="s">
        <v>250</v>
      </c>
      <c r="B24" s="18"/>
      <c r="C24" s="221">
        <f t="shared" ref="C24:C27" si="36">SUM(D24,N24,AE24,AD24,Q24,O24,L24,AA24,T24,U24,V24,W24,J24,I24,E24,R24,H24,F24,K24,G24,X24,Y24,AB24)</f>
        <v>0</v>
      </c>
      <c r="D24" s="488"/>
      <c r="E24" s="489"/>
      <c r="F24" s="490"/>
      <c r="G24" s="490"/>
      <c r="H24" s="490"/>
      <c r="I24" s="490"/>
      <c r="J24" s="490"/>
      <c r="K24" s="490"/>
      <c r="L24" s="490"/>
      <c r="M24" s="483">
        <f t="shared" si="20"/>
        <v>0</v>
      </c>
      <c r="N24" s="491"/>
      <c r="O24" s="492"/>
      <c r="P24" s="484">
        <f t="shared" si="13"/>
        <v>0</v>
      </c>
      <c r="Q24" s="489"/>
      <c r="R24" s="490"/>
      <c r="S24" s="485">
        <f t="shared" si="14"/>
        <v>0</v>
      </c>
      <c r="T24" s="489"/>
      <c r="U24" s="490"/>
      <c r="V24" s="490"/>
      <c r="W24" s="490"/>
      <c r="X24" s="493"/>
      <c r="Y24" s="493"/>
      <c r="Z24" s="486">
        <f t="shared" si="15"/>
        <v>0</v>
      </c>
      <c r="AA24" s="488"/>
      <c r="AB24" s="494"/>
      <c r="AC24" s="482">
        <f t="shared" si="16"/>
        <v>0</v>
      </c>
      <c r="AD24" s="489"/>
      <c r="AE24" s="492"/>
      <c r="AF24" s="487">
        <f t="shared" si="17"/>
        <v>0</v>
      </c>
      <c r="AG24" s="240">
        <f t="shared" si="18"/>
        <v>0</v>
      </c>
    </row>
    <row r="25" spans="1:33" ht="25.5" hidden="1" x14ac:dyDescent="0.25">
      <c r="A25" s="33" t="s">
        <v>251</v>
      </c>
      <c r="B25" s="18"/>
      <c r="C25" s="221">
        <f t="shared" si="36"/>
        <v>0</v>
      </c>
      <c r="D25" s="488"/>
      <c r="E25" s="489"/>
      <c r="F25" s="490"/>
      <c r="G25" s="490"/>
      <c r="H25" s="490"/>
      <c r="I25" s="490"/>
      <c r="J25" s="490"/>
      <c r="K25" s="490"/>
      <c r="L25" s="490"/>
      <c r="M25" s="483">
        <f t="shared" si="20"/>
        <v>0</v>
      </c>
      <c r="N25" s="491"/>
      <c r="O25" s="492"/>
      <c r="P25" s="484">
        <f t="shared" si="13"/>
        <v>0</v>
      </c>
      <c r="Q25" s="489"/>
      <c r="R25" s="490"/>
      <c r="S25" s="485">
        <f t="shared" si="14"/>
        <v>0</v>
      </c>
      <c r="T25" s="489"/>
      <c r="U25" s="490"/>
      <c r="V25" s="490"/>
      <c r="W25" s="490"/>
      <c r="X25" s="493"/>
      <c r="Y25" s="493"/>
      <c r="Z25" s="486">
        <f t="shared" si="15"/>
        <v>0</v>
      </c>
      <c r="AA25" s="488"/>
      <c r="AB25" s="494"/>
      <c r="AC25" s="482">
        <f t="shared" si="16"/>
        <v>0</v>
      </c>
      <c r="AD25" s="489"/>
      <c r="AE25" s="492"/>
      <c r="AF25" s="487">
        <f t="shared" si="17"/>
        <v>0</v>
      </c>
      <c r="AG25" s="240">
        <f t="shared" si="18"/>
        <v>0</v>
      </c>
    </row>
    <row r="26" spans="1:33" hidden="1" x14ac:dyDescent="0.25">
      <c r="A26" s="33" t="s">
        <v>252</v>
      </c>
      <c r="B26" s="18"/>
      <c r="C26" s="221">
        <f t="shared" si="36"/>
        <v>0</v>
      </c>
      <c r="D26" s="488"/>
      <c r="E26" s="489"/>
      <c r="F26" s="490"/>
      <c r="G26" s="490"/>
      <c r="H26" s="490"/>
      <c r="I26" s="490"/>
      <c r="J26" s="490"/>
      <c r="K26" s="490"/>
      <c r="L26" s="490"/>
      <c r="M26" s="483">
        <f t="shared" si="20"/>
        <v>0</v>
      </c>
      <c r="N26" s="491"/>
      <c r="O26" s="492"/>
      <c r="P26" s="484">
        <f t="shared" si="13"/>
        <v>0</v>
      </c>
      <c r="Q26" s="489"/>
      <c r="R26" s="490"/>
      <c r="S26" s="485">
        <f t="shared" si="14"/>
        <v>0</v>
      </c>
      <c r="T26" s="489"/>
      <c r="U26" s="490"/>
      <c r="V26" s="490"/>
      <c r="W26" s="490"/>
      <c r="X26" s="493"/>
      <c r="Y26" s="493"/>
      <c r="Z26" s="486">
        <f t="shared" si="15"/>
        <v>0</v>
      </c>
      <c r="AA26" s="488"/>
      <c r="AB26" s="494"/>
      <c r="AC26" s="482">
        <f t="shared" si="16"/>
        <v>0</v>
      </c>
      <c r="AD26" s="489"/>
      <c r="AE26" s="492"/>
      <c r="AF26" s="487">
        <f t="shared" si="17"/>
        <v>0</v>
      </c>
      <c r="AG26" s="240">
        <f t="shared" si="18"/>
        <v>0</v>
      </c>
    </row>
    <row r="27" spans="1:33" ht="25.5" hidden="1" x14ac:dyDescent="0.25">
      <c r="A27" s="33" t="s">
        <v>253</v>
      </c>
      <c r="B27" s="18"/>
      <c r="C27" s="221">
        <f t="shared" si="36"/>
        <v>672000</v>
      </c>
      <c r="D27" s="488">
        <v>110000</v>
      </c>
      <c r="E27" s="489">
        <v>150000</v>
      </c>
      <c r="F27" s="490"/>
      <c r="G27" s="490"/>
      <c r="H27" s="490"/>
      <c r="I27" s="490"/>
      <c r="J27" s="490"/>
      <c r="K27" s="490"/>
      <c r="L27" s="490"/>
      <c r="M27" s="483">
        <f t="shared" si="20"/>
        <v>150000</v>
      </c>
      <c r="N27" s="491"/>
      <c r="O27" s="492"/>
      <c r="P27" s="484">
        <f t="shared" si="13"/>
        <v>0</v>
      </c>
      <c r="Q27" s="489"/>
      <c r="R27" s="490"/>
      <c r="S27" s="485">
        <f t="shared" si="14"/>
        <v>0</v>
      </c>
      <c r="T27" s="489">
        <v>42000</v>
      </c>
      <c r="U27" s="490">
        <v>105000</v>
      </c>
      <c r="V27" s="490"/>
      <c r="W27" s="490"/>
      <c r="X27" s="493"/>
      <c r="Y27" s="493"/>
      <c r="Z27" s="486">
        <f t="shared" si="15"/>
        <v>147000</v>
      </c>
      <c r="AA27" s="488"/>
      <c r="AB27" s="494">
        <v>250000</v>
      </c>
      <c r="AC27" s="482">
        <f t="shared" si="16"/>
        <v>250000</v>
      </c>
      <c r="AD27" s="489">
        <v>15000</v>
      </c>
      <c r="AE27" s="492"/>
      <c r="AF27" s="487">
        <f t="shared" si="17"/>
        <v>15000</v>
      </c>
      <c r="AG27" s="240">
        <f t="shared" si="18"/>
        <v>0</v>
      </c>
    </row>
    <row r="28" spans="1:33" s="31" customFormat="1" ht="25.5" x14ac:dyDescent="0.25">
      <c r="A28" s="480" t="s">
        <v>123</v>
      </c>
      <c r="B28" s="226" t="s">
        <v>124</v>
      </c>
      <c r="C28" s="481">
        <f>SUM(C29:C30)</f>
        <v>257000</v>
      </c>
      <c r="D28" s="482">
        <f t="shared" ref="D28:K28" si="37">SUM(D29:D30)</f>
        <v>52000</v>
      </c>
      <c r="E28" s="482">
        <f t="shared" si="37"/>
        <v>30000</v>
      </c>
      <c r="F28" s="482">
        <f t="shared" si="37"/>
        <v>0</v>
      </c>
      <c r="G28" s="482">
        <f t="shared" si="37"/>
        <v>0</v>
      </c>
      <c r="H28" s="482">
        <f t="shared" si="37"/>
        <v>0</v>
      </c>
      <c r="I28" s="482">
        <f t="shared" si="37"/>
        <v>0</v>
      </c>
      <c r="J28" s="482">
        <f t="shared" si="37"/>
        <v>0</v>
      </c>
      <c r="K28" s="482">
        <f t="shared" si="37"/>
        <v>0</v>
      </c>
      <c r="L28" s="496">
        <f>SUM(L29:L30)</f>
        <v>0</v>
      </c>
      <c r="M28" s="483">
        <f t="shared" si="20"/>
        <v>30000</v>
      </c>
      <c r="N28" s="497"/>
      <c r="O28" s="481">
        <f>SUM(O29:O30)</f>
        <v>0</v>
      </c>
      <c r="P28" s="484">
        <f t="shared" si="13"/>
        <v>0</v>
      </c>
      <c r="Q28" s="495">
        <f>SUM(Q29:Q30)</f>
        <v>0</v>
      </c>
      <c r="R28" s="498"/>
      <c r="S28" s="485">
        <f t="shared" si="14"/>
        <v>0</v>
      </c>
      <c r="T28" s="496">
        <f t="shared" ref="T28:Y28" si="38">SUM(T29:T30)</f>
        <v>25000</v>
      </c>
      <c r="U28" s="496">
        <f t="shared" si="38"/>
        <v>60000</v>
      </c>
      <c r="V28" s="496">
        <f t="shared" si="38"/>
        <v>0</v>
      </c>
      <c r="W28" s="496">
        <f t="shared" si="38"/>
        <v>0</v>
      </c>
      <c r="X28" s="496">
        <f t="shared" si="38"/>
        <v>0</v>
      </c>
      <c r="Y28" s="496">
        <f t="shared" si="38"/>
        <v>0</v>
      </c>
      <c r="Z28" s="486">
        <f t="shared" si="15"/>
        <v>85000</v>
      </c>
      <c r="AA28" s="499">
        <f>SUM(AA29:AA30)</f>
        <v>0</v>
      </c>
      <c r="AB28" s="499">
        <f>SUM(AB29:AB30)</f>
        <v>80000</v>
      </c>
      <c r="AC28" s="482">
        <f t="shared" si="16"/>
        <v>80000</v>
      </c>
      <c r="AD28" s="495">
        <f>SUM(AD29:AD30)</f>
        <v>10000</v>
      </c>
      <c r="AE28" s="481">
        <f t="shared" ref="AE28" si="39">SUM(AE29:AE30)</f>
        <v>0</v>
      </c>
      <c r="AF28" s="487">
        <f t="shared" si="17"/>
        <v>10000</v>
      </c>
      <c r="AG28" s="240">
        <f t="shared" si="18"/>
        <v>0</v>
      </c>
    </row>
    <row r="29" spans="1:33" ht="25.5" hidden="1" x14ac:dyDescent="0.25">
      <c r="A29" s="33" t="s">
        <v>254</v>
      </c>
      <c r="B29" s="18"/>
      <c r="C29" s="221">
        <f t="shared" ref="C29:C30" si="40">SUM(D29,N29,AE29,AD29,Q29,O29,L29,AA29,T29,U29,V29,W29,J29,I29,E29,R29,H29,F29,K29,G29,X29,Y29,AB29)</f>
        <v>0</v>
      </c>
      <c r="D29" s="488"/>
      <c r="E29" s="489"/>
      <c r="F29" s="490"/>
      <c r="G29" s="490"/>
      <c r="H29" s="490"/>
      <c r="I29" s="490"/>
      <c r="J29" s="490"/>
      <c r="K29" s="490"/>
      <c r="L29" s="490"/>
      <c r="M29" s="483">
        <f t="shared" si="20"/>
        <v>0</v>
      </c>
      <c r="N29" s="491"/>
      <c r="O29" s="492"/>
      <c r="P29" s="484">
        <f t="shared" si="13"/>
        <v>0</v>
      </c>
      <c r="Q29" s="489"/>
      <c r="R29" s="490"/>
      <c r="S29" s="485">
        <f t="shared" si="14"/>
        <v>0</v>
      </c>
      <c r="T29" s="489"/>
      <c r="U29" s="490"/>
      <c r="V29" s="490"/>
      <c r="W29" s="490"/>
      <c r="X29" s="493"/>
      <c r="Y29" s="493"/>
      <c r="Z29" s="486">
        <f t="shared" si="15"/>
        <v>0</v>
      </c>
      <c r="AA29" s="488"/>
      <c r="AB29" s="494"/>
      <c r="AC29" s="482">
        <f t="shared" si="16"/>
        <v>0</v>
      </c>
      <c r="AD29" s="489"/>
      <c r="AE29" s="492"/>
      <c r="AF29" s="487">
        <f t="shared" si="17"/>
        <v>0</v>
      </c>
      <c r="AG29" s="240">
        <f t="shared" si="18"/>
        <v>0</v>
      </c>
    </row>
    <row r="30" spans="1:33" ht="38.25" hidden="1" x14ac:dyDescent="0.25">
      <c r="A30" s="33" t="s">
        <v>255</v>
      </c>
      <c r="B30" s="18"/>
      <c r="C30" s="221">
        <f t="shared" si="40"/>
        <v>257000</v>
      </c>
      <c r="D30" s="488">
        <v>52000</v>
      </c>
      <c r="E30" s="489">
        <v>30000</v>
      </c>
      <c r="F30" s="490"/>
      <c r="G30" s="490"/>
      <c r="H30" s="490"/>
      <c r="I30" s="490"/>
      <c r="J30" s="490"/>
      <c r="K30" s="490"/>
      <c r="L30" s="490"/>
      <c r="M30" s="483">
        <f t="shared" si="20"/>
        <v>30000</v>
      </c>
      <c r="N30" s="491"/>
      <c r="O30" s="492"/>
      <c r="P30" s="484">
        <f t="shared" si="13"/>
        <v>0</v>
      </c>
      <c r="Q30" s="489"/>
      <c r="R30" s="490"/>
      <c r="S30" s="485">
        <f t="shared" si="14"/>
        <v>0</v>
      </c>
      <c r="T30" s="489">
        <v>25000</v>
      </c>
      <c r="U30" s="490">
        <v>60000</v>
      </c>
      <c r="V30" s="490"/>
      <c r="W30" s="490"/>
      <c r="X30" s="493"/>
      <c r="Y30" s="493"/>
      <c r="Z30" s="486">
        <f t="shared" si="15"/>
        <v>85000</v>
      </c>
      <c r="AA30" s="488"/>
      <c r="AB30" s="494">
        <v>80000</v>
      </c>
      <c r="AC30" s="482">
        <f t="shared" si="16"/>
        <v>80000</v>
      </c>
      <c r="AD30" s="489">
        <v>10000</v>
      </c>
      <c r="AE30" s="492"/>
      <c r="AF30" s="487">
        <f t="shared" si="17"/>
        <v>10000</v>
      </c>
      <c r="AG30" s="240">
        <f t="shared" si="18"/>
        <v>0</v>
      </c>
    </row>
    <row r="31" spans="1:33" s="28" customFormat="1" ht="25.5" x14ac:dyDescent="0.25">
      <c r="A31" s="480" t="s">
        <v>127</v>
      </c>
      <c r="B31" s="226" t="s">
        <v>128</v>
      </c>
      <c r="C31" s="481">
        <f t="shared" ref="C31:AE31" si="41">SUM(C23,C28)</f>
        <v>929000</v>
      </c>
      <c r="D31" s="482">
        <f t="shared" si="41"/>
        <v>162000</v>
      </c>
      <c r="E31" s="495">
        <f>SUM(E23,E28)</f>
        <v>180000</v>
      </c>
      <c r="F31" s="496">
        <f>SUM(F23,F28)</f>
        <v>0</v>
      </c>
      <c r="G31" s="496"/>
      <c r="H31" s="496">
        <f>SUM(H23,H28)</f>
        <v>0</v>
      </c>
      <c r="I31" s="496">
        <f>SUM(I23,I28)</f>
        <v>0</v>
      </c>
      <c r="J31" s="496">
        <f>SUM(J23,J28)</f>
        <v>0</v>
      </c>
      <c r="K31" s="496">
        <f>SUM(K23,K28)</f>
        <v>0</v>
      </c>
      <c r="L31" s="496">
        <f>SUM(L23,L28)</f>
        <v>0</v>
      </c>
      <c r="M31" s="483">
        <f t="shared" si="20"/>
        <v>180000</v>
      </c>
      <c r="N31" s="503">
        <f t="shared" si="41"/>
        <v>0</v>
      </c>
      <c r="O31" s="481">
        <f>SUM(O23,O28)</f>
        <v>0</v>
      </c>
      <c r="P31" s="484">
        <f t="shared" si="13"/>
        <v>0</v>
      </c>
      <c r="Q31" s="495">
        <f>SUM(Q23,Q28)</f>
        <v>0</v>
      </c>
      <c r="R31" s="496">
        <f>SUM(R23,R28)</f>
        <v>0</v>
      </c>
      <c r="S31" s="485">
        <f t="shared" si="14"/>
        <v>0</v>
      </c>
      <c r="T31" s="495">
        <f t="shared" ref="T31:Y31" si="42">SUM(T23,T28)</f>
        <v>67000</v>
      </c>
      <c r="U31" s="496">
        <f t="shared" si="42"/>
        <v>165000</v>
      </c>
      <c r="V31" s="496">
        <f t="shared" si="42"/>
        <v>0</v>
      </c>
      <c r="W31" s="496">
        <f t="shared" si="42"/>
        <v>0</v>
      </c>
      <c r="X31" s="496">
        <f t="shared" si="42"/>
        <v>0</v>
      </c>
      <c r="Y31" s="496">
        <f t="shared" si="42"/>
        <v>0</v>
      </c>
      <c r="Z31" s="486">
        <f t="shared" si="15"/>
        <v>232000</v>
      </c>
      <c r="AA31" s="482">
        <f>SUM(AA23,AA28)</f>
        <v>0</v>
      </c>
      <c r="AB31" s="482">
        <f>SUM(AB23,AB28)</f>
        <v>330000</v>
      </c>
      <c r="AC31" s="482">
        <f t="shared" si="16"/>
        <v>330000</v>
      </c>
      <c r="AD31" s="495">
        <f>SUM(AD23,AD28)</f>
        <v>25000</v>
      </c>
      <c r="AE31" s="481">
        <f t="shared" si="41"/>
        <v>0</v>
      </c>
      <c r="AF31" s="487">
        <f t="shared" si="17"/>
        <v>25000</v>
      </c>
      <c r="AG31" s="240">
        <f t="shared" si="18"/>
        <v>0</v>
      </c>
    </row>
    <row r="32" spans="1:33" s="31" customFormat="1" x14ac:dyDescent="0.25">
      <c r="A32" s="480" t="s">
        <v>130</v>
      </c>
      <c r="B32" s="226" t="s">
        <v>131</v>
      </c>
      <c r="C32" s="481">
        <f t="shared" ref="C32:D32" si="43">SUM(C33:C35)</f>
        <v>6441000</v>
      </c>
      <c r="D32" s="482">
        <f t="shared" si="43"/>
        <v>0</v>
      </c>
      <c r="E32" s="495">
        <f>SUM(E33:E35)</f>
        <v>1450000</v>
      </c>
      <c r="F32" s="495">
        <f t="shared" ref="F32:L32" si="44">SUM(F33:F35)</f>
        <v>0</v>
      </c>
      <c r="G32" s="495">
        <f t="shared" si="44"/>
        <v>3800000</v>
      </c>
      <c r="H32" s="495">
        <f t="shared" si="44"/>
        <v>80000</v>
      </c>
      <c r="I32" s="495">
        <f t="shared" si="44"/>
        <v>0</v>
      </c>
      <c r="J32" s="495">
        <f t="shared" si="44"/>
        <v>80000</v>
      </c>
      <c r="K32" s="495">
        <f t="shared" si="44"/>
        <v>0</v>
      </c>
      <c r="L32" s="495">
        <f t="shared" si="44"/>
        <v>0</v>
      </c>
      <c r="M32" s="483">
        <f t="shared" si="20"/>
        <v>5410000</v>
      </c>
      <c r="N32" s="497">
        <f>SUM(N33:N35)</f>
        <v>0</v>
      </c>
      <c r="O32" s="481">
        <f t="shared" ref="O32:R32" si="45">SUM(O33:O35)</f>
        <v>0</v>
      </c>
      <c r="P32" s="484">
        <f t="shared" si="13"/>
        <v>0</v>
      </c>
      <c r="Q32" s="481">
        <f t="shared" si="45"/>
        <v>0</v>
      </c>
      <c r="R32" s="481">
        <f t="shared" si="45"/>
        <v>0</v>
      </c>
      <c r="S32" s="485">
        <f t="shared" si="14"/>
        <v>0</v>
      </c>
      <c r="T32" s="495">
        <f t="shared" ref="T32:Y32" si="46">SUM(T33:T35)</f>
        <v>0</v>
      </c>
      <c r="U32" s="496">
        <f t="shared" si="46"/>
        <v>324000</v>
      </c>
      <c r="V32" s="496">
        <f t="shared" si="46"/>
        <v>0</v>
      </c>
      <c r="W32" s="496">
        <f t="shared" si="46"/>
        <v>0</v>
      </c>
      <c r="X32" s="496">
        <f t="shared" si="46"/>
        <v>0</v>
      </c>
      <c r="Y32" s="496">
        <f t="shared" si="46"/>
        <v>0</v>
      </c>
      <c r="Z32" s="486">
        <f t="shared" si="15"/>
        <v>324000</v>
      </c>
      <c r="AA32" s="482">
        <f>SUM(AA33:AA35)</f>
        <v>0</v>
      </c>
      <c r="AB32" s="482">
        <f>SUM(AB33:AB35)</f>
        <v>445000</v>
      </c>
      <c r="AC32" s="482">
        <f t="shared" si="16"/>
        <v>445000</v>
      </c>
      <c r="AD32" s="495">
        <f>SUM(AD33:AD35)</f>
        <v>262000</v>
      </c>
      <c r="AE32" s="481">
        <f t="shared" ref="AE32" si="47">SUM(AE33:AE35)</f>
        <v>0</v>
      </c>
      <c r="AF32" s="487">
        <f t="shared" si="17"/>
        <v>262000</v>
      </c>
      <c r="AG32" s="240">
        <f t="shared" si="18"/>
        <v>0</v>
      </c>
    </row>
    <row r="33" spans="1:33" hidden="1" x14ac:dyDescent="0.25">
      <c r="A33" s="33" t="s">
        <v>256</v>
      </c>
      <c r="B33" s="18"/>
      <c r="C33" s="221">
        <f t="shared" ref="C33:C38" si="48">SUM(D33,N33,AE33,AD33,Q33,O33,L33,AA33,T33,U33,V33,W33,J33,I33,E33,R33,H33,F33,K33,G33,X33,Y33,AB33)</f>
        <v>4142000</v>
      </c>
      <c r="D33" s="488"/>
      <c r="E33" s="489"/>
      <c r="F33" s="490"/>
      <c r="G33" s="490">
        <v>3800000</v>
      </c>
      <c r="H33" s="490"/>
      <c r="I33" s="490"/>
      <c r="J33" s="490">
        <v>80000</v>
      </c>
      <c r="K33" s="490"/>
      <c r="L33" s="490"/>
      <c r="M33" s="483">
        <f t="shared" si="20"/>
        <v>3880000</v>
      </c>
      <c r="N33" s="491"/>
      <c r="O33" s="492"/>
      <c r="P33" s="484">
        <f t="shared" si="13"/>
        <v>0</v>
      </c>
      <c r="Q33" s="489"/>
      <c r="R33" s="490"/>
      <c r="S33" s="485">
        <f t="shared" si="14"/>
        <v>0</v>
      </c>
      <c r="T33" s="489"/>
      <c r="U33" s="490"/>
      <c r="V33" s="490"/>
      <c r="W33" s="490"/>
      <c r="X33" s="493"/>
      <c r="Y33" s="493"/>
      <c r="Z33" s="486">
        <f t="shared" si="15"/>
        <v>0</v>
      </c>
      <c r="AA33" s="488"/>
      <c r="AB33" s="494"/>
      <c r="AC33" s="482">
        <f t="shared" si="16"/>
        <v>0</v>
      </c>
      <c r="AD33" s="489">
        <v>262000</v>
      </c>
      <c r="AE33" s="492"/>
      <c r="AF33" s="487">
        <f t="shared" si="17"/>
        <v>262000</v>
      </c>
      <c r="AG33" s="240">
        <f t="shared" si="18"/>
        <v>0</v>
      </c>
    </row>
    <row r="34" spans="1:33" hidden="1" x14ac:dyDescent="0.25">
      <c r="A34" s="33" t="s">
        <v>257</v>
      </c>
      <c r="B34" s="18"/>
      <c r="C34" s="221">
        <f t="shared" si="48"/>
        <v>2219000</v>
      </c>
      <c r="D34" s="488"/>
      <c r="E34" s="489">
        <v>1450000</v>
      </c>
      <c r="F34" s="490"/>
      <c r="G34" s="490"/>
      <c r="H34" s="490"/>
      <c r="I34" s="490"/>
      <c r="J34" s="490"/>
      <c r="K34" s="490"/>
      <c r="L34" s="490"/>
      <c r="M34" s="483">
        <f t="shared" si="20"/>
        <v>1450000</v>
      </c>
      <c r="N34" s="491"/>
      <c r="O34" s="492"/>
      <c r="P34" s="484">
        <f t="shared" si="13"/>
        <v>0</v>
      </c>
      <c r="Q34" s="489"/>
      <c r="R34" s="490"/>
      <c r="S34" s="485">
        <f t="shared" si="14"/>
        <v>0</v>
      </c>
      <c r="T34" s="489"/>
      <c r="U34" s="490">
        <v>324000</v>
      </c>
      <c r="V34" s="490"/>
      <c r="W34" s="490"/>
      <c r="X34" s="493"/>
      <c r="Y34" s="493"/>
      <c r="Z34" s="486">
        <f t="shared" si="15"/>
        <v>324000</v>
      </c>
      <c r="AA34" s="488"/>
      <c r="AB34" s="494">
        <v>445000</v>
      </c>
      <c r="AC34" s="482">
        <f t="shared" si="16"/>
        <v>445000</v>
      </c>
      <c r="AD34" s="489"/>
      <c r="AE34" s="492"/>
      <c r="AF34" s="487">
        <f t="shared" si="17"/>
        <v>0</v>
      </c>
      <c r="AG34" s="240">
        <f t="shared" si="18"/>
        <v>0</v>
      </c>
    </row>
    <row r="35" spans="1:33" hidden="1" x14ac:dyDescent="0.25">
      <c r="A35" s="33" t="s">
        <v>258</v>
      </c>
      <c r="B35" s="18"/>
      <c r="C35" s="221">
        <f t="shared" si="48"/>
        <v>80000</v>
      </c>
      <c r="D35" s="488"/>
      <c r="E35" s="489"/>
      <c r="F35" s="490"/>
      <c r="G35" s="490"/>
      <c r="H35" s="490">
        <v>80000</v>
      </c>
      <c r="I35" s="490"/>
      <c r="J35" s="490"/>
      <c r="K35" s="490"/>
      <c r="L35" s="490"/>
      <c r="M35" s="483">
        <f t="shared" si="20"/>
        <v>80000</v>
      </c>
      <c r="N35" s="491"/>
      <c r="O35" s="492"/>
      <c r="P35" s="484">
        <f t="shared" si="13"/>
        <v>0</v>
      </c>
      <c r="Q35" s="489"/>
      <c r="R35" s="490"/>
      <c r="S35" s="485">
        <f t="shared" si="14"/>
        <v>0</v>
      </c>
      <c r="T35" s="489"/>
      <c r="U35" s="490"/>
      <c r="V35" s="490"/>
      <c r="W35" s="490"/>
      <c r="X35" s="493"/>
      <c r="Y35" s="493"/>
      <c r="Z35" s="486">
        <f t="shared" si="15"/>
        <v>0</v>
      </c>
      <c r="AA35" s="488"/>
      <c r="AB35" s="494"/>
      <c r="AC35" s="482">
        <f t="shared" si="16"/>
        <v>0</v>
      </c>
      <c r="AD35" s="489"/>
      <c r="AE35" s="492"/>
      <c r="AF35" s="487">
        <f t="shared" si="17"/>
        <v>0</v>
      </c>
      <c r="AG35" s="240">
        <f t="shared" si="18"/>
        <v>0</v>
      </c>
    </row>
    <row r="36" spans="1:33" s="31" customFormat="1" x14ac:dyDescent="0.25">
      <c r="A36" s="480" t="s">
        <v>132</v>
      </c>
      <c r="B36" s="226" t="s">
        <v>133</v>
      </c>
      <c r="C36" s="221">
        <f t="shared" si="48"/>
        <v>0</v>
      </c>
      <c r="D36" s="499"/>
      <c r="E36" s="500"/>
      <c r="F36" s="498"/>
      <c r="G36" s="498"/>
      <c r="H36" s="498"/>
      <c r="I36" s="498"/>
      <c r="J36" s="498"/>
      <c r="K36" s="498"/>
      <c r="L36" s="498"/>
      <c r="M36" s="483">
        <f t="shared" si="20"/>
        <v>0</v>
      </c>
      <c r="N36" s="497"/>
      <c r="O36" s="485"/>
      <c r="P36" s="484">
        <f t="shared" si="13"/>
        <v>0</v>
      </c>
      <c r="Q36" s="500"/>
      <c r="R36" s="498"/>
      <c r="S36" s="485">
        <f t="shared" si="14"/>
        <v>0</v>
      </c>
      <c r="T36" s="500"/>
      <c r="U36" s="498">
        <v>0</v>
      </c>
      <c r="V36" s="498"/>
      <c r="W36" s="498"/>
      <c r="X36" s="501"/>
      <c r="Y36" s="501"/>
      <c r="Z36" s="486">
        <f t="shared" si="15"/>
        <v>0</v>
      </c>
      <c r="AA36" s="499"/>
      <c r="AB36" s="502"/>
      <c r="AC36" s="482">
        <f t="shared" si="16"/>
        <v>0</v>
      </c>
      <c r="AD36" s="500"/>
      <c r="AE36" s="485"/>
      <c r="AF36" s="487">
        <f t="shared" si="17"/>
        <v>0</v>
      </c>
      <c r="AG36" s="240">
        <f t="shared" si="18"/>
        <v>0</v>
      </c>
    </row>
    <row r="37" spans="1:33" s="31" customFormat="1" x14ac:dyDescent="0.25">
      <c r="A37" s="480" t="s">
        <v>136</v>
      </c>
      <c r="B37" s="226" t="s">
        <v>137</v>
      </c>
      <c r="C37" s="221">
        <f t="shared" si="48"/>
        <v>0</v>
      </c>
      <c r="D37" s="499"/>
      <c r="E37" s="500"/>
      <c r="F37" s="498"/>
      <c r="G37" s="498"/>
      <c r="H37" s="498"/>
      <c r="I37" s="498"/>
      <c r="J37" s="498"/>
      <c r="K37" s="498"/>
      <c r="L37" s="498"/>
      <c r="M37" s="483">
        <f t="shared" si="20"/>
        <v>0</v>
      </c>
      <c r="N37" s="497"/>
      <c r="O37" s="485"/>
      <c r="P37" s="484">
        <f t="shared" si="13"/>
        <v>0</v>
      </c>
      <c r="Q37" s="500"/>
      <c r="R37" s="498"/>
      <c r="S37" s="485">
        <f t="shared" si="14"/>
        <v>0</v>
      </c>
      <c r="T37" s="500"/>
      <c r="U37" s="498">
        <v>0</v>
      </c>
      <c r="V37" s="498"/>
      <c r="W37" s="498"/>
      <c r="X37" s="501"/>
      <c r="Y37" s="501"/>
      <c r="Z37" s="486">
        <f t="shared" si="15"/>
        <v>0</v>
      </c>
      <c r="AA37" s="499"/>
      <c r="AB37" s="502"/>
      <c r="AC37" s="482">
        <f t="shared" si="16"/>
        <v>0</v>
      </c>
      <c r="AD37" s="500"/>
      <c r="AE37" s="485"/>
      <c r="AF37" s="487">
        <f t="shared" si="17"/>
        <v>0</v>
      </c>
      <c r="AG37" s="240">
        <f t="shared" si="18"/>
        <v>0</v>
      </c>
    </row>
    <row r="38" spans="1:33" s="31" customFormat="1" ht="25.5" x14ac:dyDescent="0.25">
      <c r="A38" s="480" t="s">
        <v>140</v>
      </c>
      <c r="B38" s="226" t="s">
        <v>141</v>
      </c>
      <c r="C38" s="221">
        <f t="shared" si="48"/>
        <v>1480000</v>
      </c>
      <c r="D38" s="499">
        <v>180000</v>
      </c>
      <c r="E38" s="500">
        <v>250000</v>
      </c>
      <c r="F38" s="498">
        <v>500000</v>
      </c>
      <c r="G38" s="498">
        <v>300000</v>
      </c>
      <c r="H38" s="498">
        <v>250000</v>
      </c>
      <c r="I38" s="498"/>
      <c r="J38" s="498"/>
      <c r="K38" s="498"/>
      <c r="L38" s="498"/>
      <c r="M38" s="483">
        <f t="shared" si="20"/>
        <v>1300000</v>
      </c>
      <c r="N38" s="497"/>
      <c r="O38" s="485"/>
      <c r="P38" s="484">
        <f t="shared" si="13"/>
        <v>0</v>
      </c>
      <c r="Q38" s="500"/>
      <c r="R38" s="498"/>
      <c r="S38" s="485">
        <f t="shared" si="14"/>
        <v>0</v>
      </c>
      <c r="T38" s="500"/>
      <c r="U38" s="498"/>
      <c r="V38" s="498"/>
      <c r="W38" s="498"/>
      <c r="X38" s="501"/>
      <c r="Y38" s="501"/>
      <c r="Z38" s="486">
        <f t="shared" si="15"/>
        <v>0</v>
      </c>
      <c r="AA38" s="499"/>
      <c r="AB38" s="502"/>
      <c r="AC38" s="482">
        <f t="shared" si="16"/>
        <v>0</v>
      </c>
      <c r="AD38" s="500"/>
      <c r="AE38" s="485"/>
      <c r="AF38" s="487">
        <f t="shared" si="17"/>
        <v>0</v>
      </c>
      <c r="AG38" s="240">
        <f t="shared" si="18"/>
        <v>0</v>
      </c>
    </row>
    <row r="39" spans="1:33" s="31" customFormat="1" ht="25.5" x14ac:dyDescent="0.25">
      <c r="A39" s="480" t="s">
        <v>143</v>
      </c>
      <c r="B39" s="226" t="s">
        <v>144</v>
      </c>
      <c r="C39" s="481">
        <f>SUM(C40:C42)</f>
        <v>4640900</v>
      </c>
      <c r="D39" s="495">
        <f>SUM(D40:D42)</f>
        <v>239000</v>
      </c>
      <c r="E39" s="495">
        <f t="shared" ref="E39:L39" si="49">SUM(E40:E42)</f>
        <v>130000</v>
      </c>
      <c r="F39" s="495">
        <f t="shared" si="49"/>
        <v>0</v>
      </c>
      <c r="G39" s="495">
        <f t="shared" si="49"/>
        <v>0</v>
      </c>
      <c r="H39" s="495">
        <f t="shared" si="49"/>
        <v>0</v>
      </c>
      <c r="I39" s="495">
        <f t="shared" si="49"/>
        <v>0</v>
      </c>
      <c r="J39" s="495">
        <f t="shared" si="49"/>
        <v>0</v>
      </c>
      <c r="K39" s="495">
        <f t="shared" si="49"/>
        <v>0</v>
      </c>
      <c r="L39" s="495">
        <f t="shared" si="49"/>
        <v>0</v>
      </c>
      <c r="M39" s="483">
        <f t="shared" si="20"/>
        <v>130000</v>
      </c>
      <c r="N39" s="495">
        <f t="shared" ref="N39:O39" si="50">SUM(N40:N42)</f>
        <v>0</v>
      </c>
      <c r="O39" s="495">
        <f t="shared" si="50"/>
        <v>0</v>
      </c>
      <c r="P39" s="484">
        <f t="shared" si="13"/>
        <v>0</v>
      </c>
      <c r="Q39" s="495">
        <f t="shared" ref="Q39:R39" si="51">SUM(Q40:Q42)</f>
        <v>0</v>
      </c>
      <c r="R39" s="495">
        <f t="shared" si="51"/>
        <v>0</v>
      </c>
      <c r="S39" s="485">
        <f t="shared" si="14"/>
        <v>0</v>
      </c>
      <c r="T39" s="495">
        <f>SUM(T40:T42)</f>
        <v>0</v>
      </c>
      <c r="U39" s="495">
        <f>SUM(U40:U42)</f>
        <v>0</v>
      </c>
      <c r="V39" s="495">
        <f>SUM(V40:V42)</f>
        <v>0</v>
      </c>
      <c r="W39" s="495">
        <f>SUM(W40:W42)</f>
        <v>4250000</v>
      </c>
      <c r="X39" s="495">
        <f t="shared" ref="X39:Y39" si="52">SUM(X40:X42)</f>
        <v>21900</v>
      </c>
      <c r="Y39" s="495">
        <f t="shared" si="52"/>
        <v>0</v>
      </c>
      <c r="Z39" s="486">
        <f t="shared" si="15"/>
        <v>4271900</v>
      </c>
      <c r="AA39" s="495">
        <f t="shared" ref="AA39:AB39" si="53">SUM(AA40:AA42)</f>
        <v>0</v>
      </c>
      <c r="AB39" s="495">
        <f t="shared" si="53"/>
        <v>0</v>
      </c>
      <c r="AC39" s="482">
        <f t="shared" si="16"/>
        <v>0</v>
      </c>
      <c r="AD39" s="495">
        <f t="shared" ref="AD39:AE39" si="54">SUM(AD40:AD42)</f>
        <v>0</v>
      </c>
      <c r="AE39" s="495">
        <f t="shared" si="54"/>
        <v>0</v>
      </c>
      <c r="AF39" s="487">
        <f t="shared" si="17"/>
        <v>0</v>
      </c>
      <c r="AG39" s="240">
        <f t="shared" si="18"/>
        <v>0</v>
      </c>
    </row>
    <row r="40" spans="1:33" hidden="1" x14ac:dyDescent="0.25">
      <c r="A40" s="33" t="s">
        <v>259</v>
      </c>
      <c r="B40" s="18"/>
      <c r="C40" s="221">
        <f t="shared" ref="C40:C42" si="55">SUM(D40,N40,AE40,AD40,Q40,O40,L40,AA40,T40,U40,V40,W40,J40,I40,E40,R40,H40,F40,K40,G40,X40,Y40,AB40)</f>
        <v>0</v>
      </c>
      <c r="D40" s="488"/>
      <c r="E40" s="489"/>
      <c r="F40" s="490"/>
      <c r="G40" s="490"/>
      <c r="H40" s="490"/>
      <c r="I40" s="490"/>
      <c r="J40" s="490"/>
      <c r="K40" s="490"/>
      <c r="L40" s="490"/>
      <c r="M40" s="483">
        <f t="shared" si="20"/>
        <v>0</v>
      </c>
      <c r="N40" s="491"/>
      <c r="O40" s="492"/>
      <c r="P40" s="484">
        <f t="shared" si="13"/>
        <v>0</v>
      </c>
      <c r="Q40" s="489"/>
      <c r="R40" s="490"/>
      <c r="S40" s="485">
        <f t="shared" si="14"/>
        <v>0</v>
      </c>
      <c r="T40" s="489"/>
      <c r="U40" s="490"/>
      <c r="V40" s="490"/>
      <c r="W40" s="490"/>
      <c r="X40" s="493"/>
      <c r="Y40" s="493"/>
      <c r="Z40" s="486">
        <f t="shared" si="15"/>
        <v>0</v>
      </c>
      <c r="AA40" s="488"/>
      <c r="AB40" s="494"/>
      <c r="AC40" s="482">
        <f t="shared" si="16"/>
        <v>0</v>
      </c>
      <c r="AD40" s="489"/>
      <c r="AE40" s="492"/>
      <c r="AF40" s="487">
        <f t="shared" si="17"/>
        <v>0</v>
      </c>
      <c r="AG40" s="240">
        <f t="shared" si="18"/>
        <v>0</v>
      </c>
    </row>
    <row r="41" spans="1:33" ht="25.5" hidden="1" x14ac:dyDescent="0.25">
      <c r="A41" s="33" t="s">
        <v>260</v>
      </c>
      <c r="B41" s="18"/>
      <c r="C41" s="221">
        <f t="shared" si="55"/>
        <v>0</v>
      </c>
      <c r="D41" s="488"/>
      <c r="E41" s="489"/>
      <c r="F41" s="490"/>
      <c r="G41" s="490"/>
      <c r="H41" s="490"/>
      <c r="I41" s="490"/>
      <c r="J41" s="490"/>
      <c r="K41" s="490"/>
      <c r="L41" s="490"/>
      <c r="M41" s="483">
        <f t="shared" si="20"/>
        <v>0</v>
      </c>
      <c r="N41" s="491"/>
      <c r="O41" s="492"/>
      <c r="P41" s="484">
        <f t="shared" si="13"/>
        <v>0</v>
      </c>
      <c r="Q41" s="489"/>
      <c r="R41" s="490"/>
      <c r="S41" s="485">
        <f t="shared" si="14"/>
        <v>0</v>
      </c>
      <c r="T41" s="489"/>
      <c r="U41" s="490"/>
      <c r="V41" s="490"/>
      <c r="W41" s="490"/>
      <c r="X41" s="493"/>
      <c r="Y41" s="493"/>
      <c r="Z41" s="486">
        <f t="shared" si="15"/>
        <v>0</v>
      </c>
      <c r="AA41" s="488"/>
      <c r="AB41" s="494"/>
      <c r="AC41" s="482">
        <f t="shared" si="16"/>
        <v>0</v>
      </c>
      <c r="AD41" s="489"/>
      <c r="AE41" s="492"/>
      <c r="AF41" s="487">
        <f t="shared" si="17"/>
        <v>0</v>
      </c>
      <c r="AG41" s="240">
        <f t="shared" si="18"/>
        <v>0</v>
      </c>
    </row>
    <row r="42" spans="1:33" hidden="1" x14ac:dyDescent="0.25">
      <c r="A42" s="33" t="s">
        <v>261</v>
      </c>
      <c r="B42" s="18"/>
      <c r="C42" s="221">
        <f t="shared" si="55"/>
        <v>4640900</v>
      </c>
      <c r="D42" s="488">
        <v>239000</v>
      </c>
      <c r="E42" s="489">
        <v>130000</v>
      </c>
      <c r="F42" s="490"/>
      <c r="G42" s="490"/>
      <c r="H42" s="490"/>
      <c r="I42" s="490"/>
      <c r="J42" s="490"/>
      <c r="K42" s="490"/>
      <c r="L42" s="490"/>
      <c r="M42" s="483">
        <f t="shared" si="20"/>
        <v>130000</v>
      </c>
      <c r="N42" s="491"/>
      <c r="O42" s="492"/>
      <c r="P42" s="484">
        <f t="shared" si="13"/>
        <v>0</v>
      </c>
      <c r="Q42" s="489"/>
      <c r="R42" s="490"/>
      <c r="S42" s="485">
        <f t="shared" si="14"/>
        <v>0</v>
      </c>
      <c r="T42" s="489"/>
      <c r="U42" s="490"/>
      <c r="V42" s="490"/>
      <c r="W42" s="490">
        <v>4250000</v>
      </c>
      <c r="X42" s="493">
        <v>21900</v>
      </c>
      <c r="Y42" s="493"/>
      <c r="Z42" s="486">
        <f t="shared" si="15"/>
        <v>4271900</v>
      </c>
      <c r="AA42" s="488">
        <v>0</v>
      </c>
      <c r="AB42" s="494"/>
      <c r="AC42" s="482">
        <f t="shared" si="16"/>
        <v>0</v>
      </c>
      <c r="AD42" s="489"/>
      <c r="AE42" s="492"/>
      <c r="AF42" s="487">
        <f t="shared" si="17"/>
        <v>0</v>
      </c>
      <c r="AG42" s="240">
        <f t="shared" si="18"/>
        <v>0</v>
      </c>
    </row>
    <row r="43" spans="1:33" s="31" customFormat="1" x14ac:dyDescent="0.25">
      <c r="A43" s="480" t="s">
        <v>145</v>
      </c>
      <c r="B43" s="226" t="s">
        <v>146</v>
      </c>
      <c r="C43" s="481">
        <f t="shared" ref="C43:D43" si="56">SUM(C44:C49)</f>
        <v>1215000</v>
      </c>
      <c r="D43" s="482">
        <f t="shared" si="56"/>
        <v>0</v>
      </c>
      <c r="E43" s="495">
        <f t="shared" ref="E43:G43" si="57">SUM(E44:E49)</f>
        <v>0</v>
      </c>
      <c r="F43" s="495">
        <f t="shared" si="57"/>
        <v>500000</v>
      </c>
      <c r="G43" s="495">
        <f t="shared" si="57"/>
        <v>0</v>
      </c>
      <c r="H43" s="496">
        <f>SUM(H44:H49)</f>
        <v>0</v>
      </c>
      <c r="I43" s="496">
        <f t="shared" ref="I43:L43" si="58">SUM(I44:I49)</f>
        <v>100000</v>
      </c>
      <c r="J43" s="496">
        <f t="shared" si="58"/>
        <v>0</v>
      </c>
      <c r="K43" s="496">
        <f t="shared" si="58"/>
        <v>0</v>
      </c>
      <c r="L43" s="496">
        <f t="shared" si="58"/>
        <v>0</v>
      </c>
      <c r="M43" s="483">
        <f t="shared" si="20"/>
        <v>600000</v>
      </c>
      <c r="N43" s="497"/>
      <c r="O43" s="496">
        <f t="shared" ref="O43" si="59">SUM(O44:O49)</f>
        <v>0</v>
      </c>
      <c r="P43" s="484">
        <f t="shared" si="13"/>
        <v>0</v>
      </c>
      <c r="Q43" s="495">
        <f>SUM(Q44:Q49)</f>
        <v>0</v>
      </c>
      <c r="R43" s="498"/>
      <c r="S43" s="485">
        <f t="shared" si="14"/>
        <v>0</v>
      </c>
      <c r="T43" s="495">
        <f t="shared" ref="T43" si="60">SUM(T44:T49)</f>
        <v>0</v>
      </c>
      <c r="U43" s="496">
        <f>SUM(U44:U49)</f>
        <v>20000</v>
      </c>
      <c r="V43" s="496">
        <f t="shared" ref="V43:Y43" si="61">SUM(V44:V49)</f>
        <v>0</v>
      </c>
      <c r="W43" s="496">
        <f t="shared" si="61"/>
        <v>0</v>
      </c>
      <c r="X43" s="496">
        <f t="shared" si="61"/>
        <v>0</v>
      </c>
      <c r="Y43" s="496">
        <f t="shared" si="61"/>
        <v>0</v>
      </c>
      <c r="Z43" s="486">
        <f t="shared" si="15"/>
        <v>20000</v>
      </c>
      <c r="AA43" s="482">
        <f>SUM(AA44:AA49)</f>
        <v>520000</v>
      </c>
      <c r="AB43" s="482">
        <f>SUM(AB44:AB49)</f>
        <v>75000</v>
      </c>
      <c r="AC43" s="482">
        <f t="shared" si="16"/>
        <v>595000</v>
      </c>
      <c r="AD43" s="495">
        <f>SUM(AD44:AD49)</f>
        <v>0</v>
      </c>
      <c r="AE43" s="481">
        <f t="shared" ref="AE43" si="62">SUM(AE44:AE49)</f>
        <v>0</v>
      </c>
      <c r="AF43" s="487">
        <f t="shared" si="17"/>
        <v>0</v>
      </c>
      <c r="AG43" s="240">
        <f t="shared" si="18"/>
        <v>0</v>
      </c>
    </row>
    <row r="44" spans="1:33" hidden="1" x14ac:dyDescent="0.25">
      <c r="A44" s="33" t="s">
        <v>262</v>
      </c>
      <c r="B44" s="117"/>
      <c r="C44" s="221">
        <f t="shared" ref="C44:C49" si="63">SUM(D44,N44,AE44,AD44,Q44,O44,L44,AA44,T44,U44,V44,W44,J44,I44,E44,R44,H44,F44,K44,G44,X44,Y44,AB44)</f>
        <v>0</v>
      </c>
      <c r="D44" s="488"/>
      <c r="E44" s="489"/>
      <c r="F44" s="490"/>
      <c r="G44" s="490"/>
      <c r="H44" s="490"/>
      <c r="I44" s="490"/>
      <c r="J44" s="490"/>
      <c r="K44" s="490"/>
      <c r="L44" s="490"/>
      <c r="M44" s="483">
        <f t="shared" si="20"/>
        <v>0</v>
      </c>
      <c r="N44" s="491"/>
      <c r="O44" s="492"/>
      <c r="P44" s="484">
        <f t="shared" si="13"/>
        <v>0</v>
      </c>
      <c r="Q44" s="489"/>
      <c r="R44" s="490"/>
      <c r="S44" s="485">
        <f t="shared" si="14"/>
        <v>0</v>
      </c>
      <c r="T44" s="489"/>
      <c r="U44" s="490"/>
      <c r="V44" s="490"/>
      <c r="W44" s="490"/>
      <c r="X44" s="493"/>
      <c r="Y44" s="493"/>
      <c r="Z44" s="486">
        <f t="shared" si="15"/>
        <v>0</v>
      </c>
      <c r="AA44" s="488"/>
      <c r="AB44" s="494"/>
      <c r="AC44" s="482">
        <f t="shared" si="16"/>
        <v>0</v>
      </c>
      <c r="AD44" s="489"/>
      <c r="AE44" s="492"/>
      <c r="AF44" s="487">
        <f t="shared" si="17"/>
        <v>0</v>
      </c>
      <c r="AG44" s="240">
        <f t="shared" si="18"/>
        <v>0</v>
      </c>
    </row>
    <row r="45" spans="1:33" hidden="1" x14ac:dyDescent="0.25">
      <c r="A45" s="33" t="s">
        <v>263</v>
      </c>
      <c r="B45" s="117"/>
      <c r="C45" s="221">
        <f t="shared" si="63"/>
        <v>0</v>
      </c>
      <c r="D45" s="488"/>
      <c r="E45" s="489"/>
      <c r="F45" s="490"/>
      <c r="G45" s="490"/>
      <c r="H45" s="490"/>
      <c r="I45" s="490"/>
      <c r="J45" s="490"/>
      <c r="K45" s="490"/>
      <c r="L45" s="490"/>
      <c r="M45" s="483">
        <f t="shared" si="20"/>
        <v>0</v>
      </c>
      <c r="N45" s="491"/>
      <c r="O45" s="492"/>
      <c r="P45" s="484">
        <f t="shared" si="13"/>
        <v>0</v>
      </c>
      <c r="Q45" s="489"/>
      <c r="R45" s="490"/>
      <c r="S45" s="485">
        <f t="shared" si="14"/>
        <v>0</v>
      </c>
      <c r="T45" s="489"/>
      <c r="U45" s="490"/>
      <c r="V45" s="490"/>
      <c r="W45" s="490"/>
      <c r="X45" s="493"/>
      <c r="Y45" s="493"/>
      <c r="Z45" s="486">
        <f t="shared" si="15"/>
        <v>0</v>
      </c>
      <c r="AA45" s="488"/>
      <c r="AB45" s="494"/>
      <c r="AC45" s="482">
        <f t="shared" si="16"/>
        <v>0</v>
      </c>
      <c r="AD45" s="489"/>
      <c r="AE45" s="492"/>
      <c r="AF45" s="487">
        <f t="shared" si="17"/>
        <v>0</v>
      </c>
      <c r="AG45" s="240">
        <f t="shared" si="18"/>
        <v>0</v>
      </c>
    </row>
    <row r="46" spans="1:33" hidden="1" x14ac:dyDescent="0.25">
      <c r="A46" s="33" t="s">
        <v>264</v>
      </c>
      <c r="B46" s="117"/>
      <c r="C46" s="221">
        <f t="shared" si="63"/>
        <v>0</v>
      </c>
      <c r="D46" s="488"/>
      <c r="E46" s="489"/>
      <c r="F46" s="490"/>
      <c r="G46" s="490"/>
      <c r="H46" s="490"/>
      <c r="I46" s="490"/>
      <c r="J46" s="490"/>
      <c r="K46" s="490"/>
      <c r="L46" s="490"/>
      <c r="M46" s="483">
        <f t="shared" si="20"/>
        <v>0</v>
      </c>
      <c r="N46" s="491"/>
      <c r="O46" s="492"/>
      <c r="P46" s="484">
        <f t="shared" si="13"/>
        <v>0</v>
      </c>
      <c r="Q46" s="489"/>
      <c r="R46" s="490"/>
      <c r="S46" s="485">
        <f t="shared" si="14"/>
        <v>0</v>
      </c>
      <c r="T46" s="489"/>
      <c r="U46" s="490"/>
      <c r="V46" s="490"/>
      <c r="W46" s="490"/>
      <c r="X46" s="493"/>
      <c r="Y46" s="493"/>
      <c r="Z46" s="486">
        <f t="shared" si="15"/>
        <v>0</v>
      </c>
      <c r="AA46" s="488"/>
      <c r="AB46" s="494"/>
      <c r="AC46" s="482">
        <f t="shared" si="16"/>
        <v>0</v>
      </c>
      <c r="AD46" s="489"/>
      <c r="AE46" s="492"/>
      <c r="AF46" s="487">
        <f t="shared" si="17"/>
        <v>0</v>
      </c>
      <c r="AG46" s="240">
        <f t="shared" si="18"/>
        <v>0</v>
      </c>
    </row>
    <row r="47" spans="1:33" hidden="1" x14ac:dyDescent="0.25">
      <c r="A47" s="33" t="s">
        <v>265</v>
      </c>
      <c r="B47" s="117"/>
      <c r="C47" s="221">
        <f t="shared" si="63"/>
        <v>0</v>
      </c>
      <c r="D47" s="488"/>
      <c r="E47" s="489"/>
      <c r="F47" s="490"/>
      <c r="G47" s="490"/>
      <c r="H47" s="490"/>
      <c r="I47" s="490"/>
      <c r="J47" s="490"/>
      <c r="K47" s="490"/>
      <c r="L47" s="490"/>
      <c r="M47" s="483">
        <f t="shared" si="20"/>
        <v>0</v>
      </c>
      <c r="N47" s="491"/>
      <c r="O47" s="492"/>
      <c r="P47" s="484">
        <f t="shared" si="13"/>
        <v>0</v>
      </c>
      <c r="Q47" s="489"/>
      <c r="R47" s="490"/>
      <c r="S47" s="485">
        <f t="shared" si="14"/>
        <v>0</v>
      </c>
      <c r="T47" s="489"/>
      <c r="U47" s="490"/>
      <c r="V47" s="490"/>
      <c r="W47" s="490"/>
      <c r="X47" s="493"/>
      <c r="Y47" s="493"/>
      <c r="Z47" s="486">
        <f t="shared" si="15"/>
        <v>0</v>
      </c>
      <c r="AA47" s="488"/>
      <c r="AB47" s="494"/>
      <c r="AC47" s="482">
        <f t="shared" si="16"/>
        <v>0</v>
      </c>
      <c r="AD47" s="489"/>
      <c r="AE47" s="492"/>
      <c r="AF47" s="487">
        <f t="shared" si="17"/>
        <v>0</v>
      </c>
      <c r="AG47" s="240">
        <f t="shared" si="18"/>
        <v>0</v>
      </c>
    </row>
    <row r="48" spans="1:33" hidden="1" x14ac:dyDescent="0.25">
      <c r="A48" s="33" t="s">
        <v>266</v>
      </c>
      <c r="B48" s="117"/>
      <c r="C48" s="221">
        <f t="shared" si="63"/>
        <v>0</v>
      </c>
      <c r="D48" s="488"/>
      <c r="E48" s="489"/>
      <c r="F48" s="490"/>
      <c r="G48" s="490"/>
      <c r="H48" s="490"/>
      <c r="I48" s="490"/>
      <c r="J48" s="490"/>
      <c r="K48" s="490"/>
      <c r="L48" s="490"/>
      <c r="M48" s="483">
        <f t="shared" si="20"/>
        <v>0</v>
      </c>
      <c r="N48" s="491"/>
      <c r="O48" s="492"/>
      <c r="P48" s="484">
        <f t="shared" si="13"/>
        <v>0</v>
      </c>
      <c r="Q48" s="489"/>
      <c r="R48" s="490"/>
      <c r="S48" s="485">
        <f t="shared" si="14"/>
        <v>0</v>
      </c>
      <c r="T48" s="489"/>
      <c r="U48" s="490"/>
      <c r="V48" s="490"/>
      <c r="W48" s="490"/>
      <c r="X48" s="493"/>
      <c r="Y48" s="493"/>
      <c r="Z48" s="486">
        <f t="shared" si="15"/>
        <v>0</v>
      </c>
      <c r="AA48" s="488"/>
      <c r="AB48" s="494"/>
      <c r="AC48" s="482">
        <f t="shared" si="16"/>
        <v>0</v>
      </c>
      <c r="AD48" s="489"/>
      <c r="AE48" s="492"/>
      <c r="AF48" s="487">
        <f t="shared" si="17"/>
        <v>0</v>
      </c>
      <c r="AG48" s="240">
        <f t="shared" si="18"/>
        <v>0</v>
      </c>
    </row>
    <row r="49" spans="1:33" ht="25.5" hidden="1" x14ac:dyDescent="0.25">
      <c r="A49" s="33" t="s">
        <v>267</v>
      </c>
      <c r="B49" s="117"/>
      <c r="C49" s="221">
        <f t="shared" si="63"/>
        <v>1215000</v>
      </c>
      <c r="D49" s="488"/>
      <c r="E49" s="489"/>
      <c r="F49" s="490">
        <v>500000</v>
      </c>
      <c r="G49" s="490"/>
      <c r="H49" s="490"/>
      <c r="I49" s="490">
        <v>100000</v>
      </c>
      <c r="J49" s="490"/>
      <c r="K49" s="490"/>
      <c r="L49" s="490"/>
      <c r="M49" s="483">
        <f t="shared" si="20"/>
        <v>600000</v>
      </c>
      <c r="N49" s="491"/>
      <c r="O49" s="492"/>
      <c r="P49" s="484">
        <f t="shared" si="13"/>
        <v>0</v>
      </c>
      <c r="Q49" s="489"/>
      <c r="R49" s="490"/>
      <c r="S49" s="485">
        <f t="shared" si="14"/>
        <v>0</v>
      </c>
      <c r="T49" s="489"/>
      <c r="U49" s="490">
        <v>20000</v>
      </c>
      <c r="V49" s="490"/>
      <c r="W49" s="490"/>
      <c r="X49" s="493"/>
      <c r="Y49" s="493"/>
      <c r="Z49" s="486">
        <f t="shared" si="15"/>
        <v>20000</v>
      </c>
      <c r="AA49" s="488">
        <v>520000</v>
      </c>
      <c r="AB49" s="494">
        <v>75000</v>
      </c>
      <c r="AC49" s="482">
        <f t="shared" si="16"/>
        <v>595000</v>
      </c>
      <c r="AD49" s="489"/>
      <c r="AE49" s="492"/>
      <c r="AF49" s="487">
        <f t="shared" si="17"/>
        <v>0</v>
      </c>
      <c r="AG49" s="240">
        <f t="shared" si="18"/>
        <v>0</v>
      </c>
    </row>
    <row r="50" spans="1:33" s="28" customFormat="1" x14ac:dyDescent="0.25">
      <c r="A50" s="480" t="s">
        <v>149</v>
      </c>
      <c r="B50" s="226" t="s">
        <v>150</v>
      </c>
      <c r="C50" s="481">
        <f t="shared" ref="C50:N50" si="64">SUM(C32,C36:C39,C43)</f>
        <v>13776900</v>
      </c>
      <c r="D50" s="482">
        <f t="shared" si="64"/>
        <v>419000</v>
      </c>
      <c r="E50" s="495">
        <f t="shared" ref="E50:L50" si="65">SUM(E32,E36:E39,E43)</f>
        <v>1830000</v>
      </c>
      <c r="F50" s="496">
        <f t="shared" si="65"/>
        <v>1000000</v>
      </c>
      <c r="G50" s="496">
        <f t="shared" si="65"/>
        <v>4100000</v>
      </c>
      <c r="H50" s="496">
        <f t="shared" si="65"/>
        <v>330000</v>
      </c>
      <c r="I50" s="496">
        <f t="shared" si="65"/>
        <v>100000</v>
      </c>
      <c r="J50" s="496">
        <f t="shared" si="65"/>
        <v>80000</v>
      </c>
      <c r="K50" s="496">
        <f t="shared" si="65"/>
        <v>0</v>
      </c>
      <c r="L50" s="496">
        <f t="shared" si="65"/>
        <v>0</v>
      </c>
      <c r="M50" s="483">
        <f t="shared" si="20"/>
        <v>7440000</v>
      </c>
      <c r="N50" s="495">
        <f t="shared" si="64"/>
        <v>0</v>
      </c>
      <c r="O50" s="481">
        <f>SUM(O32,O36:O39,O43)</f>
        <v>0</v>
      </c>
      <c r="P50" s="484">
        <f>SUM(N50:O50)</f>
        <v>0</v>
      </c>
      <c r="Q50" s="495">
        <f>SUM(Q32,Q36:Q39,Q43)</f>
        <v>0</v>
      </c>
      <c r="R50" s="496">
        <f>SUM(R32,R36:R39,R43)</f>
        <v>0</v>
      </c>
      <c r="S50" s="485">
        <f t="shared" si="14"/>
        <v>0</v>
      </c>
      <c r="T50" s="495">
        <f>SUM(T32,T36:T39,T43)</f>
        <v>0</v>
      </c>
      <c r="U50" s="496">
        <f>SUM(U32,U36:U39,U43)</f>
        <v>344000</v>
      </c>
      <c r="V50" s="496">
        <f>SUM(V32,V36:V39,V43)</f>
        <v>0</v>
      </c>
      <c r="W50" s="496">
        <f>SUM(W32,W36:W39,W43)</f>
        <v>4250000</v>
      </c>
      <c r="X50" s="496">
        <f t="shared" ref="X50:Y50" si="66">SUM(X32,X36:X39,X43)</f>
        <v>21900</v>
      </c>
      <c r="Y50" s="496">
        <f t="shared" si="66"/>
        <v>0</v>
      </c>
      <c r="Z50" s="486">
        <f t="shared" si="15"/>
        <v>4615900</v>
      </c>
      <c r="AA50" s="482">
        <f>SUM(AA32,AA36:AA39,AA43)</f>
        <v>520000</v>
      </c>
      <c r="AB50" s="482">
        <f>SUM(AB32,AB36:AB39,AB43)</f>
        <v>520000</v>
      </c>
      <c r="AC50" s="482">
        <f t="shared" si="16"/>
        <v>1040000</v>
      </c>
      <c r="AD50" s="495">
        <f>SUM(AD32,AD36:AD39,AD43)</f>
        <v>262000</v>
      </c>
      <c r="AE50" s="481">
        <f t="shared" ref="AE50" si="67">SUM(AE32,AE36:AE39,AE43)</f>
        <v>0</v>
      </c>
      <c r="AF50" s="487">
        <f t="shared" si="17"/>
        <v>262000</v>
      </c>
      <c r="AG50" s="240">
        <f t="shared" si="18"/>
        <v>0</v>
      </c>
    </row>
    <row r="51" spans="1:33" hidden="1" x14ac:dyDescent="0.25">
      <c r="A51" s="504" t="s">
        <v>153</v>
      </c>
      <c r="B51" s="18" t="s">
        <v>154</v>
      </c>
      <c r="C51" s="221">
        <f t="shared" ref="C51:C52" si="68">SUM(D51,N51,AE51,AD51,Q51,O51,L51,AA51,T51,U51,V51,W51,J51,I51,E51,R51,H51,F51,K51,G51,X51,Y51,AB51)</f>
        <v>446000</v>
      </c>
      <c r="D51" s="488">
        <v>146000</v>
      </c>
      <c r="E51" s="489"/>
      <c r="F51" s="490"/>
      <c r="G51" s="490"/>
      <c r="H51" s="490"/>
      <c r="I51" s="490"/>
      <c r="J51" s="490"/>
      <c r="K51" s="490"/>
      <c r="L51" s="490"/>
      <c r="M51" s="483">
        <f t="shared" si="20"/>
        <v>0</v>
      </c>
      <c r="N51" s="491"/>
      <c r="O51" s="492"/>
      <c r="P51" s="484">
        <f t="shared" si="13"/>
        <v>0</v>
      </c>
      <c r="Q51" s="489">
        <v>300000</v>
      </c>
      <c r="R51" s="490"/>
      <c r="S51" s="485">
        <f t="shared" si="14"/>
        <v>300000</v>
      </c>
      <c r="T51" s="489"/>
      <c r="U51" s="490"/>
      <c r="V51" s="490"/>
      <c r="W51" s="490"/>
      <c r="X51" s="493"/>
      <c r="Y51" s="493"/>
      <c r="Z51" s="486">
        <f t="shared" si="15"/>
        <v>0</v>
      </c>
      <c r="AA51" s="488"/>
      <c r="AB51" s="494"/>
      <c r="AC51" s="482">
        <f t="shared" si="16"/>
        <v>0</v>
      </c>
      <c r="AD51" s="489"/>
      <c r="AE51" s="492"/>
      <c r="AF51" s="487">
        <f t="shared" si="17"/>
        <v>0</v>
      </c>
      <c r="AG51" s="240">
        <f t="shared" si="18"/>
        <v>0</v>
      </c>
    </row>
    <row r="52" spans="1:33" ht="25.5" hidden="1" x14ac:dyDescent="0.25">
      <c r="A52" s="504" t="s">
        <v>157</v>
      </c>
      <c r="B52" s="18" t="s">
        <v>158</v>
      </c>
      <c r="C52" s="221">
        <f t="shared" si="68"/>
        <v>132500</v>
      </c>
      <c r="D52" s="488">
        <v>132500</v>
      </c>
      <c r="E52" s="489"/>
      <c r="F52" s="490"/>
      <c r="G52" s="490"/>
      <c r="H52" s="490"/>
      <c r="I52" s="490"/>
      <c r="J52" s="490"/>
      <c r="K52" s="490"/>
      <c r="L52" s="490"/>
      <c r="M52" s="483">
        <f t="shared" si="20"/>
        <v>0</v>
      </c>
      <c r="N52" s="491"/>
      <c r="O52" s="492"/>
      <c r="P52" s="484">
        <f t="shared" si="13"/>
        <v>0</v>
      </c>
      <c r="Q52" s="489"/>
      <c r="R52" s="490"/>
      <c r="S52" s="485">
        <f t="shared" si="14"/>
        <v>0</v>
      </c>
      <c r="T52" s="489"/>
      <c r="U52" s="490"/>
      <c r="V52" s="490"/>
      <c r="W52" s="490"/>
      <c r="X52" s="493"/>
      <c r="Y52" s="493"/>
      <c r="Z52" s="486">
        <f t="shared" si="15"/>
        <v>0</v>
      </c>
      <c r="AA52" s="488"/>
      <c r="AB52" s="494"/>
      <c r="AC52" s="482">
        <f t="shared" si="16"/>
        <v>0</v>
      </c>
      <c r="AD52" s="489"/>
      <c r="AE52" s="492"/>
      <c r="AF52" s="487">
        <f t="shared" si="17"/>
        <v>0</v>
      </c>
      <c r="AG52" s="240">
        <f t="shared" si="18"/>
        <v>0</v>
      </c>
    </row>
    <row r="53" spans="1:33" s="28" customFormat="1" ht="25.5" x14ac:dyDescent="0.25">
      <c r="A53" s="480" t="s">
        <v>159</v>
      </c>
      <c r="B53" s="226" t="s">
        <v>160</v>
      </c>
      <c r="C53" s="481">
        <f t="shared" ref="C53:AE53" si="69">SUM(C51:C52)</f>
        <v>578500</v>
      </c>
      <c r="D53" s="482">
        <f t="shared" si="69"/>
        <v>278500</v>
      </c>
      <c r="E53" s="495">
        <f>SUM(E51:E52)</f>
        <v>0</v>
      </c>
      <c r="F53" s="496">
        <f>SUM(F51:F52)</f>
        <v>0</v>
      </c>
      <c r="G53" s="496"/>
      <c r="H53" s="496">
        <f>SUM(H51:H52)</f>
        <v>0</v>
      </c>
      <c r="I53" s="496">
        <f>SUM(I51:I52)</f>
        <v>0</v>
      </c>
      <c r="J53" s="496">
        <f>SUM(J51:J52)</f>
        <v>0</v>
      </c>
      <c r="K53" s="496">
        <f>SUM(K51:K52)</f>
        <v>0</v>
      </c>
      <c r="L53" s="496">
        <f>SUM(L51:L52)</f>
        <v>0</v>
      </c>
      <c r="M53" s="483">
        <f t="shared" si="20"/>
        <v>0</v>
      </c>
      <c r="N53" s="505">
        <f t="shared" si="69"/>
        <v>0</v>
      </c>
      <c r="O53" s="481">
        <f>SUM(O51:O52)</f>
        <v>0</v>
      </c>
      <c r="P53" s="484">
        <f t="shared" si="13"/>
        <v>0</v>
      </c>
      <c r="Q53" s="495">
        <f>SUM(Q51:Q52)</f>
        <v>300000</v>
      </c>
      <c r="R53" s="496">
        <f>SUM(R51:R52)</f>
        <v>0</v>
      </c>
      <c r="S53" s="485">
        <f t="shared" si="14"/>
        <v>300000</v>
      </c>
      <c r="T53" s="495">
        <f>SUM(T51:T52)</f>
        <v>0</v>
      </c>
      <c r="U53" s="496">
        <f>SUM(U51:U52)</f>
        <v>0</v>
      </c>
      <c r="V53" s="496">
        <f>SUM(V51:V52)</f>
        <v>0</v>
      </c>
      <c r="W53" s="496">
        <f>SUM(W51:W52)</f>
        <v>0</v>
      </c>
      <c r="X53" s="496">
        <f t="shared" ref="X53:Y53" si="70">SUM(X51:X52)</f>
        <v>0</v>
      </c>
      <c r="Y53" s="496">
        <f t="shared" si="70"/>
        <v>0</v>
      </c>
      <c r="Z53" s="486">
        <f t="shared" si="15"/>
        <v>0</v>
      </c>
      <c r="AA53" s="482">
        <f>SUM(AA51:AA52)</f>
        <v>0</v>
      </c>
      <c r="AB53" s="482">
        <f>SUM(AB51:AB52)</f>
        <v>0</v>
      </c>
      <c r="AC53" s="482">
        <f t="shared" si="16"/>
        <v>0</v>
      </c>
      <c r="AD53" s="495">
        <f>SUM(AD51:AD52)</f>
        <v>0</v>
      </c>
      <c r="AE53" s="481">
        <f t="shared" si="69"/>
        <v>0</v>
      </c>
      <c r="AF53" s="487">
        <f t="shared" si="17"/>
        <v>0</v>
      </c>
      <c r="AG53" s="240">
        <f t="shared" si="18"/>
        <v>0</v>
      </c>
    </row>
    <row r="54" spans="1:33" s="31" customFormat="1" ht="38.25" x14ac:dyDescent="0.25">
      <c r="A54" s="480" t="s">
        <v>162</v>
      </c>
      <c r="B54" s="226" t="s">
        <v>163</v>
      </c>
      <c r="C54" s="481">
        <f>SUM(C55:C56)</f>
        <v>3589941</v>
      </c>
      <c r="D54" s="482">
        <f>SUM(D55:D56)</f>
        <v>440000</v>
      </c>
      <c r="E54" s="482">
        <f t="shared" ref="E54:L54" si="71">SUM(E55:E56)</f>
        <v>1136700</v>
      </c>
      <c r="F54" s="482">
        <f t="shared" si="71"/>
        <v>337500</v>
      </c>
      <c r="G54" s="482">
        <f t="shared" si="71"/>
        <v>956141</v>
      </c>
      <c r="H54" s="482">
        <f t="shared" si="71"/>
        <v>129600</v>
      </c>
      <c r="I54" s="482">
        <f t="shared" si="71"/>
        <v>50000</v>
      </c>
      <c r="J54" s="482">
        <f t="shared" si="71"/>
        <v>20000</v>
      </c>
      <c r="K54" s="482">
        <f t="shared" si="71"/>
        <v>0</v>
      </c>
      <c r="L54" s="482">
        <f t="shared" si="71"/>
        <v>0</v>
      </c>
      <c r="M54" s="483">
        <f t="shared" si="20"/>
        <v>2629941</v>
      </c>
      <c r="N54" s="503">
        <f>SUM(N55:N56)</f>
        <v>0</v>
      </c>
      <c r="O54" s="481">
        <f t="shared" ref="O54:AE54" si="72">SUM(O55:O56)</f>
        <v>0</v>
      </c>
      <c r="P54" s="484">
        <f t="shared" si="13"/>
        <v>0</v>
      </c>
      <c r="Q54" s="495">
        <f>SUM(Q55:Q56)</f>
        <v>0</v>
      </c>
      <c r="R54" s="495">
        <f>SUM(R55:R56)</f>
        <v>0</v>
      </c>
      <c r="S54" s="485">
        <f t="shared" si="14"/>
        <v>0</v>
      </c>
      <c r="T54" s="495">
        <f t="shared" ref="T54:Y54" si="73">SUM(T55:T56)</f>
        <v>20000</v>
      </c>
      <c r="U54" s="496">
        <f t="shared" si="73"/>
        <v>125000</v>
      </c>
      <c r="V54" s="496">
        <f t="shared" si="73"/>
        <v>0</v>
      </c>
      <c r="W54" s="496">
        <f t="shared" si="73"/>
        <v>0</v>
      </c>
      <c r="X54" s="496">
        <f t="shared" si="73"/>
        <v>0</v>
      </c>
      <c r="Y54" s="496">
        <f t="shared" si="73"/>
        <v>0</v>
      </c>
      <c r="Z54" s="486">
        <f t="shared" si="15"/>
        <v>145000</v>
      </c>
      <c r="AA54" s="482">
        <f>SUM(AA55:AA56)</f>
        <v>171000</v>
      </c>
      <c r="AB54" s="482">
        <f>SUM(AB55:AB56)</f>
        <v>130000</v>
      </c>
      <c r="AC54" s="482">
        <f t="shared" si="16"/>
        <v>301000</v>
      </c>
      <c r="AD54" s="495">
        <f>SUM(AD55:AD56)</f>
        <v>74000</v>
      </c>
      <c r="AE54" s="481">
        <f t="shared" si="72"/>
        <v>0</v>
      </c>
      <c r="AF54" s="487">
        <f t="shared" si="17"/>
        <v>74000</v>
      </c>
      <c r="AG54" s="240">
        <f t="shared" si="18"/>
        <v>0</v>
      </c>
    </row>
    <row r="55" spans="1:33" hidden="1" x14ac:dyDescent="0.25">
      <c r="A55" s="33" t="s">
        <v>268</v>
      </c>
      <c r="B55" s="18"/>
      <c r="C55" s="221">
        <f t="shared" ref="C55:C56" si="74">SUM(D55,N55,AE55,AD55,Q55,O55,L55,AA55,T55,U55,V55,W55,J55,I55,E55,R55,H55,F55,K55,G55,X55,Y55,AB55)</f>
        <v>440000</v>
      </c>
      <c r="D55" s="506">
        <v>440000</v>
      </c>
      <c r="E55" s="489"/>
      <c r="F55" s="490"/>
      <c r="G55" s="490"/>
      <c r="H55" s="490"/>
      <c r="I55" s="490"/>
      <c r="J55" s="490"/>
      <c r="K55" s="490"/>
      <c r="L55" s="490"/>
      <c r="M55" s="483">
        <f t="shared" si="20"/>
        <v>0</v>
      </c>
      <c r="N55" s="491"/>
      <c r="O55" s="492"/>
      <c r="P55" s="484">
        <f t="shared" si="13"/>
        <v>0</v>
      </c>
      <c r="Q55" s="489"/>
      <c r="R55" s="490"/>
      <c r="S55" s="485">
        <f t="shared" si="14"/>
        <v>0</v>
      </c>
      <c r="T55" s="489"/>
      <c r="U55" s="490"/>
      <c r="V55" s="490"/>
      <c r="W55" s="490"/>
      <c r="X55" s="493"/>
      <c r="Y55" s="493"/>
      <c r="Z55" s="486">
        <f t="shared" si="15"/>
        <v>0</v>
      </c>
      <c r="AA55" s="488"/>
      <c r="AB55" s="494"/>
      <c r="AC55" s="482">
        <f t="shared" si="16"/>
        <v>0</v>
      </c>
      <c r="AD55" s="489"/>
      <c r="AE55" s="492"/>
      <c r="AF55" s="487">
        <f t="shared" si="17"/>
        <v>0</v>
      </c>
      <c r="AG55" s="240">
        <f t="shared" si="18"/>
        <v>0</v>
      </c>
    </row>
    <row r="56" spans="1:33" hidden="1" x14ac:dyDescent="0.25">
      <c r="A56" s="33" t="s">
        <v>269</v>
      </c>
      <c r="B56" s="18"/>
      <c r="C56" s="221">
        <f t="shared" si="74"/>
        <v>3149941</v>
      </c>
      <c r="D56" s="488"/>
      <c r="E56" s="489">
        <v>1136700</v>
      </c>
      <c r="F56" s="490">
        <v>337500</v>
      </c>
      <c r="G56" s="490">
        <v>956141</v>
      </c>
      <c r="H56" s="490">
        <v>129600</v>
      </c>
      <c r="I56" s="490">
        <v>50000</v>
      </c>
      <c r="J56" s="490">
        <v>20000</v>
      </c>
      <c r="K56" s="490"/>
      <c r="L56" s="490"/>
      <c r="M56" s="483">
        <f t="shared" si="20"/>
        <v>2629941</v>
      </c>
      <c r="N56" s="489"/>
      <c r="O56" s="492"/>
      <c r="P56" s="484">
        <f t="shared" si="13"/>
        <v>0</v>
      </c>
      <c r="Q56" s="489"/>
      <c r="R56" s="490"/>
      <c r="S56" s="485">
        <f t="shared" si="14"/>
        <v>0</v>
      </c>
      <c r="T56" s="489">
        <v>20000</v>
      </c>
      <c r="U56" s="490">
        <v>125000</v>
      </c>
      <c r="V56" s="490"/>
      <c r="W56" s="490"/>
      <c r="X56" s="493"/>
      <c r="Y56" s="493"/>
      <c r="Z56" s="486">
        <f t="shared" si="15"/>
        <v>145000</v>
      </c>
      <c r="AA56" s="488">
        <v>171000</v>
      </c>
      <c r="AB56" s="494">
        <v>130000</v>
      </c>
      <c r="AC56" s="482">
        <f t="shared" si="16"/>
        <v>301000</v>
      </c>
      <c r="AD56" s="489">
        <v>74000</v>
      </c>
      <c r="AE56" s="492"/>
      <c r="AF56" s="487">
        <f t="shared" si="17"/>
        <v>74000</v>
      </c>
      <c r="AG56" s="240">
        <f t="shared" si="18"/>
        <v>0</v>
      </c>
    </row>
    <row r="57" spans="1:33" s="31" customFormat="1" ht="25.5" x14ac:dyDescent="0.25">
      <c r="A57" s="480" t="s">
        <v>165</v>
      </c>
      <c r="B57" s="226" t="s">
        <v>166</v>
      </c>
      <c r="C57" s="481">
        <f>SUM(D57,N57,AE57,AD57,Q57,O57,L57,AA57,T57,U57,V57,W57,J57,I57,E57,R57,H57,F57,K57,G57)</f>
        <v>208000</v>
      </c>
      <c r="D57" s="499">
        <v>208000</v>
      </c>
      <c r="E57" s="500">
        <v>0</v>
      </c>
      <c r="F57" s="498"/>
      <c r="G57" s="498"/>
      <c r="H57" s="498"/>
      <c r="I57" s="498"/>
      <c r="J57" s="498"/>
      <c r="K57" s="498"/>
      <c r="L57" s="498"/>
      <c r="M57" s="483">
        <f t="shared" si="20"/>
        <v>0</v>
      </c>
      <c r="N57" s="497"/>
      <c r="O57" s="485"/>
      <c r="P57" s="484">
        <f t="shared" si="13"/>
        <v>0</v>
      </c>
      <c r="Q57" s="500"/>
      <c r="R57" s="498"/>
      <c r="S57" s="485">
        <f t="shared" si="14"/>
        <v>0</v>
      </c>
      <c r="T57" s="500"/>
      <c r="U57" s="498"/>
      <c r="V57" s="498"/>
      <c r="W57" s="498"/>
      <c r="X57" s="501"/>
      <c r="Y57" s="501"/>
      <c r="Z57" s="486">
        <f t="shared" si="15"/>
        <v>0</v>
      </c>
      <c r="AA57" s="499"/>
      <c r="AB57" s="502"/>
      <c r="AC57" s="482">
        <f t="shared" si="16"/>
        <v>0</v>
      </c>
      <c r="AD57" s="500">
        <v>0</v>
      </c>
      <c r="AE57" s="485"/>
      <c r="AF57" s="487">
        <f t="shared" si="17"/>
        <v>0</v>
      </c>
      <c r="AG57" s="240">
        <f t="shared" si="18"/>
        <v>0</v>
      </c>
    </row>
    <row r="58" spans="1:33" s="31" customFormat="1" x14ac:dyDescent="0.25">
      <c r="A58" s="480" t="s">
        <v>169</v>
      </c>
      <c r="B58" s="226" t="s">
        <v>170</v>
      </c>
      <c r="C58" s="481">
        <f>SUM(D58,N58,AE58,AD58,Q58,O58,L58,AA58,T58,U58,V58,W58,J58,I58,E58,R58,H58,F58,K58,G58)</f>
        <v>0</v>
      </c>
      <c r="D58" s="499"/>
      <c r="E58" s="500">
        <v>0</v>
      </c>
      <c r="F58" s="498"/>
      <c r="G58" s="498"/>
      <c r="H58" s="498"/>
      <c r="I58" s="498"/>
      <c r="J58" s="498"/>
      <c r="K58" s="498"/>
      <c r="L58" s="498"/>
      <c r="M58" s="483">
        <f t="shared" si="20"/>
        <v>0</v>
      </c>
      <c r="N58" s="497"/>
      <c r="O58" s="485"/>
      <c r="P58" s="484">
        <f t="shared" si="13"/>
        <v>0</v>
      </c>
      <c r="Q58" s="500">
        <v>0</v>
      </c>
      <c r="R58" s="498"/>
      <c r="S58" s="485">
        <f t="shared" si="14"/>
        <v>0</v>
      </c>
      <c r="T58" s="500"/>
      <c r="U58" s="498"/>
      <c r="V58" s="498"/>
      <c r="W58" s="498"/>
      <c r="X58" s="501"/>
      <c r="Y58" s="501"/>
      <c r="Z58" s="486">
        <f t="shared" si="15"/>
        <v>0</v>
      </c>
      <c r="AA58" s="499"/>
      <c r="AB58" s="502"/>
      <c r="AC58" s="482">
        <f t="shared" si="16"/>
        <v>0</v>
      </c>
      <c r="AD58" s="500">
        <v>0</v>
      </c>
      <c r="AE58" s="485"/>
      <c r="AF58" s="487">
        <f t="shared" si="17"/>
        <v>0</v>
      </c>
      <c r="AG58" s="240">
        <f t="shared" si="18"/>
        <v>0</v>
      </c>
    </row>
    <row r="59" spans="1:33" s="31" customFormat="1" x14ac:dyDescent="0.25">
      <c r="A59" s="480" t="s">
        <v>173</v>
      </c>
      <c r="B59" s="226" t="s">
        <v>174</v>
      </c>
      <c r="C59" s="481">
        <f t="shared" ref="C59:AE59" si="75">SUM(C60:C62)</f>
        <v>564000</v>
      </c>
      <c r="D59" s="482">
        <f t="shared" si="75"/>
        <v>330000</v>
      </c>
      <c r="E59" s="495">
        <f>SUM(E60:E62)</f>
        <v>200000</v>
      </c>
      <c r="F59" s="496">
        <f>SUM(F60:F62)</f>
        <v>0</v>
      </c>
      <c r="G59" s="496"/>
      <c r="H59" s="496">
        <f>SUM(H60:H62)</f>
        <v>0</v>
      </c>
      <c r="I59" s="496">
        <f>SUM(I60:I62)</f>
        <v>0</v>
      </c>
      <c r="J59" s="496">
        <f>SUM(J60:J62)</f>
        <v>20000</v>
      </c>
      <c r="K59" s="496">
        <f>SUM(K60:K62)</f>
        <v>0</v>
      </c>
      <c r="L59" s="496">
        <f>SUM(L60:L62)</f>
        <v>0</v>
      </c>
      <c r="M59" s="483">
        <f t="shared" si="20"/>
        <v>220000</v>
      </c>
      <c r="N59" s="503">
        <f t="shared" si="75"/>
        <v>0</v>
      </c>
      <c r="O59" s="481">
        <f>SUM(O60:O62)</f>
        <v>0</v>
      </c>
      <c r="P59" s="484">
        <f t="shared" si="13"/>
        <v>0</v>
      </c>
      <c r="Q59" s="495">
        <f>SUM(Q60:Q62)</f>
        <v>0</v>
      </c>
      <c r="R59" s="496">
        <f>SUM(R60:R62)</f>
        <v>0</v>
      </c>
      <c r="S59" s="485">
        <f t="shared" si="14"/>
        <v>0</v>
      </c>
      <c r="T59" s="495">
        <f>SUM(T60:T62)</f>
        <v>0</v>
      </c>
      <c r="U59" s="496">
        <f>SUM(U60:U62)</f>
        <v>0</v>
      </c>
      <c r="V59" s="496">
        <f>SUM(V60:V62)</f>
        <v>0</v>
      </c>
      <c r="W59" s="496">
        <f>SUM(W60:W62)</f>
        <v>0</v>
      </c>
      <c r="X59" s="496">
        <f t="shared" ref="X59:Y59" si="76">SUM(X60:X62)</f>
        <v>0</v>
      </c>
      <c r="Y59" s="496">
        <f t="shared" si="76"/>
        <v>0</v>
      </c>
      <c r="Z59" s="486">
        <f t="shared" si="15"/>
        <v>0</v>
      </c>
      <c r="AA59" s="482">
        <f>SUM(AA60:AA62)</f>
        <v>0</v>
      </c>
      <c r="AB59" s="482">
        <f>SUM(AB60:AB62)</f>
        <v>0</v>
      </c>
      <c r="AC59" s="482">
        <f t="shared" si="16"/>
        <v>0</v>
      </c>
      <c r="AD59" s="495">
        <f>SUM(AD60:AD62)</f>
        <v>14000</v>
      </c>
      <c r="AE59" s="481">
        <f t="shared" si="75"/>
        <v>0</v>
      </c>
      <c r="AF59" s="487">
        <f t="shared" si="17"/>
        <v>14000</v>
      </c>
      <c r="AG59" s="240">
        <f t="shared" si="18"/>
        <v>0</v>
      </c>
    </row>
    <row r="60" spans="1:33" hidden="1" x14ac:dyDescent="0.25">
      <c r="A60" s="33" t="s">
        <v>270</v>
      </c>
      <c r="B60" s="18"/>
      <c r="C60" s="221">
        <f>SUM(D60,N60,AE60,AD60,Q60,O60,L60,AA60,T60,U60,V60,W60,J60,I60,E60,R60,H60,F60,K60,G60)</f>
        <v>20000</v>
      </c>
      <c r="D60" s="488"/>
      <c r="E60" s="489"/>
      <c r="F60" s="490"/>
      <c r="G60" s="490"/>
      <c r="H60" s="490"/>
      <c r="I60" s="490"/>
      <c r="J60" s="490">
        <v>20000</v>
      </c>
      <c r="K60" s="490"/>
      <c r="L60" s="490"/>
      <c r="M60" s="483">
        <f t="shared" si="20"/>
        <v>20000</v>
      </c>
      <c r="N60" s="491"/>
      <c r="O60" s="492"/>
      <c r="P60" s="484">
        <f t="shared" si="13"/>
        <v>0</v>
      </c>
      <c r="Q60" s="489"/>
      <c r="R60" s="490"/>
      <c r="S60" s="485">
        <f t="shared" si="14"/>
        <v>0</v>
      </c>
      <c r="T60" s="489"/>
      <c r="U60" s="490"/>
      <c r="V60" s="490"/>
      <c r="W60" s="490"/>
      <c r="X60" s="493"/>
      <c r="Y60" s="493"/>
      <c r="Z60" s="486">
        <f t="shared" si="15"/>
        <v>0</v>
      </c>
      <c r="AA60" s="488"/>
      <c r="AB60" s="494"/>
      <c r="AC60" s="482">
        <f t="shared" si="16"/>
        <v>0</v>
      </c>
      <c r="AD60" s="489"/>
      <c r="AE60" s="492"/>
      <c r="AF60" s="487">
        <f t="shared" si="17"/>
        <v>0</v>
      </c>
      <c r="AG60" s="240">
        <f t="shared" si="18"/>
        <v>0</v>
      </c>
    </row>
    <row r="61" spans="1:33" hidden="1" x14ac:dyDescent="0.25">
      <c r="A61" s="33" t="s">
        <v>271</v>
      </c>
      <c r="B61" s="18"/>
      <c r="C61" s="221">
        <f>SUM(D61,N61,AE61,AD61,Q61,O61,L61,AA61,T61,U61,V61,W61,J61,I61,E61,R61,H61,F61,K61,G61)</f>
        <v>0</v>
      </c>
      <c r="D61" s="488"/>
      <c r="E61" s="489"/>
      <c r="F61" s="490"/>
      <c r="G61" s="490"/>
      <c r="H61" s="490"/>
      <c r="I61" s="490"/>
      <c r="J61" s="490"/>
      <c r="K61" s="490"/>
      <c r="L61" s="490"/>
      <c r="M61" s="483">
        <f t="shared" si="20"/>
        <v>0</v>
      </c>
      <c r="N61" s="491"/>
      <c r="O61" s="492"/>
      <c r="P61" s="484">
        <f t="shared" si="13"/>
        <v>0</v>
      </c>
      <c r="Q61" s="489"/>
      <c r="R61" s="490"/>
      <c r="S61" s="485">
        <f t="shared" si="14"/>
        <v>0</v>
      </c>
      <c r="T61" s="489"/>
      <c r="U61" s="490"/>
      <c r="V61" s="490"/>
      <c r="W61" s="490"/>
      <c r="X61" s="493"/>
      <c r="Y61" s="493"/>
      <c r="Z61" s="486">
        <f t="shared" si="15"/>
        <v>0</v>
      </c>
      <c r="AA61" s="488"/>
      <c r="AB61" s="494"/>
      <c r="AC61" s="482">
        <f t="shared" si="16"/>
        <v>0</v>
      </c>
      <c r="AD61" s="489"/>
      <c r="AE61" s="492"/>
      <c r="AF61" s="487">
        <f t="shared" si="17"/>
        <v>0</v>
      </c>
      <c r="AG61" s="240">
        <f t="shared" si="18"/>
        <v>0</v>
      </c>
    </row>
    <row r="62" spans="1:33" hidden="1" x14ac:dyDescent="0.25">
      <c r="A62" s="33" t="s">
        <v>173</v>
      </c>
      <c r="B62" s="18"/>
      <c r="C62" s="221">
        <f>SUM(D62,N62,AE62,AD62,Q62,O62,L62,AA62,T62,U62,V62,W62,J62,I62,E62,R62,H62,F62,K62,G62)</f>
        <v>544000</v>
      </c>
      <c r="D62" s="488">
        <v>330000</v>
      </c>
      <c r="E62" s="489">
        <v>200000</v>
      </c>
      <c r="F62" s="490"/>
      <c r="G62" s="490"/>
      <c r="H62" s="490"/>
      <c r="I62" s="490"/>
      <c r="J62" s="490"/>
      <c r="K62" s="490"/>
      <c r="L62" s="490"/>
      <c r="M62" s="483">
        <f t="shared" si="20"/>
        <v>200000</v>
      </c>
      <c r="N62" s="491"/>
      <c r="O62" s="492"/>
      <c r="P62" s="484">
        <f t="shared" si="13"/>
        <v>0</v>
      </c>
      <c r="Q62" s="489"/>
      <c r="R62" s="490"/>
      <c r="S62" s="485">
        <f t="shared" si="14"/>
        <v>0</v>
      </c>
      <c r="T62" s="489"/>
      <c r="U62" s="490"/>
      <c r="V62" s="490"/>
      <c r="W62" s="490"/>
      <c r="X62" s="493"/>
      <c r="Y62" s="493"/>
      <c r="Z62" s="486">
        <f t="shared" si="15"/>
        <v>0</v>
      </c>
      <c r="AA62" s="488"/>
      <c r="AB62" s="494"/>
      <c r="AC62" s="482">
        <f t="shared" si="16"/>
        <v>0</v>
      </c>
      <c r="AD62" s="489">
        <v>14000</v>
      </c>
      <c r="AE62" s="492"/>
      <c r="AF62" s="487">
        <f t="shared" si="17"/>
        <v>14000</v>
      </c>
      <c r="AG62" s="240">
        <f t="shared" si="18"/>
        <v>0</v>
      </c>
    </row>
    <row r="63" spans="1:33" s="28" customFormat="1" ht="25.5" x14ac:dyDescent="0.25">
      <c r="A63" s="480" t="s">
        <v>177</v>
      </c>
      <c r="B63" s="226" t="s">
        <v>178</v>
      </c>
      <c r="C63" s="481">
        <f t="shared" ref="C63:AE63" si="77">SUM(C59,C54,C57,C58)</f>
        <v>4361941</v>
      </c>
      <c r="D63" s="482">
        <f t="shared" si="77"/>
        <v>978000</v>
      </c>
      <c r="E63" s="495">
        <f t="shared" ref="E63:L63" si="78">SUM(E59,E54,E57,E58)</f>
        <v>1336700</v>
      </c>
      <c r="F63" s="496">
        <f t="shared" si="78"/>
        <v>337500</v>
      </c>
      <c r="G63" s="496">
        <f t="shared" si="78"/>
        <v>956141</v>
      </c>
      <c r="H63" s="496">
        <f t="shared" si="78"/>
        <v>129600</v>
      </c>
      <c r="I63" s="496">
        <f t="shared" si="78"/>
        <v>50000</v>
      </c>
      <c r="J63" s="496">
        <f t="shared" si="78"/>
        <v>40000</v>
      </c>
      <c r="K63" s="496">
        <f t="shared" si="78"/>
        <v>0</v>
      </c>
      <c r="L63" s="496">
        <f t="shared" si="78"/>
        <v>0</v>
      </c>
      <c r="M63" s="483">
        <f t="shared" si="20"/>
        <v>2849941</v>
      </c>
      <c r="N63" s="503">
        <f t="shared" si="77"/>
        <v>0</v>
      </c>
      <c r="O63" s="481">
        <f>SUM(O59,O54,O57,O58)</f>
        <v>0</v>
      </c>
      <c r="P63" s="484">
        <f>SUM(N63:O63)</f>
        <v>0</v>
      </c>
      <c r="Q63" s="495">
        <f>SUM(Q59,Q54,Q57,Q58)</f>
        <v>0</v>
      </c>
      <c r="R63" s="496">
        <f>SUM(R59,R54,R57,R58)</f>
        <v>0</v>
      </c>
      <c r="S63" s="485">
        <f>SUM(Q63:R63)</f>
        <v>0</v>
      </c>
      <c r="T63" s="495">
        <f t="shared" ref="T63:Y63" si="79">SUM(T59,T54,T57,T58)</f>
        <v>20000</v>
      </c>
      <c r="U63" s="496">
        <f t="shared" si="79"/>
        <v>125000</v>
      </c>
      <c r="V63" s="496">
        <f t="shared" si="79"/>
        <v>0</v>
      </c>
      <c r="W63" s="496">
        <f t="shared" si="79"/>
        <v>0</v>
      </c>
      <c r="X63" s="496">
        <f t="shared" si="79"/>
        <v>0</v>
      </c>
      <c r="Y63" s="496">
        <f t="shared" si="79"/>
        <v>0</v>
      </c>
      <c r="Z63" s="486">
        <f t="shared" si="15"/>
        <v>145000</v>
      </c>
      <c r="AA63" s="482">
        <f>SUM(AA59,AA54,AA57,AA58)</f>
        <v>171000</v>
      </c>
      <c r="AB63" s="482">
        <f>SUM(AB59,AB54,AB57,AB58)</f>
        <v>130000</v>
      </c>
      <c r="AC63" s="482">
        <f t="shared" si="16"/>
        <v>301000</v>
      </c>
      <c r="AD63" s="495">
        <f>SUM(AD59,AD54,AD57,AD58)</f>
        <v>88000</v>
      </c>
      <c r="AE63" s="481">
        <f t="shared" si="77"/>
        <v>0</v>
      </c>
      <c r="AF63" s="487">
        <f>SUM(AD63:AE63)</f>
        <v>88000</v>
      </c>
      <c r="AG63" s="240">
        <f t="shared" si="18"/>
        <v>0</v>
      </c>
    </row>
    <row r="64" spans="1:33" s="28" customFormat="1" ht="15.75" thickBot="1" x14ac:dyDescent="0.3">
      <c r="A64" s="507" t="s">
        <v>179</v>
      </c>
      <c r="B64" s="508" t="s">
        <v>180</v>
      </c>
      <c r="C64" s="509">
        <f>SUM(C63,C53,C50,C31,C22)</f>
        <v>22746341</v>
      </c>
      <c r="D64" s="510">
        <f>SUM(D63,D53,D50,D31,D22)</f>
        <v>2097500</v>
      </c>
      <c r="E64" s="511">
        <f>SUM(E63,E53,E50,E31,E22)</f>
        <v>5346700</v>
      </c>
      <c r="F64" s="512">
        <f>SUM(F63,F53,F50,F31,F22)</f>
        <v>1587500</v>
      </c>
      <c r="G64" s="512">
        <f>SUM(G63,G53,G50,G31,G22)</f>
        <v>5056141</v>
      </c>
      <c r="H64" s="512">
        <f t="shared" ref="H64" si="80">SUM(H63,H53,H50,H31,H22)</f>
        <v>609600</v>
      </c>
      <c r="I64" s="512">
        <f>SUM(I63,I53,I50,I31,I22)</f>
        <v>260000</v>
      </c>
      <c r="J64" s="512">
        <f>SUM(J63,J53,J50,J31,J22)</f>
        <v>120000</v>
      </c>
      <c r="K64" s="512">
        <f t="shared" ref="K64" si="81">SUM(K63,K53,K50,K31,K22)</f>
        <v>0</v>
      </c>
      <c r="L64" s="512">
        <f>SUM(L63,L53,L50,L31,L22)</f>
        <v>0</v>
      </c>
      <c r="M64" s="483">
        <f t="shared" si="20"/>
        <v>12979941</v>
      </c>
      <c r="N64" s="513">
        <f t="shared" ref="N64:AE64" si="82">SUM(N63,N53,N50,N31,N22)</f>
        <v>0</v>
      </c>
      <c r="O64" s="509">
        <f>SUM(O63,O53,O50,O31,O22)</f>
        <v>0</v>
      </c>
      <c r="P64" s="484">
        <f t="shared" si="13"/>
        <v>0</v>
      </c>
      <c r="Q64" s="511">
        <f>SUM(Q63,Q53,Q50,Q31,Q22)</f>
        <v>300000</v>
      </c>
      <c r="R64" s="512">
        <f>SUM(R63,R53,R50,R31,R22)</f>
        <v>0</v>
      </c>
      <c r="S64" s="514">
        <f t="shared" si="14"/>
        <v>300000</v>
      </c>
      <c r="T64" s="511">
        <f t="shared" ref="T64:Y64" si="83">SUM(T63,T53,T50,T31,T22)</f>
        <v>147000</v>
      </c>
      <c r="U64" s="512">
        <f t="shared" si="83"/>
        <v>654000</v>
      </c>
      <c r="V64" s="512">
        <f t="shared" si="83"/>
        <v>0</v>
      </c>
      <c r="W64" s="512">
        <f t="shared" si="83"/>
        <v>4250000</v>
      </c>
      <c r="X64" s="512">
        <f t="shared" si="83"/>
        <v>21900</v>
      </c>
      <c r="Y64" s="512">
        <f t="shared" si="83"/>
        <v>0</v>
      </c>
      <c r="Z64" s="486">
        <f t="shared" si="15"/>
        <v>5072900</v>
      </c>
      <c r="AA64" s="510">
        <f>SUM(AA63,AA53,AA50,AA31,AA22)</f>
        <v>691000</v>
      </c>
      <c r="AB64" s="510">
        <f>SUM(AB63,AB53,AB50,AB31,AB22)</f>
        <v>1230000</v>
      </c>
      <c r="AC64" s="482">
        <f t="shared" si="16"/>
        <v>1921000</v>
      </c>
      <c r="AD64" s="511">
        <f>SUM(AD63,AD53,AD50,AD31,AD22)</f>
        <v>375000</v>
      </c>
      <c r="AE64" s="509">
        <f t="shared" si="82"/>
        <v>0</v>
      </c>
      <c r="AF64" s="487">
        <f t="shared" si="17"/>
        <v>375000</v>
      </c>
      <c r="AG64" s="240">
        <f t="shared" si="18"/>
        <v>0</v>
      </c>
    </row>
    <row r="65" spans="1:32" x14ac:dyDescent="0.25">
      <c r="A65" s="228"/>
      <c r="B65" s="228"/>
      <c r="C65" s="515">
        <f>SUM(D64,M64,P64,AF64,S64,AC64,Z64)</f>
        <v>22746341</v>
      </c>
      <c r="D65" s="515"/>
      <c r="E65" s="228"/>
      <c r="F65" s="228"/>
      <c r="G65" s="228"/>
      <c r="H65" s="228"/>
      <c r="I65" s="228"/>
      <c r="J65" s="228"/>
      <c r="K65" s="228"/>
      <c r="L65" s="228"/>
      <c r="M65" s="228"/>
      <c r="N65" s="516"/>
      <c r="O65" s="515"/>
      <c r="P65" s="515"/>
      <c r="Q65" s="515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515"/>
      <c r="AE65" s="515"/>
      <c r="AF65" s="515"/>
    </row>
    <row r="66" spans="1:32" x14ac:dyDescent="0.25">
      <c r="C66" s="220">
        <f>C65-C64</f>
        <v>0</v>
      </c>
    </row>
  </sheetData>
  <mergeCells count="20">
    <mergeCell ref="AF5:AF7"/>
    <mergeCell ref="S5:S7"/>
    <mergeCell ref="Z5:Z7"/>
    <mergeCell ref="AD5:AE5"/>
    <mergeCell ref="AA5:AC5"/>
    <mergeCell ref="AA7:AB7"/>
    <mergeCell ref="AC6:AC7"/>
    <mergeCell ref="A1:D1"/>
    <mergeCell ref="D3:K3"/>
    <mergeCell ref="V4:W4"/>
    <mergeCell ref="A5:A7"/>
    <mergeCell ref="B5:B7"/>
    <mergeCell ref="C5:C6"/>
    <mergeCell ref="D5:D6"/>
    <mergeCell ref="N5:O5"/>
    <mergeCell ref="M5:M7"/>
    <mergeCell ref="P5:P7"/>
    <mergeCell ref="Q5:R5"/>
    <mergeCell ref="E5:L5"/>
    <mergeCell ref="T5:Y5"/>
  </mergeCells>
  <pageMargins left="0.7" right="0.7" top="0.75" bottom="0.75" header="0.3" footer="0.3"/>
  <pageSetup paperSize="9" scale="31" orientation="portrait" r:id="rId1"/>
  <colBreaks count="2" manualBreakCount="2">
    <brk id="19" max="1048575" man="1"/>
    <brk id="33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4" sqref="A4"/>
    </sheetView>
  </sheetViews>
  <sheetFormatPr defaultRowHeight="15" x14ac:dyDescent="0.25"/>
  <cols>
    <col min="1" max="1" width="12.42578125" customWidth="1"/>
    <col min="2" max="2" width="34.7109375" customWidth="1"/>
    <col min="3" max="3" width="30.5703125" customWidth="1"/>
  </cols>
  <sheetData>
    <row r="1" spans="1:7" ht="15" customHeight="1" x14ac:dyDescent="0.25">
      <c r="A1" s="726" t="s">
        <v>738</v>
      </c>
      <c r="B1" s="726"/>
      <c r="C1" s="726"/>
      <c r="D1" s="726"/>
      <c r="E1" s="726"/>
      <c r="F1" s="726"/>
      <c r="G1" s="726"/>
    </row>
    <row r="3" spans="1:7" ht="27.75" customHeight="1" x14ac:dyDescent="0.25">
      <c r="A3" s="853" t="s">
        <v>836</v>
      </c>
      <c r="B3" s="853"/>
      <c r="C3" s="853"/>
      <c r="D3" s="853"/>
    </row>
    <row r="4" spans="1:7" s="135" customFormat="1" ht="27.75" customHeight="1" x14ac:dyDescent="0.25">
      <c r="A4" s="269"/>
      <c r="B4" s="269"/>
      <c r="C4" s="269"/>
      <c r="D4" s="269"/>
    </row>
    <row r="5" spans="1:7" ht="15.75" thickBot="1" x14ac:dyDescent="0.3">
      <c r="A5" s="204"/>
      <c r="B5" s="204"/>
      <c r="C5" s="270" t="s">
        <v>362</v>
      </c>
    </row>
    <row r="6" spans="1:7" x14ac:dyDescent="0.25">
      <c r="A6" s="251" t="s">
        <v>274</v>
      </c>
      <c r="B6" s="252" t="s">
        <v>599</v>
      </c>
      <c r="C6" s="253" t="s">
        <v>736</v>
      </c>
    </row>
    <row r="7" spans="1:7" ht="39" customHeight="1" x14ac:dyDescent="0.25">
      <c r="A7" s="254" t="s">
        <v>600</v>
      </c>
      <c r="B7" s="255" t="s">
        <v>601</v>
      </c>
      <c r="C7" s="256">
        <f>SUM(C8:C10)</f>
        <v>4250000</v>
      </c>
    </row>
    <row r="8" spans="1:7" ht="49.5" customHeight="1" x14ac:dyDescent="0.25">
      <c r="A8" s="257" t="s">
        <v>484</v>
      </c>
      <c r="B8" s="258" t="s">
        <v>696</v>
      </c>
      <c r="C8" s="259">
        <v>2650000</v>
      </c>
    </row>
    <row r="9" spans="1:7" ht="44.25" customHeight="1" x14ac:dyDescent="0.25">
      <c r="A9" s="260" t="s">
        <v>488</v>
      </c>
      <c r="B9" s="261" t="s">
        <v>808</v>
      </c>
      <c r="C9" s="215">
        <v>1400000</v>
      </c>
    </row>
    <row r="10" spans="1:7" ht="58.5" customHeight="1" x14ac:dyDescent="0.25">
      <c r="A10" s="257" t="s">
        <v>492</v>
      </c>
      <c r="B10" s="261" t="s">
        <v>697</v>
      </c>
      <c r="C10" s="215">
        <v>200000</v>
      </c>
    </row>
    <row r="11" spans="1:7" ht="15.75" thickBot="1" x14ac:dyDescent="0.3">
      <c r="A11" s="851" t="s">
        <v>603</v>
      </c>
      <c r="B11" s="852"/>
      <c r="C11" s="268">
        <f>C7</f>
        <v>4250000</v>
      </c>
    </row>
  </sheetData>
  <mergeCells count="3">
    <mergeCell ref="A1:G1"/>
    <mergeCell ref="A11:B11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6" sqref="A6"/>
    </sheetView>
  </sheetViews>
  <sheetFormatPr defaultRowHeight="15" x14ac:dyDescent="0.25"/>
  <cols>
    <col min="2" max="2" width="42.140625" customWidth="1"/>
    <col min="3" max="3" width="26.5703125" customWidth="1"/>
  </cols>
  <sheetData>
    <row r="1" spans="1:7" x14ac:dyDescent="0.25">
      <c r="A1" s="726" t="s">
        <v>765</v>
      </c>
      <c r="B1" s="726"/>
      <c r="C1" s="726"/>
      <c r="D1" s="726"/>
      <c r="E1" s="726"/>
      <c r="F1" s="726"/>
      <c r="G1" s="726"/>
    </row>
    <row r="4" spans="1:7" x14ac:dyDescent="0.25">
      <c r="A4" s="135"/>
      <c r="B4" s="135"/>
      <c r="C4" s="135"/>
    </row>
    <row r="5" spans="1:7" x14ac:dyDescent="0.25">
      <c r="A5" s="854" t="s">
        <v>835</v>
      </c>
      <c r="B5" s="854"/>
      <c r="C5" s="854"/>
    </row>
    <row r="6" spans="1:7" x14ac:dyDescent="0.25">
      <c r="A6" s="135"/>
      <c r="B6" s="135"/>
      <c r="C6" s="135"/>
    </row>
    <row r="7" spans="1:7" ht="15.75" thickBot="1" x14ac:dyDescent="0.3">
      <c r="A7" s="135"/>
      <c r="B7" s="135"/>
      <c r="C7" s="135" t="s">
        <v>362</v>
      </c>
    </row>
    <row r="8" spans="1:7" x14ac:dyDescent="0.25">
      <c r="A8" s="271" t="s">
        <v>274</v>
      </c>
      <c r="B8" s="272" t="s">
        <v>422</v>
      </c>
      <c r="C8" s="273" t="s">
        <v>426</v>
      </c>
    </row>
    <row r="9" spans="1:7" x14ac:dyDescent="0.25">
      <c r="A9" s="274" t="s">
        <v>507</v>
      </c>
      <c r="B9" s="275" t="s">
        <v>606</v>
      </c>
      <c r="C9" s="276">
        <f>C10+C13</f>
        <v>1382000</v>
      </c>
    </row>
    <row r="10" spans="1:7" ht="54" customHeight="1" x14ac:dyDescent="0.25">
      <c r="A10" s="278" t="s">
        <v>809</v>
      </c>
      <c r="B10" s="38" t="s">
        <v>698</v>
      </c>
      <c r="C10" s="277">
        <f>SUM(C11:C12)</f>
        <v>700000</v>
      </c>
    </row>
    <row r="11" spans="1:7" s="336" customFormat="1" ht="28.5" customHeight="1" x14ac:dyDescent="0.25">
      <c r="A11" s="278"/>
      <c r="B11" s="38" t="s">
        <v>700</v>
      </c>
      <c r="C11" s="277">
        <v>525000</v>
      </c>
    </row>
    <row r="12" spans="1:7" s="402" customFormat="1" ht="28.5" customHeight="1" x14ac:dyDescent="0.25">
      <c r="A12" s="278"/>
      <c r="B12" s="38" t="s">
        <v>805</v>
      </c>
      <c r="C12" s="277">
        <v>175000</v>
      </c>
    </row>
    <row r="13" spans="1:7" ht="30" x14ac:dyDescent="0.25">
      <c r="A13" s="278" t="s">
        <v>810</v>
      </c>
      <c r="B13" s="38" t="s">
        <v>699</v>
      </c>
      <c r="C13" s="277">
        <f>C14</f>
        <v>682000</v>
      </c>
    </row>
    <row r="14" spans="1:7" x14ac:dyDescent="0.25">
      <c r="A14" s="279"/>
      <c r="B14" s="280" t="s">
        <v>807</v>
      </c>
      <c r="C14" s="281">
        <f>SUM(C15:C15)</f>
        <v>682000</v>
      </c>
    </row>
    <row r="15" spans="1:7" x14ac:dyDescent="0.25">
      <c r="A15" s="278"/>
      <c r="B15" s="97" t="s">
        <v>806</v>
      </c>
      <c r="C15" s="277">
        <v>682000</v>
      </c>
    </row>
    <row r="16" spans="1:7" s="402" customFormat="1" ht="26.25" x14ac:dyDescent="0.25">
      <c r="A16" s="265"/>
      <c r="B16" s="266" t="s">
        <v>739</v>
      </c>
      <c r="C16" s="267">
        <f>C17</f>
        <v>0</v>
      </c>
    </row>
    <row r="17" spans="1:3" s="402" customFormat="1" x14ac:dyDescent="0.25">
      <c r="A17" s="262">
        <v>1</v>
      </c>
      <c r="B17" s="263" t="s">
        <v>602</v>
      </c>
      <c r="C17" s="264"/>
    </row>
    <row r="18" spans="1:3" ht="15.75" thickBot="1" x14ac:dyDescent="0.3">
      <c r="A18" s="855" t="s">
        <v>374</v>
      </c>
      <c r="B18" s="856"/>
      <c r="C18" s="282">
        <f>C9+C14</f>
        <v>2064000</v>
      </c>
    </row>
  </sheetData>
  <mergeCells count="3">
    <mergeCell ref="A1:G1"/>
    <mergeCell ref="A5:C5"/>
    <mergeCell ref="A18:B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view="pageBreakPreview" zoomScale="113" zoomScaleNormal="100" zoomScaleSheetLayoutView="100" workbookViewId="0">
      <selection activeCell="A5" sqref="A5"/>
    </sheetView>
  </sheetViews>
  <sheetFormatPr defaultRowHeight="15" x14ac:dyDescent="0.25"/>
  <cols>
    <col min="1" max="1" width="36.5703125" style="228" customWidth="1"/>
    <col min="2" max="2" width="18.140625" style="228" customWidth="1"/>
    <col min="3" max="3" width="29" style="228" customWidth="1"/>
    <col min="4" max="4" width="30.140625" customWidth="1"/>
    <col min="5" max="5" width="32.28515625" customWidth="1"/>
    <col min="6" max="6" width="28.42578125" customWidth="1"/>
    <col min="7" max="7" width="14.5703125" customWidth="1"/>
    <col min="8" max="8" width="23.7109375" customWidth="1"/>
  </cols>
  <sheetData>
    <row r="1" spans="1:7" s="135" customFormat="1" x14ac:dyDescent="0.25">
      <c r="A1" s="726" t="s">
        <v>740</v>
      </c>
      <c r="B1" s="726"/>
      <c r="C1" s="726"/>
      <c r="D1" s="726"/>
    </row>
    <row r="2" spans="1:7" s="135" customFormat="1" x14ac:dyDescent="0.25">
      <c r="A2" s="574"/>
      <c r="B2" s="574"/>
      <c r="C2" s="228"/>
    </row>
    <row r="3" spans="1:7" s="135" customFormat="1" ht="15" customHeight="1" x14ac:dyDescent="0.25">
      <c r="A3" s="772" t="s">
        <v>834</v>
      </c>
      <c r="B3" s="772"/>
      <c r="C3" s="772"/>
      <c r="D3" s="772"/>
      <c r="E3" s="772"/>
      <c r="F3" s="772"/>
      <c r="G3" s="772"/>
    </row>
    <row r="4" spans="1:7" s="135" customFormat="1" x14ac:dyDescent="0.25">
      <c r="A4" s="772"/>
      <c r="B4" s="772"/>
      <c r="C4" s="772"/>
      <c r="D4" s="772"/>
      <c r="E4" s="772"/>
      <c r="F4" s="772"/>
      <c r="G4" s="772"/>
    </row>
    <row r="5" spans="1:7" s="135" customFormat="1" ht="15.75" thickBot="1" x14ac:dyDescent="0.3">
      <c r="A5" s="228"/>
      <c r="B5" s="228"/>
      <c r="C5" s="228"/>
    </row>
    <row r="6" spans="1:7" ht="36" x14ac:dyDescent="0.25">
      <c r="A6" s="575" t="s">
        <v>69</v>
      </c>
      <c r="B6" s="576" t="s">
        <v>68</v>
      </c>
      <c r="C6" s="577" t="s">
        <v>741</v>
      </c>
    </row>
    <row r="7" spans="1:7" ht="68.25" customHeight="1" x14ac:dyDescent="0.25">
      <c r="A7" s="480" t="s">
        <v>192</v>
      </c>
      <c r="B7" s="226" t="s">
        <v>193</v>
      </c>
      <c r="C7" s="227">
        <f>SUM(C8:C8)</f>
        <v>0</v>
      </c>
    </row>
    <row r="8" spans="1:7" s="135" customFormat="1" ht="22.5" customHeight="1" x14ac:dyDescent="0.25">
      <c r="A8" s="33"/>
      <c r="B8" s="18"/>
      <c r="C8" s="564"/>
    </row>
    <row r="9" spans="1:7" ht="62.25" customHeight="1" x14ac:dyDescent="0.25">
      <c r="A9" s="480" t="s">
        <v>194</v>
      </c>
      <c r="B9" s="226" t="s">
        <v>195</v>
      </c>
      <c r="C9" s="227">
        <f>SUM(C10:C10)</f>
        <v>0</v>
      </c>
    </row>
    <row r="10" spans="1:7" s="135" customFormat="1" ht="19.5" customHeight="1" x14ac:dyDescent="0.25">
      <c r="A10" s="33"/>
      <c r="B10" s="18"/>
      <c r="C10" s="564">
        <v>0</v>
      </c>
    </row>
    <row r="11" spans="1:7" ht="83.25" customHeight="1" x14ac:dyDescent="0.25">
      <c r="A11" s="480" t="s">
        <v>196</v>
      </c>
      <c r="B11" s="226" t="s">
        <v>197</v>
      </c>
      <c r="C11" s="227">
        <f t="shared" ref="C11" si="0">SUM(C12)</f>
        <v>0</v>
      </c>
    </row>
    <row r="12" spans="1:7" s="135" customFormat="1" ht="17.25" customHeight="1" x14ac:dyDescent="0.25">
      <c r="A12" s="33"/>
      <c r="B12" s="18"/>
      <c r="C12" s="564"/>
    </row>
    <row r="13" spans="1:7" s="135" customFormat="1" ht="19.5" customHeight="1" x14ac:dyDescent="0.25">
      <c r="A13" s="33"/>
      <c r="B13" s="18"/>
      <c r="C13" s="564"/>
    </row>
    <row r="14" spans="1:7" ht="25.5" x14ac:dyDescent="0.25">
      <c r="A14" s="480" t="s">
        <v>198</v>
      </c>
      <c r="B14" s="226" t="s">
        <v>199</v>
      </c>
      <c r="C14" s="227">
        <f>SUM(C15:C18)</f>
        <v>0</v>
      </c>
    </row>
    <row r="15" spans="1:7" s="135" customFormat="1" x14ac:dyDescent="0.25">
      <c r="A15" s="33"/>
      <c r="B15" s="18"/>
      <c r="C15" s="564"/>
    </row>
    <row r="16" spans="1:7" s="336" customFormat="1" x14ac:dyDescent="0.25">
      <c r="A16" s="33"/>
      <c r="B16" s="18"/>
      <c r="C16" s="564"/>
    </row>
    <row r="17" spans="1:4" s="336" customFormat="1" x14ac:dyDescent="0.25">
      <c r="A17" s="33"/>
      <c r="B17" s="18"/>
      <c r="C17" s="564"/>
    </row>
    <row r="18" spans="1:4" s="336" customFormat="1" x14ac:dyDescent="0.25">
      <c r="A18" s="33"/>
      <c r="B18" s="18"/>
      <c r="C18" s="564"/>
    </row>
    <row r="19" spans="1:4" ht="39" customHeight="1" x14ac:dyDescent="0.25">
      <c r="A19" s="480" t="s">
        <v>200</v>
      </c>
      <c r="B19" s="226" t="s">
        <v>201</v>
      </c>
      <c r="C19" s="227">
        <f>SUM(C20:C22)</f>
        <v>0</v>
      </c>
    </row>
    <row r="20" spans="1:4" s="135" customFormat="1" ht="25.5" customHeight="1" x14ac:dyDescent="0.25">
      <c r="A20" s="33"/>
      <c r="B20" s="226"/>
      <c r="C20" s="227">
        <f>C8*0.27</f>
        <v>0</v>
      </c>
      <c r="D20" s="228"/>
    </row>
    <row r="21" spans="1:4" s="135" customFormat="1" ht="25.5" customHeight="1" x14ac:dyDescent="0.25">
      <c r="A21" s="33"/>
      <c r="B21" s="226"/>
      <c r="C21" s="227"/>
    </row>
    <row r="22" spans="1:4" s="135" customFormat="1" ht="25.5" customHeight="1" x14ac:dyDescent="0.25">
      <c r="A22" s="33"/>
      <c r="B22" s="226"/>
      <c r="C22" s="227"/>
    </row>
    <row r="23" spans="1:4" s="336" customFormat="1" ht="25.5" customHeight="1" x14ac:dyDescent="0.25">
      <c r="A23" s="504"/>
      <c r="B23" s="226" t="s">
        <v>337</v>
      </c>
      <c r="C23" s="227"/>
    </row>
    <row r="24" spans="1:4" ht="29.25" customHeight="1" x14ac:dyDescent="0.35">
      <c r="A24" s="578" t="s">
        <v>202</v>
      </c>
      <c r="B24" s="579" t="s">
        <v>203</v>
      </c>
      <c r="C24" s="580">
        <f>SUM(C19,C14,C11,C9,C7,C23)</f>
        <v>0</v>
      </c>
    </row>
    <row r="25" spans="1:4" x14ac:dyDescent="0.25">
      <c r="A25" s="480" t="s">
        <v>204</v>
      </c>
      <c r="B25" s="226" t="s">
        <v>205</v>
      </c>
      <c r="C25" s="227">
        <f>SUM(C26:C29)</f>
        <v>0</v>
      </c>
    </row>
    <row r="26" spans="1:4" s="135" customFormat="1" x14ac:dyDescent="0.25">
      <c r="A26" s="33"/>
      <c r="B26" s="18"/>
      <c r="C26" s="564"/>
    </row>
    <row r="27" spans="1:4" s="336" customFormat="1" x14ac:dyDescent="0.25">
      <c r="A27" s="33"/>
      <c r="B27" s="18"/>
      <c r="C27" s="564"/>
    </row>
    <row r="28" spans="1:4" s="336" customFormat="1" x14ac:dyDescent="0.25">
      <c r="A28" s="33"/>
      <c r="B28" s="18"/>
      <c r="C28" s="564"/>
    </row>
    <row r="29" spans="1:4" s="336" customFormat="1" x14ac:dyDescent="0.25">
      <c r="A29" s="33"/>
      <c r="B29" s="18"/>
      <c r="C29" s="564"/>
    </row>
    <row r="30" spans="1:4" s="135" customFormat="1" x14ac:dyDescent="0.25">
      <c r="A30" s="581" t="s">
        <v>340</v>
      </c>
      <c r="B30" s="226" t="s">
        <v>341</v>
      </c>
      <c r="C30" s="582">
        <f>SUM(C31:C31)</f>
        <v>0</v>
      </c>
    </row>
    <row r="31" spans="1:4" s="135" customFormat="1" x14ac:dyDescent="0.25">
      <c r="A31" s="33"/>
      <c r="B31" s="18"/>
      <c r="C31" s="564"/>
    </row>
    <row r="32" spans="1:4" ht="25.5" x14ac:dyDescent="0.25">
      <c r="A32" s="480" t="s">
        <v>206</v>
      </c>
      <c r="B32" s="226" t="s">
        <v>207</v>
      </c>
      <c r="C32" s="227">
        <f>SUM(C25,C30)*0.27</f>
        <v>0</v>
      </c>
    </row>
    <row r="33" spans="1:3" ht="15.75" thickBot="1" x14ac:dyDescent="0.3">
      <c r="A33" s="507" t="s">
        <v>208</v>
      </c>
      <c r="B33" s="583" t="s">
        <v>209</v>
      </c>
      <c r="C33" s="584">
        <f>SUM(C25,C32,C30)</f>
        <v>0</v>
      </c>
    </row>
  </sheetData>
  <mergeCells count="2">
    <mergeCell ref="A1:D1"/>
    <mergeCell ref="A3:G4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rowBreaks count="1" manualBreakCount="1">
    <brk id="3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D20"/>
  <sheetViews>
    <sheetView view="pageBreakPreview" zoomScale="90" zoomScaleNormal="100" zoomScaleSheetLayoutView="90" workbookViewId="0">
      <selection activeCell="A4" sqref="A4"/>
    </sheetView>
  </sheetViews>
  <sheetFormatPr defaultRowHeight="15" x14ac:dyDescent="0.25"/>
  <cols>
    <col min="1" max="1" width="39.85546875" customWidth="1"/>
    <col min="2" max="2" width="11.85546875" style="336" customWidth="1"/>
    <col min="3" max="3" width="19" customWidth="1"/>
    <col min="4" max="4" width="23.85546875" customWidth="1"/>
  </cols>
  <sheetData>
    <row r="1" spans="1:4" x14ac:dyDescent="0.25">
      <c r="A1" s="857" t="s">
        <v>766</v>
      </c>
      <c r="B1" s="857"/>
      <c r="C1" s="857"/>
      <c r="D1" s="857"/>
    </row>
    <row r="2" spans="1:4" s="135" customFormat="1" x14ac:dyDescent="0.25">
      <c r="B2" s="336"/>
      <c r="C2" s="231"/>
      <c r="D2" s="231"/>
    </row>
    <row r="3" spans="1:4" ht="54.75" customHeight="1" x14ac:dyDescent="0.25">
      <c r="A3" s="772" t="s">
        <v>833</v>
      </c>
      <c r="B3" s="772"/>
      <c r="C3" s="772"/>
      <c r="D3" s="772"/>
    </row>
    <row r="4" spans="1:4" x14ac:dyDescent="0.25">
      <c r="A4" s="92"/>
      <c r="C4" s="92"/>
      <c r="D4" s="99" t="s">
        <v>362</v>
      </c>
    </row>
    <row r="5" spans="1:4" ht="55.5" customHeight="1" x14ac:dyDescent="0.25">
      <c r="A5" s="862" t="s">
        <v>228</v>
      </c>
      <c r="B5" s="858" t="s">
        <v>686</v>
      </c>
      <c r="C5" s="286" t="s">
        <v>791</v>
      </c>
      <c r="D5" s="230" t="s">
        <v>229</v>
      </c>
    </row>
    <row r="6" spans="1:4" ht="15" customHeight="1" x14ac:dyDescent="0.25">
      <c r="A6" s="862"/>
      <c r="B6" s="859"/>
      <c r="C6" s="863" t="s">
        <v>736</v>
      </c>
      <c r="D6" s="861" t="s">
        <v>736</v>
      </c>
    </row>
    <row r="7" spans="1:4" ht="36.75" customHeight="1" x14ac:dyDescent="0.25">
      <c r="A7" s="862"/>
      <c r="B7" s="860"/>
      <c r="C7" s="863"/>
      <c r="D7" s="861"/>
    </row>
    <row r="8" spans="1:4" x14ac:dyDescent="0.25">
      <c r="A8" s="93" t="s">
        <v>230</v>
      </c>
      <c r="B8" s="93" t="s">
        <v>687</v>
      </c>
      <c r="C8" s="100">
        <f>'15mell Óvoda'!D23</f>
        <v>26682093</v>
      </c>
      <c r="D8" s="102">
        <f>SUM(C8,)</f>
        <v>26682093</v>
      </c>
    </row>
    <row r="9" spans="1:4" x14ac:dyDescent="0.25">
      <c r="A9" s="94" t="s">
        <v>231</v>
      </c>
      <c r="B9" s="94" t="s">
        <v>687</v>
      </c>
      <c r="C9" s="100">
        <f>'15mell Óvoda'!D24</f>
        <v>5336418.6000000006</v>
      </c>
      <c r="D9" s="102">
        <f t="shared" ref="D9:D12" si="0">SUM(C9,)</f>
        <v>5336418.6000000006</v>
      </c>
    </row>
    <row r="10" spans="1:4" x14ac:dyDescent="0.25">
      <c r="A10" s="93" t="s">
        <v>232</v>
      </c>
      <c r="B10" s="93" t="s">
        <v>687</v>
      </c>
      <c r="C10" s="100">
        <f>'15mell Óvoda'!D79</f>
        <v>10238977</v>
      </c>
      <c r="D10" s="102">
        <f t="shared" si="0"/>
        <v>10238977</v>
      </c>
    </row>
    <row r="11" spans="1:4" x14ac:dyDescent="0.25">
      <c r="A11" s="95" t="s">
        <v>233</v>
      </c>
      <c r="B11" s="95" t="s">
        <v>687</v>
      </c>
      <c r="C11" s="100">
        <f>'15mell Óvoda'!D99</f>
        <v>0</v>
      </c>
      <c r="D11" s="102">
        <f t="shared" si="0"/>
        <v>0</v>
      </c>
    </row>
    <row r="12" spans="1:4" s="92" customFormat="1" x14ac:dyDescent="0.25">
      <c r="A12" s="95" t="s">
        <v>363</v>
      </c>
      <c r="B12" s="95" t="s">
        <v>687</v>
      </c>
      <c r="C12" s="30">
        <f>'15mell Óvoda'!D104</f>
        <v>0</v>
      </c>
      <c r="D12" s="102">
        <f t="shared" si="0"/>
        <v>0</v>
      </c>
    </row>
    <row r="13" spans="1:4" x14ac:dyDescent="0.25">
      <c r="A13" s="96" t="s">
        <v>234</v>
      </c>
      <c r="B13" s="96" t="s">
        <v>687</v>
      </c>
      <c r="C13" s="103">
        <f t="shared" ref="C13" si="1">SUM(C8:C12)</f>
        <v>42257488.600000001</v>
      </c>
      <c r="D13" s="101">
        <f t="shared" ref="D13" si="2">SUM(D8:D12)</f>
        <v>42257488.600000001</v>
      </c>
    </row>
    <row r="14" spans="1:4" x14ac:dyDescent="0.25">
      <c r="A14" s="93" t="s">
        <v>235</v>
      </c>
      <c r="B14" s="93" t="s">
        <v>687</v>
      </c>
      <c r="C14" s="30"/>
      <c r="D14" s="102">
        <f>SUM(C14)</f>
        <v>0</v>
      </c>
    </row>
    <row r="15" spans="1:4" x14ac:dyDescent="0.25">
      <c r="A15" s="93" t="s">
        <v>236</v>
      </c>
      <c r="B15" s="93" t="s">
        <v>687</v>
      </c>
      <c r="C15" s="30">
        <f>'15mell Óvoda'!D107+'15mell Óvoda'!D108</f>
        <v>5270500</v>
      </c>
      <c r="D15" s="102">
        <f t="shared" ref="D15:D18" si="3">SUM(C15)</f>
        <v>5270500</v>
      </c>
    </row>
    <row r="16" spans="1:4" s="92" customFormat="1" ht="14.25" customHeight="1" x14ac:dyDescent="0.25">
      <c r="A16" s="98" t="s">
        <v>366</v>
      </c>
      <c r="B16" s="98" t="s">
        <v>687</v>
      </c>
      <c r="C16" s="30"/>
      <c r="D16" s="102">
        <f t="shared" si="3"/>
        <v>0</v>
      </c>
    </row>
    <row r="17" spans="1:4" ht="32.25" customHeight="1" x14ac:dyDescent="0.25">
      <c r="A17" s="98" t="s">
        <v>237</v>
      </c>
      <c r="B17" s="98" t="s">
        <v>687</v>
      </c>
      <c r="C17" s="30">
        <v>0</v>
      </c>
      <c r="D17" s="102">
        <f t="shared" si="3"/>
        <v>0</v>
      </c>
    </row>
    <row r="18" spans="1:4" ht="15.75" x14ac:dyDescent="0.25">
      <c r="A18" s="98" t="s">
        <v>238</v>
      </c>
      <c r="B18" s="98" t="s">
        <v>687</v>
      </c>
      <c r="C18" s="30">
        <f>'15mell Óvoda'!D110</f>
        <v>36986988.600000001</v>
      </c>
      <c r="D18" s="102">
        <f t="shared" si="3"/>
        <v>36986988.600000001</v>
      </c>
    </row>
    <row r="19" spans="1:4" x14ac:dyDescent="0.25">
      <c r="A19" s="96" t="s">
        <v>239</v>
      </c>
      <c r="B19" s="96"/>
      <c r="C19" s="103">
        <f t="shared" ref="C19:D19" si="4">SUM(C14:C18)</f>
        <v>42257488.600000001</v>
      </c>
      <c r="D19" s="101">
        <f t="shared" si="4"/>
        <v>42257488.600000001</v>
      </c>
    </row>
    <row r="20" spans="1:4" x14ac:dyDescent="0.25">
      <c r="A20" s="92" t="s">
        <v>240</v>
      </c>
      <c r="C20" s="11">
        <f>C13-C19</f>
        <v>0</v>
      </c>
      <c r="D20" s="11">
        <f>D13-D19</f>
        <v>0</v>
      </c>
    </row>
  </sheetData>
  <mergeCells count="6">
    <mergeCell ref="A1:D1"/>
    <mergeCell ref="A3:D3"/>
    <mergeCell ref="B5:B7"/>
    <mergeCell ref="D6:D7"/>
    <mergeCell ref="A5:A7"/>
    <mergeCell ref="C6:C7"/>
  </mergeCells>
  <pageMargins left="0.7" right="0.7" top="0.75" bottom="0.75" header="0.3" footer="0.3"/>
  <pageSetup paperSize="9" scale="2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15"/>
  <sheetViews>
    <sheetView zoomScale="90" zoomScaleNormal="90" workbookViewId="0">
      <pane xSplit="3" ySplit="6" topLeftCell="D96" activePane="bottomRight" state="frozen"/>
      <selection pane="topRight" activeCell="D1" sqref="D1"/>
      <selection pane="bottomLeft" activeCell="A7" sqref="A7"/>
      <selection pane="bottomRight" activeCell="J114" sqref="J114"/>
    </sheetView>
  </sheetViews>
  <sheetFormatPr defaultRowHeight="15" x14ac:dyDescent="0.25"/>
  <cols>
    <col min="1" max="1" width="9.140625" style="135"/>
    <col min="2" max="2" width="34.7109375" style="37" customWidth="1"/>
    <col min="3" max="3" width="16.7109375" style="135" customWidth="1"/>
    <col min="4" max="4" width="25.140625" style="135" customWidth="1"/>
    <col min="5" max="5" width="24.28515625" style="135" customWidth="1"/>
    <col min="6" max="6" width="22.5703125" style="135" customWidth="1"/>
    <col min="7" max="7" width="23.5703125" style="135" hidden="1" customWidth="1"/>
    <col min="8" max="8" width="16.42578125" style="135" hidden="1" customWidth="1"/>
    <col min="9" max="9" width="25.7109375" style="135" customWidth="1"/>
    <col min="10" max="10" width="22.85546875" style="135" customWidth="1"/>
    <col min="11" max="11" width="23.42578125" style="135" customWidth="1"/>
    <col min="12" max="16384" width="9.140625" style="135"/>
  </cols>
  <sheetData>
    <row r="1" spans="1:11" ht="24" customHeight="1" x14ac:dyDescent="0.4">
      <c r="A1" s="857" t="s">
        <v>767</v>
      </c>
      <c r="B1" s="857"/>
      <c r="C1" s="857"/>
      <c r="D1" s="857"/>
      <c r="E1" s="287"/>
      <c r="F1" s="287"/>
      <c r="G1" s="287"/>
      <c r="H1" s="287"/>
      <c r="I1" s="287"/>
      <c r="J1" s="287"/>
      <c r="K1" s="287"/>
    </row>
    <row r="2" spans="1:11" ht="45" customHeight="1" x14ac:dyDescent="0.4">
      <c r="A2" s="287"/>
      <c r="B2" s="864" t="s">
        <v>787</v>
      </c>
      <c r="C2" s="864"/>
      <c r="D2" s="864"/>
      <c r="E2" s="864"/>
      <c r="F2" s="864"/>
      <c r="G2" s="864"/>
      <c r="H2" s="864"/>
      <c r="I2" s="864"/>
      <c r="J2" s="232"/>
      <c r="K2" s="287"/>
    </row>
    <row r="3" spans="1:11" ht="15.75" thickBot="1" x14ac:dyDescent="0.3">
      <c r="B3" s="36"/>
      <c r="E3" s="865"/>
      <c r="F3" s="865"/>
      <c r="G3" s="865"/>
      <c r="H3" s="865"/>
      <c r="I3" s="865"/>
      <c r="J3" s="436" t="s">
        <v>688</v>
      </c>
      <c r="K3" s="135" t="s">
        <v>362</v>
      </c>
    </row>
    <row r="4" spans="1:11" ht="59.25" customHeight="1" x14ac:dyDescent="0.25">
      <c r="A4" s="875" t="s">
        <v>274</v>
      </c>
      <c r="B4" s="877" t="s">
        <v>69</v>
      </c>
      <c r="C4" s="879" t="s">
        <v>68</v>
      </c>
      <c r="D4" s="298" t="s">
        <v>229</v>
      </c>
      <c r="E4" s="312" t="s">
        <v>609</v>
      </c>
      <c r="F4" s="312" t="s">
        <v>706</v>
      </c>
      <c r="G4" s="312" t="s">
        <v>610</v>
      </c>
      <c r="H4" s="312" t="s">
        <v>611</v>
      </c>
      <c r="I4" s="313" t="s">
        <v>355</v>
      </c>
      <c r="J4" s="453" t="s">
        <v>788</v>
      </c>
      <c r="K4" s="327" t="s">
        <v>790</v>
      </c>
    </row>
    <row r="5" spans="1:11" ht="15" customHeight="1" x14ac:dyDescent="0.25">
      <c r="A5" s="876"/>
      <c r="B5" s="878"/>
      <c r="C5" s="880"/>
      <c r="D5" s="866" t="s">
        <v>752</v>
      </c>
      <c r="E5" s="870" t="s">
        <v>752</v>
      </c>
      <c r="F5" s="870" t="s">
        <v>752</v>
      </c>
      <c r="G5" s="870" t="s">
        <v>612</v>
      </c>
      <c r="H5" s="870" t="s">
        <v>612</v>
      </c>
      <c r="I5" s="889" t="s">
        <v>752</v>
      </c>
      <c r="J5" s="869" t="s">
        <v>752</v>
      </c>
      <c r="K5" s="868" t="s">
        <v>612</v>
      </c>
    </row>
    <row r="6" spans="1:11" ht="15.75" customHeight="1" x14ac:dyDescent="0.25">
      <c r="A6" s="876"/>
      <c r="B6" s="878"/>
      <c r="C6" s="880"/>
      <c r="D6" s="866"/>
      <c r="E6" s="870"/>
      <c r="F6" s="870"/>
      <c r="G6" s="870"/>
      <c r="H6" s="870"/>
      <c r="I6" s="889"/>
      <c r="J6" s="869"/>
      <c r="K6" s="868"/>
    </row>
    <row r="7" spans="1:11" ht="30" x14ac:dyDescent="0.25">
      <c r="A7" s="49">
        <v>1</v>
      </c>
      <c r="B7" s="50" t="s">
        <v>72</v>
      </c>
      <c r="C7" s="77" t="s">
        <v>73</v>
      </c>
      <c r="D7" s="299">
        <f t="shared" ref="D7:D13" si="0">SUM(I7,K7)</f>
        <v>25778793</v>
      </c>
      <c r="E7" s="52">
        <v>20570793</v>
      </c>
      <c r="F7" s="52"/>
      <c r="G7" s="52"/>
      <c r="H7" s="52"/>
      <c r="I7" s="315">
        <f>SUM(E7,F7,G7,H7)</f>
        <v>20570793</v>
      </c>
      <c r="J7" s="328">
        <v>5208000</v>
      </c>
      <c r="K7" s="329">
        <f>SUM(J7,)</f>
        <v>5208000</v>
      </c>
    </row>
    <row r="8" spans="1:11" ht="15.75" x14ac:dyDescent="0.25">
      <c r="A8" s="49">
        <v>2</v>
      </c>
      <c r="B8" s="50" t="s">
        <v>275</v>
      </c>
      <c r="C8" s="77" t="s">
        <v>276</v>
      </c>
      <c r="D8" s="299">
        <f t="shared" si="0"/>
        <v>903300</v>
      </c>
      <c r="E8" s="52">
        <v>903300</v>
      </c>
      <c r="F8" s="52"/>
      <c r="G8" s="52"/>
      <c r="H8" s="52"/>
      <c r="I8" s="315">
        <f t="shared" ref="I8:I71" si="1">SUM(E8,F8,G8,H8)</f>
        <v>903300</v>
      </c>
      <c r="J8" s="328"/>
      <c r="K8" s="329">
        <f t="shared" ref="K8:K71" si="2">SUM(J8,)</f>
        <v>0</v>
      </c>
    </row>
    <row r="9" spans="1:11" ht="15.75" x14ac:dyDescent="0.25">
      <c r="A9" s="49">
        <v>3</v>
      </c>
      <c r="B9" s="50" t="s">
        <v>277</v>
      </c>
      <c r="C9" s="77" t="s">
        <v>278</v>
      </c>
      <c r="D9" s="299">
        <f t="shared" si="0"/>
        <v>0</v>
      </c>
      <c r="E9" s="52"/>
      <c r="F9" s="52"/>
      <c r="G9" s="52"/>
      <c r="H9" s="52"/>
      <c r="I9" s="315">
        <f t="shared" si="1"/>
        <v>0</v>
      </c>
      <c r="J9" s="328"/>
      <c r="K9" s="329">
        <f t="shared" si="2"/>
        <v>0</v>
      </c>
    </row>
    <row r="10" spans="1:11" ht="30" x14ac:dyDescent="0.25">
      <c r="A10" s="49">
        <v>4</v>
      </c>
      <c r="B10" s="50" t="s">
        <v>279</v>
      </c>
      <c r="C10" s="77" t="s">
        <v>74</v>
      </c>
      <c r="D10" s="299">
        <f t="shared" si="0"/>
        <v>0</v>
      </c>
      <c r="E10" s="52"/>
      <c r="F10" s="52"/>
      <c r="G10" s="52"/>
      <c r="H10" s="52"/>
      <c r="I10" s="315">
        <f t="shared" si="1"/>
        <v>0</v>
      </c>
      <c r="J10" s="328"/>
      <c r="K10" s="329">
        <f t="shared" si="2"/>
        <v>0</v>
      </c>
    </row>
    <row r="11" spans="1:11" ht="15.75" x14ac:dyDescent="0.25">
      <c r="A11" s="49">
        <v>5</v>
      </c>
      <c r="B11" s="50" t="s">
        <v>280</v>
      </c>
      <c r="C11" s="77" t="s">
        <v>281</v>
      </c>
      <c r="D11" s="299">
        <f t="shared" si="0"/>
        <v>0</v>
      </c>
      <c r="E11" s="52"/>
      <c r="F11" s="52"/>
      <c r="G11" s="52"/>
      <c r="H11" s="52"/>
      <c r="I11" s="315">
        <f t="shared" si="1"/>
        <v>0</v>
      </c>
      <c r="J11" s="328"/>
      <c r="K11" s="329">
        <f t="shared" si="2"/>
        <v>0</v>
      </c>
    </row>
    <row r="12" spans="1:11" ht="15.75" x14ac:dyDescent="0.25">
      <c r="A12" s="49">
        <v>6</v>
      </c>
      <c r="B12" s="50" t="s">
        <v>75</v>
      </c>
      <c r="C12" s="77" t="s">
        <v>76</v>
      </c>
      <c r="D12" s="299">
        <f t="shared" si="0"/>
        <v>0</v>
      </c>
      <c r="E12" s="52"/>
      <c r="F12" s="52"/>
      <c r="G12" s="52"/>
      <c r="H12" s="52"/>
      <c r="I12" s="315">
        <f t="shared" si="1"/>
        <v>0</v>
      </c>
      <c r="J12" s="328"/>
      <c r="K12" s="329">
        <f t="shared" si="2"/>
        <v>0</v>
      </c>
    </row>
    <row r="13" spans="1:11" ht="15.75" x14ac:dyDescent="0.25">
      <c r="A13" s="49">
        <v>7</v>
      </c>
      <c r="B13" s="50" t="s">
        <v>282</v>
      </c>
      <c r="C13" s="77" t="s">
        <v>78</v>
      </c>
      <c r="D13" s="299">
        <f t="shared" si="0"/>
        <v>0</v>
      </c>
      <c r="E13" s="52"/>
      <c r="F13" s="52"/>
      <c r="G13" s="52"/>
      <c r="H13" s="52"/>
      <c r="I13" s="315">
        <f t="shared" si="1"/>
        <v>0</v>
      </c>
      <c r="J13" s="328"/>
      <c r="K13" s="329">
        <f t="shared" si="2"/>
        <v>0</v>
      </c>
    </row>
    <row r="14" spans="1:11" ht="15.75" x14ac:dyDescent="0.25">
      <c r="A14" s="49">
        <v>8</v>
      </c>
      <c r="B14" s="50" t="s">
        <v>283</v>
      </c>
      <c r="C14" s="77" t="s">
        <v>284</v>
      </c>
      <c r="D14" s="299">
        <v>0</v>
      </c>
      <c r="E14" s="52"/>
      <c r="F14" s="52"/>
      <c r="G14" s="52"/>
      <c r="H14" s="52"/>
      <c r="I14" s="315">
        <f t="shared" si="1"/>
        <v>0</v>
      </c>
      <c r="J14" s="328"/>
      <c r="K14" s="329">
        <f t="shared" si="2"/>
        <v>0</v>
      </c>
    </row>
    <row r="15" spans="1:11" ht="15.75" x14ac:dyDescent="0.25">
      <c r="A15" s="49">
        <v>9</v>
      </c>
      <c r="B15" s="50" t="s">
        <v>285</v>
      </c>
      <c r="C15" s="77" t="s">
        <v>80</v>
      </c>
      <c r="D15" s="299">
        <f>SUM(I15,K15)</f>
        <v>0</v>
      </c>
      <c r="E15" s="52"/>
      <c r="F15" s="52"/>
      <c r="G15" s="52"/>
      <c r="H15" s="52"/>
      <c r="I15" s="315">
        <f t="shared" si="1"/>
        <v>0</v>
      </c>
      <c r="J15" s="328"/>
      <c r="K15" s="329">
        <f t="shared" si="2"/>
        <v>0</v>
      </c>
    </row>
    <row r="16" spans="1:11" ht="15.75" x14ac:dyDescent="0.25">
      <c r="A16" s="49">
        <v>10</v>
      </c>
      <c r="B16" s="50" t="s">
        <v>286</v>
      </c>
      <c r="C16" s="77" t="s">
        <v>82</v>
      </c>
      <c r="D16" s="299">
        <f>SUM(I16,K16)</f>
        <v>0</v>
      </c>
      <c r="E16" s="52"/>
      <c r="F16" s="52"/>
      <c r="G16" s="52"/>
      <c r="H16" s="52"/>
      <c r="I16" s="315">
        <f t="shared" si="1"/>
        <v>0</v>
      </c>
      <c r="J16" s="328"/>
      <c r="K16" s="329">
        <f t="shared" si="2"/>
        <v>0</v>
      </c>
    </row>
    <row r="17" spans="1:11" ht="15.75" x14ac:dyDescent="0.25">
      <c r="A17" s="49">
        <v>11</v>
      </c>
      <c r="B17" s="50" t="s">
        <v>287</v>
      </c>
      <c r="C17" s="77" t="s">
        <v>288</v>
      </c>
      <c r="D17" s="299">
        <v>0</v>
      </c>
      <c r="E17" s="52"/>
      <c r="F17" s="52"/>
      <c r="G17" s="52"/>
      <c r="H17" s="52"/>
      <c r="I17" s="315">
        <f t="shared" si="1"/>
        <v>0</v>
      </c>
      <c r="J17" s="328"/>
      <c r="K17" s="329">
        <f t="shared" si="2"/>
        <v>0</v>
      </c>
    </row>
    <row r="18" spans="1:11" ht="15.75" x14ac:dyDescent="0.25">
      <c r="A18" s="49">
        <v>12</v>
      </c>
      <c r="B18" s="50" t="s">
        <v>289</v>
      </c>
      <c r="C18" s="77" t="s">
        <v>290</v>
      </c>
      <c r="D18" s="299">
        <v>0</v>
      </c>
      <c r="E18" s="52"/>
      <c r="F18" s="52"/>
      <c r="G18" s="52"/>
      <c r="H18" s="52"/>
      <c r="I18" s="315">
        <f t="shared" si="1"/>
        <v>0</v>
      </c>
      <c r="J18" s="328"/>
      <c r="K18" s="329">
        <f t="shared" si="2"/>
        <v>0</v>
      </c>
    </row>
    <row r="19" spans="1:11" ht="30" x14ac:dyDescent="0.25">
      <c r="A19" s="49">
        <v>13</v>
      </c>
      <c r="B19" s="50" t="s">
        <v>291</v>
      </c>
      <c r="C19" s="77" t="s">
        <v>84</v>
      </c>
      <c r="D19" s="299">
        <f>SUM(I19,K19)</f>
        <v>0</v>
      </c>
      <c r="E19" s="52"/>
      <c r="F19" s="52"/>
      <c r="G19" s="52"/>
      <c r="H19" s="52"/>
      <c r="I19" s="315">
        <f t="shared" si="1"/>
        <v>0</v>
      </c>
      <c r="J19" s="328"/>
      <c r="K19" s="329">
        <f t="shared" si="2"/>
        <v>0</v>
      </c>
    </row>
    <row r="20" spans="1:11" ht="29.25" x14ac:dyDescent="0.25">
      <c r="A20" s="54">
        <v>14</v>
      </c>
      <c r="B20" s="55" t="s">
        <v>292</v>
      </c>
      <c r="C20" s="289" t="s">
        <v>88</v>
      </c>
      <c r="D20" s="300">
        <f>SUM(D7:D19)</f>
        <v>26682093</v>
      </c>
      <c r="E20" s="56">
        <f t="shared" ref="E20:H20" si="3">SUM(E7:E19)</f>
        <v>21474093</v>
      </c>
      <c r="F20" s="56">
        <f t="shared" si="3"/>
        <v>0</v>
      </c>
      <c r="G20" s="56">
        <f t="shared" si="3"/>
        <v>0</v>
      </c>
      <c r="H20" s="56">
        <f t="shared" si="3"/>
        <v>0</v>
      </c>
      <c r="I20" s="315">
        <f t="shared" si="1"/>
        <v>21474093</v>
      </c>
      <c r="J20" s="316">
        <f t="shared" ref="J20" si="4">SUM(J7:J19)</f>
        <v>5208000</v>
      </c>
      <c r="K20" s="329">
        <f t="shared" si="2"/>
        <v>5208000</v>
      </c>
    </row>
    <row r="21" spans="1:11" ht="15.75" x14ac:dyDescent="0.25">
      <c r="A21" s="49">
        <v>15</v>
      </c>
      <c r="B21" s="53" t="s">
        <v>356</v>
      </c>
      <c r="C21" s="77" t="s">
        <v>94</v>
      </c>
      <c r="D21" s="299">
        <f>SUM(I21,K21)</f>
        <v>0</v>
      </c>
      <c r="E21" s="52"/>
      <c r="F21" s="52"/>
      <c r="G21" s="52"/>
      <c r="H21" s="52"/>
      <c r="I21" s="315">
        <f t="shared" si="1"/>
        <v>0</v>
      </c>
      <c r="J21" s="328"/>
      <c r="K21" s="329">
        <f t="shared" si="2"/>
        <v>0</v>
      </c>
    </row>
    <row r="22" spans="1:11" ht="29.25" x14ac:dyDescent="0.25">
      <c r="A22" s="54">
        <v>16</v>
      </c>
      <c r="B22" s="55" t="s">
        <v>293</v>
      </c>
      <c r="C22" s="289" t="s">
        <v>98</v>
      </c>
      <c r="D22" s="300">
        <f>SUM(D21:D21)</f>
        <v>0</v>
      </c>
      <c r="E22" s="56">
        <f t="shared" ref="E22:H22" si="5">SUM(E21:E21)</f>
        <v>0</v>
      </c>
      <c r="F22" s="56">
        <f t="shared" si="5"/>
        <v>0</v>
      </c>
      <c r="G22" s="56">
        <f t="shared" si="5"/>
        <v>0</v>
      </c>
      <c r="H22" s="56">
        <f t="shared" si="5"/>
        <v>0</v>
      </c>
      <c r="I22" s="315">
        <f t="shared" si="1"/>
        <v>0</v>
      </c>
      <c r="J22" s="316">
        <f t="shared" ref="J22" si="6">SUM(J21:J21)</f>
        <v>0</v>
      </c>
      <c r="K22" s="329">
        <f t="shared" si="2"/>
        <v>0</v>
      </c>
    </row>
    <row r="23" spans="1:11" s="41" customFormat="1" ht="15.75" x14ac:dyDescent="0.25">
      <c r="A23" s="57">
        <v>17</v>
      </c>
      <c r="B23" s="58" t="s">
        <v>294</v>
      </c>
      <c r="C23" s="290" t="s">
        <v>100</v>
      </c>
      <c r="D23" s="299">
        <f>SUM(D20,D22)</f>
        <v>26682093</v>
      </c>
      <c r="E23" s="59">
        <f t="shared" ref="E23:J23" si="7">SUM(E22,E20)</f>
        <v>21474093</v>
      </c>
      <c r="F23" s="59">
        <f t="shared" si="7"/>
        <v>0</v>
      </c>
      <c r="G23" s="59">
        <f t="shared" si="7"/>
        <v>0</v>
      </c>
      <c r="H23" s="59">
        <f t="shared" si="7"/>
        <v>0</v>
      </c>
      <c r="I23" s="315">
        <f t="shared" si="1"/>
        <v>21474093</v>
      </c>
      <c r="J23" s="317">
        <f t="shared" si="7"/>
        <v>5208000</v>
      </c>
      <c r="K23" s="329">
        <f t="shared" si="2"/>
        <v>5208000</v>
      </c>
    </row>
    <row r="24" spans="1:11" s="42" customFormat="1" ht="29.25" x14ac:dyDescent="0.25">
      <c r="A24" s="57">
        <v>18</v>
      </c>
      <c r="B24" s="58" t="s">
        <v>295</v>
      </c>
      <c r="C24" s="290" t="s">
        <v>102</v>
      </c>
      <c r="D24" s="299">
        <f>SUM(I24,K24)</f>
        <v>5336418.6000000006</v>
      </c>
      <c r="E24" s="60">
        <f>E23*0.2</f>
        <v>4294818.6000000006</v>
      </c>
      <c r="F24" s="60"/>
      <c r="G24" s="60">
        <v>0</v>
      </c>
      <c r="H24" s="60"/>
      <c r="I24" s="315">
        <f t="shared" si="1"/>
        <v>4294818.6000000006</v>
      </c>
      <c r="J24" s="330">
        <f>J23*0.2</f>
        <v>1041600</v>
      </c>
      <c r="K24" s="329">
        <f t="shared" si="2"/>
        <v>1041600</v>
      </c>
    </row>
    <row r="25" spans="1:11" s="42" customFormat="1" ht="81" customHeight="1" x14ac:dyDescent="0.3">
      <c r="A25" s="883" t="s">
        <v>608</v>
      </c>
      <c r="B25" s="884"/>
      <c r="C25" s="884"/>
      <c r="D25" s="301">
        <f t="shared" ref="D25:H25" si="8">SUM(D24,D23)</f>
        <v>32018511.600000001</v>
      </c>
      <c r="E25" s="61">
        <f t="shared" si="8"/>
        <v>25768911.600000001</v>
      </c>
      <c r="F25" s="61">
        <f t="shared" si="8"/>
        <v>0</v>
      </c>
      <c r="G25" s="61">
        <f t="shared" si="8"/>
        <v>0</v>
      </c>
      <c r="H25" s="61">
        <f t="shared" si="8"/>
        <v>0</v>
      </c>
      <c r="I25" s="315">
        <f t="shared" si="1"/>
        <v>25768911.600000001</v>
      </c>
      <c r="J25" s="318">
        <f t="shared" ref="J25" si="9">SUM(J24,J23)</f>
        <v>6249600</v>
      </c>
      <c r="K25" s="329">
        <f t="shared" si="2"/>
        <v>6249600</v>
      </c>
    </row>
    <row r="26" spans="1:11" s="43" customFormat="1" ht="15.75" x14ac:dyDescent="0.25">
      <c r="A26" s="62">
        <v>19</v>
      </c>
      <c r="B26" s="63" t="s">
        <v>296</v>
      </c>
      <c r="C26" s="291" t="s">
        <v>108</v>
      </c>
      <c r="D26" s="302">
        <f t="shared" ref="D26:D57" si="10">SUM(I26,K26)</f>
        <v>88000</v>
      </c>
      <c r="E26" s="64">
        <f t="shared" ref="E26:H26" si="11">SUM(E27:E30)</f>
        <v>88000</v>
      </c>
      <c r="F26" s="64">
        <f t="shared" si="11"/>
        <v>0</v>
      </c>
      <c r="G26" s="64">
        <f t="shared" si="11"/>
        <v>0</v>
      </c>
      <c r="H26" s="64">
        <f t="shared" si="11"/>
        <v>0</v>
      </c>
      <c r="I26" s="315">
        <f t="shared" si="1"/>
        <v>88000</v>
      </c>
      <c r="J26" s="319">
        <f t="shared" ref="J26" si="12">SUM(J27:J29)</f>
        <v>0</v>
      </c>
      <c r="K26" s="329">
        <f t="shared" si="2"/>
        <v>0</v>
      </c>
    </row>
    <row r="27" spans="1:11" ht="15.75" x14ac:dyDescent="0.25">
      <c r="A27" s="49">
        <v>20</v>
      </c>
      <c r="B27" s="65" t="s">
        <v>241</v>
      </c>
      <c r="C27" s="77"/>
      <c r="D27" s="299">
        <f t="shared" si="10"/>
        <v>88000</v>
      </c>
      <c r="E27" s="52">
        <v>88000</v>
      </c>
      <c r="F27" s="52"/>
      <c r="G27" s="52"/>
      <c r="H27" s="52"/>
      <c r="I27" s="315">
        <f t="shared" si="1"/>
        <v>88000</v>
      </c>
      <c r="J27" s="328"/>
      <c r="K27" s="329">
        <f t="shared" si="2"/>
        <v>0</v>
      </c>
    </row>
    <row r="28" spans="1:11" ht="15.75" x14ac:dyDescent="0.25">
      <c r="A28" s="49">
        <v>21</v>
      </c>
      <c r="B28" s="65" t="s">
        <v>297</v>
      </c>
      <c r="C28" s="77"/>
      <c r="D28" s="299">
        <f t="shared" si="10"/>
        <v>0</v>
      </c>
      <c r="E28" s="52"/>
      <c r="F28" s="52"/>
      <c r="G28" s="52"/>
      <c r="H28" s="52"/>
      <c r="I28" s="315">
        <f t="shared" si="1"/>
        <v>0</v>
      </c>
      <c r="J28" s="328"/>
      <c r="K28" s="329">
        <f t="shared" si="2"/>
        <v>0</v>
      </c>
    </row>
    <row r="29" spans="1:11" ht="30" x14ac:dyDescent="0.25">
      <c r="A29" s="49">
        <v>22</v>
      </c>
      <c r="B29" s="65" t="s">
        <v>705</v>
      </c>
      <c r="C29" s="77"/>
      <c r="D29" s="299">
        <f t="shared" si="10"/>
        <v>0</v>
      </c>
      <c r="E29" s="52"/>
      <c r="F29" s="52"/>
      <c r="G29" s="52"/>
      <c r="H29" s="52"/>
      <c r="I29" s="315">
        <f t="shared" si="1"/>
        <v>0</v>
      </c>
      <c r="J29" s="328"/>
      <c r="K29" s="329">
        <f t="shared" si="2"/>
        <v>0</v>
      </c>
    </row>
    <row r="30" spans="1:11" ht="15.75" x14ac:dyDescent="0.25">
      <c r="A30" s="49">
        <v>23</v>
      </c>
      <c r="B30" s="65" t="s">
        <v>357</v>
      </c>
      <c r="C30" s="77"/>
      <c r="D30" s="299">
        <f t="shared" si="10"/>
        <v>0</v>
      </c>
      <c r="E30" s="52"/>
      <c r="F30" s="52"/>
      <c r="G30" s="52"/>
      <c r="H30" s="52"/>
      <c r="I30" s="315">
        <f t="shared" si="1"/>
        <v>0</v>
      </c>
      <c r="J30" s="328"/>
      <c r="K30" s="329">
        <f t="shared" si="2"/>
        <v>0</v>
      </c>
    </row>
    <row r="31" spans="1:11" s="43" customFormat="1" ht="15.75" x14ac:dyDescent="0.25">
      <c r="A31" s="62">
        <v>24</v>
      </c>
      <c r="B31" s="63" t="s">
        <v>298</v>
      </c>
      <c r="C31" s="291" t="s">
        <v>111</v>
      </c>
      <c r="D31" s="303">
        <f t="shared" si="10"/>
        <v>6874191</v>
      </c>
      <c r="E31" s="64">
        <f t="shared" ref="E31:H31" si="13">SUM(E32:E37)</f>
        <v>2000</v>
      </c>
      <c r="F31" s="64">
        <f t="shared" si="13"/>
        <v>345000</v>
      </c>
      <c r="G31" s="64">
        <f t="shared" si="13"/>
        <v>0</v>
      </c>
      <c r="H31" s="64">
        <f t="shared" si="13"/>
        <v>0</v>
      </c>
      <c r="I31" s="315">
        <f t="shared" si="1"/>
        <v>347000</v>
      </c>
      <c r="J31" s="319">
        <f t="shared" ref="J31" si="14">SUM(J32:J37)</f>
        <v>6527191</v>
      </c>
      <c r="K31" s="329">
        <f t="shared" si="2"/>
        <v>6527191</v>
      </c>
    </row>
    <row r="32" spans="1:11" ht="15.75" x14ac:dyDescent="0.25">
      <c r="A32" s="49">
        <v>25</v>
      </c>
      <c r="B32" s="65" t="s">
        <v>299</v>
      </c>
      <c r="C32" s="77"/>
      <c r="D32" s="299">
        <f t="shared" si="10"/>
        <v>2000</v>
      </c>
      <c r="E32" s="52">
        <v>2000</v>
      </c>
      <c r="F32" s="52"/>
      <c r="G32" s="52"/>
      <c r="H32" s="52"/>
      <c r="I32" s="315">
        <f t="shared" si="1"/>
        <v>2000</v>
      </c>
      <c r="J32" s="328"/>
      <c r="K32" s="329">
        <f t="shared" si="2"/>
        <v>0</v>
      </c>
    </row>
    <row r="33" spans="1:11" ht="15.75" x14ac:dyDescent="0.25">
      <c r="A33" s="49">
        <v>26</v>
      </c>
      <c r="B33" s="65" t="s">
        <v>300</v>
      </c>
      <c r="C33" s="77"/>
      <c r="D33" s="299">
        <f t="shared" si="10"/>
        <v>0</v>
      </c>
      <c r="E33" s="52"/>
      <c r="F33" s="52"/>
      <c r="G33" s="52"/>
      <c r="H33" s="52"/>
      <c r="I33" s="315">
        <f t="shared" si="1"/>
        <v>0</v>
      </c>
      <c r="J33" s="328"/>
      <c r="K33" s="329">
        <f t="shared" si="2"/>
        <v>0</v>
      </c>
    </row>
    <row r="34" spans="1:11" ht="15.75" x14ac:dyDescent="0.25">
      <c r="A34" s="49">
        <v>27</v>
      </c>
      <c r="B34" s="65" t="s">
        <v>301</v>
      </c>
      <c r="C34" s="77"/>
      <c r="D34" s="299">
        <f t="shared" si="10"/>
        <v>345000</v>
      </c>
      <c r="E34" s="52"/>
      <c r="F34" s="52">
        <v>345000</v>
      </c>
      <c r="G34" s="52"/>
      <c r="H34" s="52"/>
      <c r="I34" s="315">
        <f t="shared" si="1"/>
        <v>345000</v>
      </c>
      <c r="J34" s="328"/>
      <c r="K34" s="329">
        <f t="shared" si="2"/>
        <v>0</v>
      </c>
    </row>
    <row r="35" spans="1:11" ht="15.75" x14ac:dyDescent="0.25">
      <c r="A35" s="49">
        <v>28</v>
      </c>
      <c r="B35" s="65" t="s">
        <v>302</v>
      </c>
      <c r="C35" s="77"/>
      <c r="D35" s="299">
        <f t="shared" si="10"/>
        <v>0</v>
      </c>
      <c r="E35" s="52"/>
      <c r="F35" s="52"/>
      <c r="G35" s="52"/>
      <c r="H35" s="52"/>
      <c r="I35" s="315">
        <f t="shared" si="1"/>
        <v>0</v>
      </c>
      <c r="J35" s="328"/>
      <c r="K35" s="329">
        <f t="shared" si="2"/>
        <v>0</v>
      </c>
    </row>
    <row r="36" spans="1:11" ht="15.75" x14ac:dyDescent="0.25">
      <c r="A36" s="49">
        <v>29</v>
      </c>
      <c r="B36" s="65" t="s">
        <v>789</v>
      </c>
      <c r="C36" s="77"/>
      <c r="D36" s="299">
        <f t="shared" si="10"/>
        <v>6527191</v>
      </c>
      <c r="E36" s="52"/>
      <c r="F36" s="52"/>
      <c r="G36" s="52"/>
      <c r="H36" s="52"/>
      <c r="I36" s="315">
        <f t="shared" si="1"/>
        <v>0</v>
      </c>
      <c r="J36" s="328">
        <f>2377191+4150000</f>
        <v>6527191</v>
      </c>
      <c r="K36" s="329">
        <f t="shared" si="2"/>
        <v>6527191</v>
      </c>
    </row>
    <row r="37" spans="1:11" ht="15.75" x14ac:dyDescent="0.25">
      <c r="A37" s="49">
        <v>30</v>
      </c>
      <c r="B37" s="65" t="s">
        <v>248</v>
      </c>
      <c r="C37" s="77"/>
      <c r="D37" s="299">
        <f t="shared" si="10"/>
        <v>0</v>
      </c>
      <c r="E37" s="52"/>
      <c r="F37" s="52"/>
      <c r="G37" s="52"/>
      <c r="H37" s="52"/>
      <c r="I37" s="315">
        <f t="shared" si="1"/>
        <v>0</v>
      </c>
      <c r="J37" s="328"/>
      <c r="K37" s="329">
        <f t="shared" si="2"/>
        <v>0</v>
      </c>
    </row>
    <row r="38" spans="1:11" s="43" customFormat="1" ht="15.75" x14ac:dyDescent="0.25">
      <c r="A38" s="66">
        <v>31</v>
      </c>
      <c r="B38" s="67" t="s">
        <v>303</v>
      </c>
      <c r="C38" s="292" t="s">
        <v>117</v>
      </c>
      <c r="D38" s="304">
        <f t="shared" si="10"/>
        <v>6962191</v>
      </c>
      <c r="E38" s="68">
        <f t="shared" ref="E38:H38" si="15">SUM(E26,E31)</f>
        <v>90000</v>
      </c>
      <c r="F38" s="68">
        <f t="shared" si="15"/>
        <v>345000</v>
      </c>
      <c r="G38" s="68">
        <f t="shared" si="15"/>
        <v>0</v>
      </c>
      <c r="H38" s="68">
        <f t="shared" si="15"/>
        <v>0</v>
      </c>
      <c r="I38" s="315">
        <f t="shared" si="1"/>
        <v>435000</v>
      </c>
      <c r="J38" s="320">
        <f t="shared" ref="J38" si="16">SUM(J26,J31)</f>
        <v>6527191</v>
      </c>
      <c r="K38" s="329">
        <f t="shared" si="2"/>
        <v>6527191</v>
      </c>
    </row>
    <row r="39" spans="1:11" ht="29.25" x14ac:dyDescent="0.25">
      <c r="A39" s="69">
        <v>32</v>
      </c>
      <c r="B39" s="70" t="s">
        <v>304</v>
      </c>
      <c r="C39" s="293" t="s">
        <v>121</v>
      </c>
      <c r="D39" s="305">
        <f t="shared" si="10"/>
        <v>0</v>
      </c>
      <c r="E39" s="71">
        <f t="shared" ref="E39:H39" si="17">E40</f>
        <v>0</v>
      </c>
      <c r="F39" s="71">
        <f t="shared" si="17"/>
        <v>0</v>
      </c>
      <c r="G39" s="71">
        <f t="shared" si="17"/>
        <v>0</v>
      </c>
      <c r="H39" s="71">
        <f t="shared" si="17"/>
        <v>0</v>
      </c>
      <c r="I39" s="315">
        <f t="shared" si="1"/>
        <v>0</v>
      </c>
      <c r="J39" s="321">
        <f t="shared" ref="J39" si="18">J40</f>
        <v>0</v>
      </c>
      <c r="K39" s="329">
        <f t="shared" si="2"/>
        <v>0</v>
      </c>
    </row>
    <row r="40" spans="1:11" ht="15.75" x14ac:dyDescent="0.25">
      <c r="A40" s="49">
        <v>33</v>
      </c>
      <c r="B40" s="72" t="s">
        <v>305</v>
      </c>
      <c r="C40" s="77"/>
      <c r="D40" s="299">
        <f t="shared" si="10"/>
        <v>0</v>
      </c>
      <c r="E40" s="52"/>
      <c r="F40" s="52"/>
      <c r="G40" s="52"/>
      <c r="H40" s="52"/>
      <c r="I40" s="315">
        <f t="shared" si="1"/>
        <v>0</v>
      </c>
      <c r="J40" s="328"/>
      <c r="K40" s="329">
        <f t="shared" si="2"/>
        <v>0</v>
      </c>
    </row>
    <row r="41" spans="1:11" ht="29.25" x14ac:dyDescent="0.25">
      <c r="A41" s="69">
        <v>34</v>
      </c>
      <c r="B41" s="70" t="s">
        <v>306</v>
      </c>
      <c r="C41" s="293" t="s">
        <v>124</v>
      </c>
      <c r="D41" s="305">
        <f t="shared" si="10"/>
        <v>0</v>
      </c>
      <c r="E41" s="71">
        <f t="shared" ref="E41:H41" si="19">SUM(E42:E43)</f>
        <v>0</v>
      </c>
      <c r="F41" s="71">
        <f t="shared" si="19"/>
        <v>0</v>
      </c>
      <c r="G41" s="71">
        <f t="shared" si="19"/>
        <v>0</v>
      </c>
      <c r="H41" s="71">
        <f t="shared" si="19"/>
        <v>0</v>
      </c>
      <c r="I41" s="315">
        <f t="shared" si="1"/>
        <v>0</v>
      </c>
      <c r="J41" s="321">
        <f t="shared" ref="J41" si="20">SUM(J42:J43)</f>
        <v>0</v>
      </c>
      <c r="K41" s="329">
        <f t="shared" si="2"/>
        <v>0</v>
      </c>
    </row>
    <row r="42" spans="1:11" ht="15.75" x14ac:dyDescent="0.25">
      <c r="A42" s="49">
        <v>35</v>
      </c>
      <c r="B42" s="65" t="s">
        <v>346</v>
      </c>
      <c r="C42" s="77"/>
      <c r="D42" s="299">
        <f t="shared" si="10"/>
        <v>0</v>
      </c>
      <c r="E42" s="52"/>
      <c r="F42" s="52"/>
      <c r="G42" s="52"/>
      <c r="H42" s="52"/>
      <c r="I42" s="315">
        <f t="shared" si="1"/>
        <v>0</v>
      </c>
      <c r="J42" s="328"/>
      <c r="K42" s="329">
        <f t="shared" si="2"/>
        <v>0</v>
      </c>
    </row>
    <row r="43" spans="1:11" ht="15.75" x14ac:dyDescent="0.25">
      <c r="A43" s="49">
        <v>36</v>
      </c>
      <c r="B43" s="65" t="s">
        <v>347</v>
      </c>
      <c r="C43" s="77"/>
      <c r="D43" s="299">
        <f t="shared" si="10"/>
        <v>0</v>
      </c>
      <c r="E43" s="52"/>
      <c r="F43" s="52"/>
      <c r="G43" s="52"/>
      <c r="H43" s="52"/>
      <c r="I43" s="315">
        <f t="shared" si="1"/>
        <v>0</v>
      </c>
      <c r="J43" s="328"/>
      <c r="K43" s="329">
        <f t="shared" si="2"/>
        <v>0</v>
      </c>
    </row>
    <row r="44" spans="1:11" ht="15.75" x14ac:dyDescent="0.25">
      <c r="A44" s="66">
        <v>37</v>
      </c>
      <c r="B44" s="67" t="s">
        <v>127</v>
      </c>
      <c r="C44" s="292" t="s">
        <v>128</v>
      </c>
      <c r="D44" s="304">
        <f t="shared" si="10"/>
        <v>0</v>
      </c>
      <c r="E44" s="68">
        <f t="shared" ref="E44:H44" si="21">SUM(E39,E41)</f>
        <v>0</v>
      </c>
      <c r="F44" s="68">
        <f t="shared" si="21"/>
        <v>0</v>
      </c>
      <c r="G44" s="68">
        <f t="shared" si="21"/>
        <v>0</v>
      </c>
      <c r="H44" s="68">
        <f t="shared" si="21"/>
        <v>0</v>
      </c>
      <c r="I44" s="315">
        <f t="shared" si="1"/>
        <v>0</v>
      </c>
      <c r="J44" s="320">
        <f t="shared" ref="J44" si="22">SUM(J39,J41)</f>
        <v>0</v>
      </c>
      <c r="K44" s="329">
        <f t="shared" si="2"/>
        <v>0</v>
      </c>
    </row>
    <row r="45" spans="1:11" ht="15.75" x14ac:dyDescent="0.25">
      <c r="A45" s="69">
        <v>38</v>
      </c>
      <c r="B45" s="70" t="s">
        <v>307</v>
      </c>
      <c r="C45" s="293" t="s">
        <v>131</v>
      </c>
      <c r="D45" s="305">
        <f t="shared" si="10"/>
        <v>0</v>
      </c>
      <c r="E45" s="71">
        <f t="shared" ref="E45:H45" si="23">SUM(E46:E48)</f>
        <v>0</v>
      </c>
      <c r="F45" s="71">
        <f t="shared" si="23"/>
        <v>0</v>
      </c>
      <c r="G45" s="71">
        <f t="shared" si="23"/>
        <v>0</v>
      </c>
      <c r="H45" s="71">
        <f t="shared" si="23"/>
        <v>0</v>
      </c>
      <c r="I45" s="315">
        <f t="shared" si="1"/>
        <v>0</v>
      </c>
      <c r="J45" s="321">
        <f t="shared" ref="J45" si="24">SUM(J46:J48)</f>
        <v>0</v>
      </c>
      <c r="K45" s="329">
        <f t="shared" si="2"/>
        <v>0</v>
      </c>
    </row>
    <row r="46" spans="1:11" ht="15.75" x14ac:dyDescent="0.25">
      <c r="A46" s="49">
        <v>39</v>
      </c>
      <c r="B46" s="72" t="s">
        <v>308</v>
      </c>
      <c r="C46" s="77"/>
      <c r="D46" s="299">
        <f t="shared" si="10"/>
        <v>0</v>
      </c>
      <c r="E46" s="52"/>
      <c r="F46" s="52"/>
      <c r="G46" s="52"/>
      <c r="H46" s="52"/>
      <c r="I46" s="315">
        <f t="shared" si="1"/>
        <v>0</v>
      </c>
      <c r="J46" s="328"/>
      <c r="K46" s="329">
        <f t="shared" si="2"/>
        <v>0</v>
      </c>
    </row>
    <row r="47" spans="1:11" ht="15.75" x14ac:dyDescent="0.25">
      <c r="A47" s="49">
        <v>40</v>
      </c>
      <c r="B47" s="72" t="s">
        <v>309</v>
      </c>
      <c r="C47" s="77"/>
      <c r="D47" s="299">
        <f t="shared" si="10"/>
        <v>0</v>
      </c>
      <c r="E47" s="52"/>
      <c r="F47" s="52"/>
      <c r="G47" s="52"/>
      <c r="H47" s="52"/>
      <c r="I47" s="315">
        <f t="shared" si="1"/>
        <v>0</v>
      </c>
      <c r="J47" s="328"/>
      <c r="K47" s="329">
        <f t="shared" si="2"/>
        <v>0</v>
      </c>
    </row>
    <row r="48" spans="1:11" ht="15.75" x14ac:dyDescent="0.25">
      <c r="A48" s="49">
        <v>41</v>
      </c>
      <c r="B48" s="72" t="s">
        <v>310</v>
      </c>
      <c r="C48" s="77"/>
      <c r="D48" s="299">
        <f t="shared" si="10"/>
        <v>0</v>
      </c>
      <c r="E48" s="52"/>
      <c r="F48" s="52"/>
      <c r="G48" s="52"/>
      <c r="H48" s="52"/>
      <c r="I48" s="315">
        <f t="shared" si="1"/>
        <v>0</v>
      </c>
      <c r="J48" s="328"/>
      <c r="K48" s="329">
        <f t="shared" si="2"/>
        <v>0</v>
      </c>
    </row>
    <row r="49" spans="1:11" ht="15.75" x14ac:dyDescent="0.25">
      <c r="A49" s="69">
        <v>42</v>
      </c>
      <c r="B49" s="70" t="s">
        <v>311</v>
      </c>
      <c r="C49" s="293" t="s">
        <v>133</v>
      </c>
      <c r="D49" s="305">
        <f t="shared" si="10"/>
        <v>0</v>
      </c>
      <c r="E49" s="71">
        <f t="shared" ref="E49:H49" si="25">E50</f>
        <v>0</v>
      </c>
      <c r="F49" s="71">
        <f t="shared" si="25"/>
        <v>0</v>
      </c>
      <c r="G49" s="71">
        <f t="shared" si="25"/>
        <v>0</v>
      </c>
      <c r="H49" s="71">
        <f t="shared" si="25"/>
        <v>0</v>
      </c>
      <c r="I49" s="315">
        <f t="shared" si="1"/>
        <v>0</v>
      </c>
      <c r="J49" s="321">
        <f t="shared" ref="J49" si="26">J50</f>
        <v>0</v>
      </c>
      <c r="K49" s="329">
        <f t="shared" si="2"/>
        <v>0</v>
      </c>
    </row>
    <row r="50" spans="1:11" ht="15.75" x14ac:dyDescent="0.25">
      <c r="A50" s="49">
        <v>43</v>
      </c>
      <c r="B50" s="50" t="s">
        <v>312</v>
      </c>
      <c r="C50" s="77"/>
      <c r="D50" s="299">
        <f t="shared" si="10"/>
        <v>0</v>
      </c>
      <c r="E50" s="52"/>
      <c r="F50" s="52"/>
      <c r="G50" s="52"/>
      <c r="H50" s="52"/>
      <c r="I50" s="315">
        <f t="shared" si="1"/>
        <v>0</v>
      </c>
      <c r="J50" s="328"/>
      <c r="K50" s="329">
        <f t="shared" si="2"/>
        <v>0</v>
      </c>
    </row>
    <row r="51" spans="1:11" ht="15.75" x14ac:dyDescent="0.25">
      <c r="A51" s="49">
        <v>44</v>
      </c>
      <c r="B51" s="50" t="s">
        <v>313</v>
      </c>
      <c r="C51" s="77" t="s">
        <v>137</v>
      </c>
      <c r="D51" s="299">
        <f t="shared" si="10"/>
        <v>0</v>
      </c>
      <c r="E51" s="52"/>
      <c r="F51" s="52"/>
      <c r="G51" s="52"/>
      <c r="H51" s="52"/>
      <c r="I51" s="315">
        <f t="shared" si="1"/>
        <v>0</v>
      </c>
      <c r="J51" s="328"/>
      <c r="K51" s="329">
        <f t="shared" si="2"/>
        <v>0</v>
      </c>
    </row>
    <row r="52" spans="1:11" ht="15.75" x14ac:dyDescent="0.25">
      <c r="A52" s="49">
        <v>45</v>
      </c>
      <c r="B52" s="50" t="s">
        <v>704</v>
      </c>
      <c r="C52" s="77" t="s">
        <v>141</v>
      </c>
      <c r="D52" s="299">
        <f t="shared" si="10"/>
        <v>0</v>
      </c>
      <c r="E52" s="52"/>
      <c r="F52" s="52"/>
      <c r="G52" s="52"/>
      <c r="H52" s="52"/>
      <c r="I52" s="315">
        <f t="shared" si="1"/>
        <v>0</v>
      </c>
      <c r="J52" s="328"/>
      <c r="K52" s="329">
        <f t="shared" si="2"/>
        <v>0</v>
      </c>
    </row>
    <row r="53" spans="1:11" ht="15.75" x14ac:dyDescent="0.25">
      <c r="A53" s="49">
        <v>46</v>
      </c>
      <c r="B53" s="50" t="s">
        <v>314</v>
      </c>
      <c r="C53" s="77" t="s">
        <v>315</v>
      </c>
      <c r="D53" s="299">
        <f t="shared" si="10"/>
        <v>0</v>
      </c>
      <c r="E53" s="52"/>
      <c r="F53" s="52"/>
      <c r="G53" s="52"/>
      <c r="H53" s="52"/>
      <c r="I53" s="315">
        <f t="shared" si="1"/>
        <v>0</v>
      </c>
      <c r="J53" s="328"/>
      <c r="K53" s="329">
        <f t="shared" si="2"/>
        <v>0</v>
      </c>
    </row>
    <row r="54" spans="1:11" s="43" customFormat="1" ht="29.25" x14ac:dyDescent="0.25">
      <c r="A54" s="69">
        <v>47</v>
      </c>
      <c r="B54" s="70" t="s">
        <v>316</v>
      </c>
      <c r="C54" s="293" t="s">
        <v>144</v>
      </c>
      <c r="D54" s="306">
        <f t="shared" si="10"/>
        <v>0</v>
      </c>
      <c r="E54" s="71">
        <f t="shared" ref="E54:H54" si="27">SUM(E55:E57)</f>
        <v>0</v>
      </c>
      <c r="F54" s="71">
        <f t="shared" si="27"/>
        <v>0</v>
      </c>
      <c r="G54" s="71">
        <f t="shared" si="27"/>
        <v>0</v>
      </c>
      <c r="H54" s="71">
        <f t="shared" si="27"/>
        <v>0</v>
      </c>
      <c r="I54" s="315">
        <f t="shared" si="1"/>
        <v>0</v>
      </c>
      <c r="J54" s="321">
        <f t="shared" ref="J54" si="28">SUM(J55:J57)</f>
        <v>0</v>
      </c>
      <c r="K54" s="329">
        <f t="shared" si="2"/>
        <v>0</v>
      </c>
    </row>
    <row r="55" spans="1:11" ht="15.75" x14ac:dyDescent="0.25">
      <c r="A55" s="49">
        <v>48</v>
      </c>
      <c r="B55" s="65" t="s">
        <v>358</v>
      </c>
      <c r="C55" s="77"/>
      <c r="D55" s="299">
        <f t="shared" si="10"/>
        <v>0</v>
      </c>
      <c r="E55" s="52"/>
      <c r="F55" s="52"/>
      <c r="G55" s="52"/>
      <c r="H55" s="52"/>
      <c r="I55" s="315">
        <f t="shared" si="1"/>
        <v>0</v>
      </c>
      <c r="J55" s="328"/>
      <c r="K55" s="329">
        <f t="shared" si="2"/>
        <v>0</v>
      </c>
    </row>
    <row r="56" spans="1:11" ht="30" x14ac:dyDescent="0.25">
      <c r="A56" s="49">
        <v>49</v>
      </c>
      <c r="B56" s="65" t="s">
        <v>359</v>
      </c>
      <c r="C56" s="77"/>
      <c r="D56" s="299">
        <f t="shared" si="10"/>
        <v>0</v>
      </c>
      <c r="E56" s="52"/>
      <c r="F56" s="52"/>
      <c r="G56" s="52"/>
      <c r="H56" s="52"/>
      <c r="I56" s="315">
        <f t="shared" si="1"/>
        <v>0</v>
      </c>
      <c r="J56" s="328"/>
      <c r="K56" s="329">
        <f t="shared" si="2"/>
        <v>0</v>
      </c>
    </row>
    <row r="57" spans="1:11" ht="15.75" x14ac:dyDescent="0.25">
      <c r="A57" s="49">
        <v>50</v>
      </c>
      <c r="B57" s="65" t="s">
        <v>758</v>
      </c>
      <c r="C57" s="77"/>
      <c r="D57" s="299">
        <f t="shared" si="10"/>
        <v>0</v>
      </c>
      <c r="E57" s="52"/>
      <c r="F57" s="52"/>
      <c r="G57" s="52"/>
      <c r="H57" s="52"/>
      <c r="I57" s="315">
        <f t="shared" si="1"/>
        <v>0</v>
      </c>
      <c r="J57" s="328"/>
      <c r="K57" s="329">
        <f t="shared" si="2"/>
        <v>0</v>
      </c>
    </row>
    <row r="58" spans="1:11" s="43" customFormat="1" ht="15.75" x14ac:dyDescent="0.25">
      <c r="A58" s="69">
        <v>51</v>
      </c>
      <c r="B58" s="70" t="s">
        <v>317</v>
      </c>
      <c r="C58" s="293" t="s">
        <v>146</v>
      </c>
      <c r="D58" s="305">
        <f t="shared" ref="D58:D89" si="29">SUM(I58,K58)</f>
        <v>1276017</v>
      </c>
      <c r="E58" s="71">
        <f t="shared" ref="E58:H58" si="30">SUM(E59:E63)</f>
        <v>1250017</v>
      </c>
      <c r="F58" s="71">
        <f>SUM(F59:F63)</f>
        <v>26000</v>
      </c>
      <c r="G58" s="71">
        <f t="shared" si="30"/>
        <v>0</v>
      </c>
      <c r="H58" s="71">
        <f t="shared" si="30"/>
        <v>0</v>
      </c>
      <c r="I58" s="315">
        <f t="shared" si="1"/>
        <v>1276017</v>
      </c>
      <c r="J58" s="321">
        <f t="shared" ref="J58" si="31">SUM(J59:J63)</f>
        <v>0</v>
      </c>
      <c r="K58" s="329">
        <f t="shared" si="2"/>
        <v>0</v>
      </c>
    </row>
    <row r="59" spans="1:11" ht="30" x14ac:dyDescent="0.25">
      <c r="A59" s="49">
        <v>52</v>
      </c>
      <c r="B59" s="65" t="s">
        <v>348</v>
      </c>
      <c r="C59" s="77"/>
      <c r="D59" s="299">
        <f t="shared" si="29"/>
        <v>0</v>
      </c>
      <c r="E59" s="52"/>
      <c r="F59" s="52"/>
      <c r="G59" s="52"/>
      <c r="H59" s="52"/>
      <c r="I59" s="315">
        <f t="shared" si="1"/>
        <v>0</v>
      </c>
      <c r="J59" s="328"/>
      <c r="K59" s="329">
        <f t="shared" si="2"/>
        <v>0</v>
      </c>
    </row>
    <row r="60" spans="1:11" ht="15.75" x14ac:dyDescent="0.25">
      <c r="A60" s="49">
        <v>53</v>
      </c>
      <c r="B60" s="65" t="s">
        <v>318</v>
      </c>
      <c r="C60" s="77"/>
      <c r="D60" s="299">
        <f t="shared" si="29"/>
        <v>0</v>
      </c>
      <c r="E60" s="52"/>
      <c r="F60" s="52"/>
      <c r="G60" s="52"/>
      <c r="H60" s="52"/>
      <c r="I60" s="315">
        <f t="shared" si="1"/>
        <v>0</v>
      </c>
      <c r="J60" s="328"/>
      <c r="K60" s="329">
        <f t="shared" si="2"/>
        <v>0</v>
      </c>
    </row>
    <row r="61" spans="1:11" ht="15.75" x14ac:dyDescent="0.25">
      <c r="A61" s="49">
        <v>54</v>
      </c>
      <c r="B61" s="65" t="s">
        <v>264</v>
      </c>
      <c r="C61" s="77"/>
      <c r="D61" s="299">
        <f t="shared" si="29"/>
        <v>0</v>
      </c>
      <c r="E61" s="52"/>
      <c r="F61" s="52"/>
      <c r="G61" s="52"/>
      <c r="H61" s="52"/>
      <c r="I61" s="315">
        <f t="shared" si="1"/>
        <v>0</v>
      </c>
      <c r="J61" s="328"/>
      <c r="K61" s="329">
        <f t="shared" si="2"/>
        <v>0</v>
      </c>
    </row>
    <row r="62" spans="1:11" ht="15.75" x14ac:dyDescent="0.25">
      <c r="A62" s="49">
        <v>55</v>
      </c>
      <c r="B62" s="65" t="s">
        <v>349</v>
      </c>
      <c r="C62" s="77"/>
      <c r="D62" s="299">
        <f t="shared" si="29"/>
        <v>0</v>
      </c>
      <c r="E62" s="52"/>
      <c r="F62" s="52"/>
      <c r="G62" s="52"/>
      <c r="H62" s="52"/>
      <c r="I62" s="315">
        <f t="shared" si="1"/>
        <v>0</v>
      </c>
      <c r="J62" s="328"/>
      <c r="K62" s="329">
        <f t="shared" si="2"/>
        <v>0</v>
      </c>
    </row>
    <row r="63" spans="1:11" ht="45" x14ac:dyDescent="0.25">
      <c r="A63" s="49">
        <v>56</v>
      </c>
      <c r="B63" s="65" t="s">
        <v>350</v>
      </c>
      <c r="C63" s="77"/>
      <c r="D63" s="299">
        <f t="shared" si="29"/>
        <v>1276017</v>
      </c>
      <c r="E63" s="52">
        <v>1250017</v>
      </c>
      <c r="F63" s="52">
        <v>26000</v>
      </c>
      <c r="G63" s="52"/>
      <c r="H63" s="52"/>
      <c r="I63" s="315">
        <f t="shared" si="1"/>
        <v>1276017</v>
      </c>
      <c r="J63" s="328"/>
      <c r="K63" s="329">
        <f t="shared" si="2"/>
        <v>0</v>
      </c>
    </row>
    <row r="64" spans="1:11" ht="15.75" x14ac:dyDescent="0.25">
      <c r="A64" s="73">
        <v>57</v>
      </c>
      <c r="B64" s="74" t="s">
        <v>149</v>
      </c>
      <c r="C64" s="294" t="s">
        <v>150</v>
      </c>
      <c r="D64" s="307">
        <f t="shared" si="29"/>
        <v>8238208</v>
      </c>
      <c r="E64" s="75">
        <f t="shared" ref="E64" si="32">SUM(E38,E44,E45,E49,E54,E58,E51,E52,E53)</f>
        <v>1340017</v>
      </c>
      <c r="F64" s="75">
        <f>SUM(F38,F44,F45,F49,F54,F58,F51,F52,F53)</f>
        <v>371000</v>
      </c>
      <c r="G64" s="75">
        <f t="shared" ref="G64:H64" si="33">SUM(G38,G44,G45,G49,G54,G58,G51,G52,G53)</f>
        <v>0</v>
      </c>
      <c r="H64" s="75">
        <f t="shared" si="33"/>
        <v>0</v>
      </c>
      <c r="I64" s="315">
        <f t="shared" si="1"/>
        <v>1711017</v>
      </c>
      <c r="J64" s="322">
        <f t="shared" ref="J64" si="34">SUM(J38,J44,J45,J49,J54,J58,J51,J52,J53)</f>
        <v>6527191</v>
      </c>
      <c r="K64" s="329">
        <f t="shared" si="2"/>
        <v>6527191</v>
      </c>
    </row>
    <row r="65" spans="1:11" ht="15.75" x14ac:dyDescent="0.25">
      <c r="A65" s="49">
        <v>58</v>
      </c>
      <c r="B65" s="50" t="s">
        <v>319</v>
      </c>
      <c r="C65" s="77" t="s">
        <v>154</v>
      </c>
      <c r="D65" s="299">
        <f t="shared" si="29"/>
        <v>0</v>
      </c>
      <c r="E65" s="52"/>
      <c r="F65" s="52"/>
      <c r="G65" s="52"/>
      <c r="H65" s="52"/>
      <c r="I65" s="315">
        <f t="shared" si="1"/>
        <v>0</v>
      </c>
      <c r="J65" s="328"/>
      <c r="K65" s="329">
        <f t="shared" si="2"/>
        <v>0</v>
      </c>
    </row>
    <row r="66" spans="1:11" ht="15.75" x14ac:dyDescent="0.25">
      <c r="A66" s="49">
        <v>59</v>
      </c>
      <c r="B66" s="50" t="s">
        <v>320</v>
      </c>
      <c r="C66" s="77" t="s">
        <v>158</v>
      </c>
      <c r="D66" s="299">
        <f t="shared" si="29"/>
        <v>0</v>
      </c>
      <c r="E66" s="52"/>
      <c r="F66" s="52"/>
      <c r="G66" s="52"/>
      <c r="H66" s="52"/>
      <c r="I66" s="315">
        <f t="shared" si="1"/>
        <v>0</v>
      </c>
      <c r="J66" s="328"/>
      <c r="K66" s="329">
        <f t="shared" si="2"/>
        <v>0</v>
      </c>
    </row>
    <row r="67" spans="1:11" ht="29.25" x14ac:dyDescent="0.25">
      <c r="A67" s="69">
        <v>60</v>
      </c>
      <c r="B67" s="70" t="s">
        <v>159</v>
      </c>
      <c r="C67" s="293" t="s">
        <v>160</v>
      </c>
      <c r="D67" s="305">
        <f t="shared" si="29"/>
        <v>0</v>
      </c>
      <c r="E67" s="71">
        <f t="shared" ref="E67:H67" si="35">SUM(E65:E66)</f>
        <v>0</v>
      </c>
      <c r="F67" s="71">
        <f t="shared" si="35"/>
        <v>0</v>
      </c>
      <c r="G67" s="71">
        <f t="shared" si="35"/>
        <v>0</v>
      </c>
      <c r="H67" s="71">
        <f t="shared" si="35"/>
        <v>0</v>
      </c>
      <c r="I67" s="315">
        <f t="shared" si="1"/>
        <v>0</v>
      </c>
      <c r="J67" s="321">
        <f t="shared" ref="J67" si="36">SUM(J65:J66)</f>
        <v>0</v>
      </c>
      <c r="K67" s="329">
        <f t="shared" si="2"/>
        <v>0</v>
      </c>
    </row>
    <row r="68" spans="1:11" ht="30" x14ac:dyDescent="0.25">
      <c r="A68" s="49">
        <v>61</v>
      </c>
      <c r="B68" s="50" t="s">
        <v>321</v>
      </c>
      <c r="C68" s="77" t="s">
        <v>163</v>
      </c>
      <c r="D68" s="299">
        <f t="shared" si="29"/>
        <v>880269</v>
      </c>
      <c r="E68" s="51">
        <v>337504</v>
      </c>
      <c r="F68" s="51">
        <v>100000</v>
      </c>
      <c r="G68" s="51"/>
      <c r="H68" s="51"/>
      <c r="I68" s="315">
        <f t="shared" si="1"/>
        <v>437504</v>
      </c>
      <c r="J68" s="314">
        <v>442765</v>
      </c>
      <c r="K68" s="329">
        <f t="shared" si="2"/>
        <v>442765</v>
      </c>
    </row>
    <row r="69" spans="1:11" ht="15.75" x14ac:dyDescent="0.25">
      <c r="A69" s="49">
        <v>62</v>
      </c>
      <c r="B69" s="50" t="s">
        <v>322</v>
      </c>
      <c r="C69" s="77" t="s">
        <v>166</v>
      </c>
      <c r="D69" s="299">
        <f t="shared" si="29"/>
        <v>1120500</v>
      </c>
      <c r="E69" s="52"/>
      <c r="F69" s="52"/>
      <c r="G69" s="52"/>
      <c r="H69" s="52"/>
      <c r="I69" s="315">
        <f t="shared" si="1"/>
        <v>0</v>
      </c>
      <c r="J69" s="328">
        <f>J108</f>
        <v>1120500</v>
      </c>
      <c r="K69" s="329">
        <f t="shared" si="2"/>
        <v>1120500</v>
      </c>
    </row>
    <row r="70" spans="1:11" ht="15.75" x14ac:dyDescent="0.25">
      <c r="A70" s="49">
        <v>63</v>
      </c>
      <c r="B70" s="50" t="s">
        <v>169</v>
      </c>
      <c r="C70" s="77" t="s">
        <v>170</v>
      </c>
      <c r="D70" s="299">
        <f t="shared" si="29"/>
        <v>0</v>
      </c>
      <c r="E70" s="52"/>
      <c r="F70" s="52"/>
      <c r="G70" s="52"/>
      <c r="H70" s="52"/>
      <c r="I70" s="315">
        <f t="shared" si="1"/>
        <v>0</v>
      </c>
      <c r="J70" s="328"/>
      <c r="K70" s="329">
        <f t="shared" si="2"/>
        <v>0</v>
      </c>
    </row>
    <row r="71" spans="1:11" ht="15.75" x14ac:dyDescent="0.25">
      <c r="A71" s="49">
        <v>64</v>
      </c>
      <c r="B71" s="50" t="s">
        <v>323</v>
      </c>
      <c r="C71" s="77" t="s">
        <v>324</v>
      </c>
      <c r="D71" s="299">
        <f t="shared" si="29"/>
        <v>0</v>
      </c>
      <c r="E71" s="52"/>
      <c r="F71" s="52"/>
      <c r="G71" s="52"/>
      <c r="H71" s="52"/>
      <c r="I71" s="315">
        <f t="shared" si="1"/>
        <v>0</v>
      </c>
      <c r="J71" s="328"/>
      <c r="K71" s="329">
        <f t="shared" si="2"/>
        <v>0</v>
      </c>
    </row>
    <row r="72" spans="1:11" ht="15.75" x14ac:dyDescent="0.25">
      <c r="A72" s="69">
        <v>65</v>
      </c>
      <c r="B72" s="70" t="s">
        <v>325</v>
      </c>
      <c r="C72" s="293" t="s">
        <v>174</v>
      </c>
      <c r="D72" s="305">
        <f t="shared" si="29"/>
        <v>0</v>
      </c>
      <c r="E72" s="71">
        <f t="shared" ref="E72:H72" si="37">SUM(E73:E77)</f>
        <v>0</v>
      </c>
      <c r="F72" s="71">
        <f t="shared" si="37"/>
        <v>0</v>
      </c>
      <c r="G72" s="71">
        <f t="shared" si="37"/>
        <v>0</v>
      </c>
      <c r="H72" s="71">
        <f t="shared" si="37"/>
        <v>0</v>
      </c>
      <c r="I72" s="315">
        <f t="shared" ref="I72:I114" si="38">SUM(E72,F72,G72,H72)</f>
        <v>0</v>
      </c>
      <c r="J72" s="321">
        <f t="shared" ref="J72" si="39">SUM(J73:J77)</f>
        <v>0</v>
      </c>
      <c r="K72" s="329">
        <f t="shared" ref="K72:K113" si="40">SUM(J72,)</f>
        <v>0</v>
      </c>
    </row>
    <row r="73" spans="1:11" ht="15.75" x14ac:dyDescent="0.25">
      <c r="A73" s="49">
        <v>66</v>
      </c>
      <c r="B73" s="65" t="s">
        <v>326</v>
      </c>
      <c r="C73" s="77"/>
      <c r="D73" s="299">
        <f t="shared" si="29"/>
        <v>0</v>
      </c>
      <c r="E73" s="52"/>
      <c r="F73" s="52"/>
      <c r="G73" s="52"/>
      <c r="H73" s="52"/>
      <c r="I73" s="315">
        <f t="shared" si="38"/>
        <v>0</v>
      </c>
      <c r="J73" s="328"/>
      <c r="K73" s="329">
        <f t="shared" si="40"/>
        <v>0</v>
      </c>
    </row>
    <row r="74" spans="1:11" ht="15.75" x14ac:dyDescent="0.25">
      <c r="A74" s="49">
        <v>67</v>
      </c>
      <c r="B74" s="65"/>
      <c r="C74" s="77"/>
      <c r="D74" s="299">
        <f t="shared" si="29"/>
        <v>0</v>
      </c>
      <c r="E74" s="52"/>
      <c r="F74" s="52"/>
      <c r="G74" s="52"/>
      <c r="H74" s="52"/>
      <c r="I74" s="315">
        <f t="shared" si="38"/>
        <v>0</v>
      </c>
      <c r="J74" s="328"/>
      <c r="K74" s="329">
        <f t="shared" si="40"/>
        <v>0</v>
      </c>
    </row>
    <row r="75" spans="1:11" ht="30" x14ac:dyDescent="0.25">
      <c r="A75" s="49">
        <v>68</v>
      </c>
      <c r="B75" s="65" t="s">
        <v>327</v>
      </c>
      <c r="C75" s="77"/>
      <c r="D75" s="299">
        <f t="shared" si="29"/>
        <v>0</v>
      </c>
      <c r="E75" s="52"/>
      <c r="F75" s="52"/>
      <c r="G75" s="52"/>
      <c r="H75" s="52"/>
      <c r="I75" s="315">
        <f t="shared" si="38"/>
        <v>0</v>
      </c>
      <c r="J75" s="328"/>
      <c r="K75" s="329">
        <f t="shared" si="40"/>
        <v>0</v>
      </c>
    </row>
    <row r="76" spans="1:11" ht="15.75" x14ac:dyDescent="0.25">
      <c r="A76" s="49">
        <v>69</v>
      </c>
      <c r="B76" s="65" t="s">
        <v>328</v>
      </c>
      <c r="C76" s="77"/>
      <c r="D76" s="299">
        <f t="shared" si="29"/>
        <v>0</v>
      </c>
      <c r="E76" s="52"/>
      <c r="F76" s="52"/>
      <c r="G76" s="52"/>
      <c r="H76" s="52"/>
      <c r="I76" s="315">
        <f t="shared" si="38"/>
        <v>0</v>
      </c>
      <c r="J76" s="328"/>
      <c r="K76" s="329">
        <f t="shared" si="40"/>
        <v>0</v>
      </c>
    </row>
    <row r="77" spans="1:11" ht="15.75" x14ac:dyDescent="0.25">
      <c r="A77" s="49">
        <v>70</v>
      </c>
      <c r="B77" s="65" t="s">
        <v>329</v>
      </c>
      <c r="C77" s="77"/>
      <c r="D77" s="299">
        <f t="shared" si="29"/>
        <v>0</v>
      </c>
      <c r="E77" s="52"/>
      <c r="F77" s="52"/>
      <c r="G77" s="52"/>
      <c r="H77" s="52"/>
      <c r="I77" s="315">
        <f t="shared" si="38"/>
        <v>0</v>
      </c>
      <c r="J77" s="328"/>
      <c r="K77" s="329">
        <f t="shared" si="40"/>
        <v>0</v>
      </c>
    </row>
    <row r="78" spans="1:11" ht="29.25" x14ac:dyDescent="0.25">
      <c r="A78" s="69">
        <v>71</v>
      </c>
      <c r="B78" s="70" t="s">
        <v>330</v>
      </c>
      <c r="C78" s="293" t="s">
        <v>178</v>
      </c>
      <c r="D78" s="305">
        <f t="shared" si="29"/>
        <v>2000769</v>
      </c>
      <c r="E78" s="71">
        <f t="shared" ref="E78:H78" si="41">SUM(E72,E71,E70,E69,E68)</f>
        <v>337504</v>
      </c>
      <c r="F78" s="71">
        <f t="shared" si="41"/>
        <v>100000</v>
      </c>
      <c r="G78" s="71">
        <f t="shared" si="41"/>
        <v>0</v>
      </c>
      <c r="H78" s="71">
        <f t="shared" si="41"/>
        <v>0</v>
      </c>
      <c r="I78" s="315">
        <f t="shared" si="38"/>
        <v>437504</v>
      </c>
      <c r="J78" s="321">
        <f>SUM(J72,J71,J70,J69,J68)</f>
        <v>1563265</v>
      </c>
      <c r="K78" s="329">
        <f t="shared" si="40"/>
        <v>1563265</v>
      </c>
    </row>
    <row r="79" spans="1:11" s="45" customFormat="1" ht="18.75" x14ac:dyDescent="0.3">
      <c r="A79" s="885" t="s">
        <v>331</v>
      </c>
      <c r="B79" s="886"/>
      <c r="C79" s="295" t="s">
        <v>180</v>
      </c>
      <c r="D79" s="308">
        <f t="shared" si="29"/>
        <v>10238977</v>
      </c>
      <c r="E79" s="76">
        <f>SUM(E64+E78)</f>
        <v>1677521</v>
      </c>
      <c r="F79" s="76">
        <f t="shared" ref="F79:J79" si="42">SUM(F64+F78)</f>
        <v>471000</v>
      </c>
      <c r="G79" s="76">
        <f t="shared" si="42"/>
        <v>0</v>
      </c>
      <c r="H79" s="76">
        <f t="shared" si="42"/>
        <v>0</v>
      </c>
      <c r="I79" s="315">
        <f t="shared" si="38"/>
        <v>2148521</v>
      </c>
      <c r="J79" s="323">
        <f t="shared" si="42"/>
        <v>8090456</v>
      </c>
      <c r="K79" s="329">
        <f t="shared" si="40"/>
        <v>8090456</v>
      </c>
    </row>
    <row r="80" spans="1:11" ht="30" x14ac:dyDescent="0.25">
      <c r="A80" s="49">
        <v>72</v>
      </c>
      <c r="B80" s="50" t="s">
        <v>192</v>
      </c>
      <c r="C80" s="77" t="s">
        <v>193</v>
      </c>
      <c r="D80" s="299">
        <f t="shared" si="29"/>
        <v>0</v>
      </c>
      <c r="E80" s="52"/>
      <c r="F80" s="52"/>
      <c r="G80" s="52"/>
      <c r="H80" s="52"/>
      <c r="I80" s="315">
        <f t="shared" si="38"/>
        <v>0</v>
      </c>
      <c r="J80" s="328"/>
      <c r="K80" s="329">
        <f t="shared" si="40"/>
        <v>0</v>
      </c>
    </row>
    <row r="81" spans="1:11" ht="15.75" x14ac:dyDescent="0.25">
      <c r="A81" s="49">
        <v>73</v>
      </c>
      <c r="B81" s="50" t="s">
        <v>332</v>
      </c>
      <c r="C81" s="77" t="s">
        <v>195</v>
      </c>
      <c r="D81" s="299">
        <f t="shared" si="29"/>
        <v>0</v>
      </c>
      <c r="E81" s="52"/>
      <c r="F81" s="52"/>
      <c r="G81" s="52"/>
      <c r="H81" s="52"/>
      <c r="I81" s="315">
        <f t="shared" si="38"/>
        <v>0</v>
      </c>
      <c r="J81" s="328"/>
      <c r="K81" s="329">
        <f t="shared" si="40"/>
        <v>0</v>
      </c>
    </row>
    <row r="82" spans="1:11" ht="30" x14ac:dyDescent="0.25">
      <c r="A82" s="49">
        <v>74</v>
      </c>
      <c r="B82" s="50" t="s">
        <v>333</v>
      </c>
      <c r="C82" s="77" t="s">
        <v>197</v>
      </c>
      <c r="D82" s="299">
        <f t="shared" si="29"/>
        <v>0</v>
      </c>
      <c r="E82" s="51"/>
      <c r="F82" s="51"/>
      <c r="G82" s="51"/>
      <c r="H82" s="51"/>
      <c r="I82" s="315">
        <f t="shared" si="38"/>
        <v>0</v>
      </c>
      <c r="J82" s="314"/>
      <c r="K82" s="329">
        <f t="shared" si="40"/>
        <v>0</v>
      </c>
    </row>
    <row r="83" spans="1:11" ht="15.75" x14ac:dyDescent="0.25">
      <c r="A83" s="49">
        <v>75</v>
      </c>
      <c r="B83" s="72"/>
      <c r="C83" s="77"/>
      <c r="D83" s="299">
        <f t="shared" si="29"/>
        <v>0</v>
      </c>
      <c r="E83" s="52"/>
      <c r="F83" s="52"/>
      <c r="G83" s="52"/>
      <c r="H83" s="52"/>
      <c r="I83" s="315">
        <f t="shared" si="38"/>
        <v>0</v>
      </c>
      <c r="J83" s="328"/>
      <c r="K83" s="329">
        <f t="shared" si="40"/>
        <v>0</v>
      </c>
    </row>
    <row r="84" spans="1:11" ht="15.75" x14ac:dyDescent="0.25">
      <c r="A84" s="49">
        <v>76</v>
      </c>
      <c r="B84" s="72"/>
      <c r="C84" s="77"/>
      <c r="D84" s="299">
        <f t="shared" si="29"/>
        <v>0</v>
      </c>
      <c r="E84" s="52"/>
      <c r="F84" s="52"/>
      <c r="G84" s="52"/>
      <c r="H84" s="52"/>
      <c r="I84" s="315">
        <f t="shared" si="38"/>
        <v>0</v>
      </c>
      <c r="J84" s="328"/>
      <c r="K84" s="329">
        <f t="shared" si="40"/>
        <v>0</v>
      </c>
    </row>
    <row r="85" spans="1:11" ht="29.25" x14ac:dyDescent="0.25">
      <c r="A85" s="309">
        <v>77</v>
      </c>
      <c r="B85" s="79" t="s">
        <v>198</v>
      </c>
      <c r="C85" s="78" t="s">
        <v>199</v>
      </c>
      <c r="D85" s="300">
        <f t="shared" si="29"/>
        <v>0</v>
      </c>
      <c r="E85" s="80">
        <f t="shared" ref="E85:J85" si="43">SUM(E86:E95)</f>
        <v>0</v>
      </c>
      <c r="F85" s="80">
        <f t="shared" si="43"/>
        <v>0</v>
      </c>
      <c r="G85" s="80">
        <f t="shared" si="43"/>
        <v>0</v>
      </c>
      <c r="H85" s="80">
        <f t="shared" si="43"/>
        <v>0</v>
      </c>
      <c r="I85" s="315">
        <f t="shared" si="38"/>
        <v>0</v>
      </c>
      <c r="J85" s="324">
        <f t="shared" si="43"/>
        <v>0</v>
      </c>
      <c r="K85" s="329">
        <f t="shared" si="40"/>
        <v>0</v>
      </c>
    </row>
    <row r="86" spans="1:11" ht="15.75" x14ac:dyDescent="0.25">
      <c r="A86" s="49">
        <v>78</v>
      </c>
      <c r="B86" s="50" t="s">
        <v>753</v>
      </c>
      <c r="C86" s="77"/>
      <c r="D86" s="299">
        <f t="shared" si="29"/>
        <v>0</v>
      </c>
      <c r="E86" s="52"/>
      <c r="F86" s="52"/>
      <c r="G86" s="52"/>
      <c r="H86" s="52"/>
      <c r="I86" s="315">
        <f t="shared" si="38"/>
        <v>0</v>
      </c>
      <c r="J86" s="328"/>
      <c r="K86" s="329">
        <f t="shared" si="40"/>
        <v>0</v>
      </c>
    </row>
    <row r="87" spans="1:11" ht="15.75" x14ac:dyDescent="0.25">
      <c r="A87" s="49">
        <v>79</v>
      </c>
      <c r="B87" s="90" t="s">
        <v>754</v>
      </c>
      <c r="C87" s="77"/>
      <c r="D87" s="299">
        <f t="shared" si="29"/>
        <v>0</v>
      </c>
      <c r="E87" s="52"/>
      <c r="F87" s="52"/>
      <c r="G87" s="52"/>
      <c r="H87" s="52"/>
      <c r="I87" s="315">
        <f t="shared" si="38"/>
        <v>0</v>
      </c>
      <c r="J87" s="328"/>
      <c r="K87" s="329">
        <f t="shared" si="40"/>
        <v>0</v>
      </c>
    </row>
    <row r="88" spans="1:11" ht="15.75" x14ac:dyDescent="0.25">
      <c r="A88" s="49">
        <v>80</v>
      </c>
      <c r="B88" s="77" t="s">
        <v>755</v>
      </c>
      <c r="C88" s="77"/>
      <c r="D88" s="299">
        <f t="shared" si="29"/>
        <v>0</v>
      </c>
      <c r="E88" s="52"/>
      <c r="F88" s="52"/>
      <c r="G88" s="52"/>
      <c r="H88" s="52"/>
      <c r="I88" s="315">
        <f t="shared" si="38"/>
        <v>0</v>
      </c>
      <c r="J88" s="328"/>
      <c r="K88" s="329">
        <f t="shared" si="40"/>
        <v>0</v>
      </c>
    </row>
    <row r="89" spans="1:11" ht="15.75" x14ac:dyDescent="0.25">
      <c r="A89" s="49">
        <v>81</v>
      </c>
      <c r="B89" s="77" t="s">
        <v>756</v>
      </c>
      <c r="C89" s="77"/>
      <c r="D89" s="299">
        <f t="shared" si="29"/>
        <v>0</v>
      </c>
      <c r="E89" s="52"/>
      <c r="F89" s="52"/>
      <c r="G89" s="52"/>
      <c r="H89" s="52"/>
      <c r="I89" s="315">
        <f t="shared" si="38"/>
        <v>0</v>
      </c>
      <c r="J89" s="328"/>
      <c r="K89" s="329">
        <f t="shared" si="40"/>
        <v>0</v>
      </c>
    </row>
    <row r="90" spans="1:11" ht="15.75" x14ac:dyDescent="0.25">
      <c r="A90" s="49">
        <v>82</v>
      </c>
      <c r="B90" s="50" t="s">
        <v>757</v>
      </c>
      <c r="C90" s="77"/>
      <c r="D90" s="299">
        <f t="shared" ref="D90:D105" si="44">SUM(I90,K90)</f>
        <v>0</v>
      </c>
      <c r="E90" s="52"/>
      <c r="F90" s="52"/>
      <c r="G90" s="52"/>
      <c r="H90" s="52"/>
      <c r="I90" s="315">
        <f t="shared" si="38"/>
        <v>0</v>
      </c>
      <c r="J90" s="328"/>
      <c r="K90" s="329">
        <f t="shared" si="40"/>
        <v>0</v>
      </c>
    </row>
    <row r="91" spans="1:11" ht="15.75" x14ac:dyDescent="0.25">
      <c r="A91" s="49">
        <v>83</v>
      </c>
      <c r="B91" s="50"/>
      <c r="C91" s="77"/>
      <c r="D91" s="299">
        <f t="shared" si="44"/>
        <v>0</v>
      </c>
      <c r="E91" s="52"/>
      <c r="F91" s="52"/>
      <c r="G91" s="52"/>
      <c r="H91" s="52"/>
      <c r="I91" s="315">
        <f t="shared" si="38"/>
        <v>0</v>
      </c>
      <c r="J91" s="328"/>
      <c r="K91" s="329">
        <f t="shared" si="40"/>
        <v>0</v>
      </c>
    </row>
    <row r="92" spans="1:11" ht="15.75" x14ac:dyDescent="0.25">
      <c r="A92" s="49">
        <v>84</v>
      </c>
      <c r="B92" s="77"/>
      <c r="C92" s="77"/>
      <c r="D92" s="299">
        <f t="shared" si="44"/>
        <v>0</v>
      </c>
      <c r="E92" s="52"/>
      <c r="F92" s="52"/>
      <c r="G92" s="52"/>
      <c r="H92" s="52"/>
      <c r="I92" s="315">
        <f t="shared" si="38"/>
        <v>0</v>
      </c>
      <c r="J92" s="328"/>
      <c r="K92" s="329">
        <f t="shared" si="40"/>
        <v>0</v>
      </c>
    </row>
    <row r="93" spans="1:11" ht="15.75" x14ac:dyDescent="0.25">
      <c r="A93" s="49">
        <v>85</v>
      </c>
      <c r="B93" s="77"/>
      <c r="C93" s="77"/>
      <c r="D93" s="299">
        <f t="shared" si="44"/>
        <v>0</v>
      </c>
      <c r="E93" s="52"/>
      <c r="F93" s="52"/>
      <c r="G93" s="52"/>
      <c r="H93" s="52"/>
      <c r="I93" s="315">
        <f t="shared" si="38"/>
        <v>0</v>
      </c>
      <c r="J93" s="328"/>
      <c r="K93" s="329">
        <f t="shared" si="40"/>
        <v>0</v>
      </c>
    </row>
    <row r="94" spans="1:11" ht="15.75" x14ac:dyDescent="0.25">
      <c r="A94" s="49">
        <v>86</v>
      </c>
      <c r="B94" s="53"/>
      <c r="C94" s="77"/>
      <c r="D94" s="299">
        <f t="shared" si="44"/>
        <v>0</v>
      </c>
      <c r="E94" s="52"/>
      <c r="F94" s="52"/>
      <c r="G94" s="52"/>
      <c r="H94" s="52"/>
      <c r="I94" s="315">
        <f t="shared" si="38"/>
        <v>0</v>
      </c>
      <c r="J94" s="328"/>
      <c r="K94" s="329">
        <f t="shared" si="40"/>
        <v>0</v>
      </c>
    </row>
    <row r="95" spans="1:11" ht="15.75" x14ac:dyDescent="0.25">
      <c r="A95" s="49">
        <v>87</v>
      </c>
      <c r="B95" s="53"/>
      <c r="C95" s="77"/>
      <c r="D95" s="299">
        <f t="shared" si="44"/>
        <v>0</v>
      </c>
      <c r="E95" s="52"/>
      <c r="F95" s="52"/>
      <c r="G95" s="52"/>
      <c r="H95" s="52"/>
      <c r="I95" s="315">
        <f t="shared" si="38"/>
        <v>0</v>
      </c>
      <c r="J95" s="328"/>
      <c r="K95" s="329">
        <f t="shared" si="40"/>
        <v>0</v>
      </c>
    </row>
    <row r="96" spans="1:11" ht="15.75" x14ac:dyDescent="0.25">
      <c r="A96" s="49">
        <v>88</v>
      </c>
      <c r="B96" s="50" t="s">
        <v>334</v>
      </c>
      <c r="C96" s="77" t="s">
        <v>335</v>
      </c>
      <c r="D96" s="299">
        <f t="shared" si="44"/>
        <v>0</v>
      </c>
      <c r="E96" s="52"/>
      <c r="F96" s="52"/>
      <c r="G96" s="52"/>
      <c r="H96" s="52"/>
      <c r="I96" s="315">
        <f t="shared" si="38"/>
        <v>0</v>
      </c>
      <c r="J96" s="328"/>
      <c r="K96" s="329">
        <f t="shared" si="40"/>
        <v>0</v>
      </c>
    </row>
    <row r="97" spans="1:13" ht="30" x14ac:dyDescent="0.25">
      <c r="A97" s="49">
        <v>89</v>
      </c>
      <c r="B97" s="50" t="s">
        <v>336</v>
      </c>
      <c r="C97" s="77" t="s">
        <v>337</v>
      </c>
      <c r="D97" s="299">
        <f t="shared" si="44"/>
        <v>0</v>
      </c>
      <c r="E97" s="52"/>
      <c r="F97" s="52"/>
      <c r="G97" s="52"/>
      <c r="H97" s="52"/>
      <c r="I97" s="315">
        <f t="shared" si="38"/>
        <v>0</v>
      </c>
      <c r="J97" s="328"/>
      <c r="K97" s="329">
        <f t="shared" si="40"/>
        <v>0</v>
      </c>
    </row>
    <row r="98" spans="1:13" ht="30" x14ac:dyDescent="0.25">
      <c r="A98" s="49">
        <v>90</v>
      </c>
      <c r="B98" s="50" t="s">
        <v>713</v>
      </c>
      <c r="C98" s="77" t="s">
        <v>201</v>
      </c>
      <c r="D98" s="299">
        <f t="shared" si="44"/>
        <v>0</v>
      </c>
      <c r="E98" s="51">
        <f>SUM(E85,E82,E80,E81)*0.27</f>
        <v>0</v>
      </c>
      <c r="F98" s="51">
        <f>SUM(F85,F82,F80,F81)*0.27</f>
        <v>0</v>
      </c>
      <c r="G98" s="51">
        <f>SUM(G85,G82,G80,G81)*0.27</f>
        <v>0</v>
      </c>
      <c r="H98" s="51">
        <f>SUM(H85,H82,H80,H81)*0.27</f>
        <v>0</v>
      </c>
      <c r="I98" s="315">
        <f t="shared" si="38"/>
        <v>0</v>
      </c>
      <c r="J98" s="314">
        <f>SUM(J85,J82,J80,J81)*0.27</f>
        <v>0</v>
      </c>
      <c r="K98" s="329">
        <f t="shared" si="40"/>
        <v>0</v>
      </c>
    </row>
    <row r="99" spans="1:13" ht="15.75" x14ac:dyDescent="0.25">
      <c r="A99" s="887" t="s">
        <v>351</v>
      </c>
      <c r="B99" s="888"/>
      <c r="C99" s="888"/>
      <c r="D99" s="310">
        <f t="shared" si="44"/>
        <v>0</v>
      </c>
      <c r="E99" s="81">
        <f t="shared" ref="E99:J99" si="45">SUM(E80:E82,E85,E96:E98)</f>
        <v>0</v>
      </c>
      <c r="F99" s="81">
        <f t="shared" si="45"/>
        <v>0</v>
      </c>
      <c r="G99" s="81">
        <f t="shared" si="45"/>
        <v>0</v>
      </c>
      <c r="H99" s="81">
        <f t="shared" si="45"/>
        <v>0</v>
      </c>
      <c r="I99" s="315">
        <f t="shared" si="38"/>
        <v>0</v>
      </c>
      <c r="J99" s="325">
        <f t="shared" si="45"/>
        <v>0</v>
      </c>
      <c r="K99" s="329">
        <f t="shared" si="40"/>
        <v>0</v>
      </c>
      <c r="L99" s="288"/>
      <c r="M99" s="91"/>
    </row>
    <row r="100" spans="1:13" ht="15.75" x14ac:dyDescent="0.25">
      <c r="A100" s="49">
        <v>91</v>
      </c>
      <c r="B100" s="50" t="s">
        <v>204</v>
      </c>
      <c r="C100" s="77" t="s">
        <v>205</v>
      </c>
      <c r="D100" s="299">
        <f t="shared" si="44"/>
        <v>0</v>
      </c>
      <c r="E100" s="52"/>
      <c r="F100" s="52"/>
      <c r="G100" s="52"/>
      <c r="H100" s="52"/>
      <c r="I100" s="315">
        <f t="shared" si="38"/>
        <v>0</v>
      </c>
      <c r="J100" s="328"/>
      <c r="K100" s="329">
        <f t="shared" si="40"/>
        <v>0</v>
      </c>
    </row>
    <row r="101" spans="1:13" ht="15.75" x14ac:dyDescent="0.25">
      <c r="A101" s="49">
        <v>92</v>
      </c>
      <c r="B101" s="50" t="s">
        <v>338</v>
      </c>
      <c r="C101" s="77" t="s">
        <v>339</v>
      </c>
      <c r="D101" s="299">
        <f t="shared" si="44"/>
        <v>0</v>
      </c>
      <c r="E101" s="52"/>
      <c r="F101" s="52"/>
      <c r="G101" s="52"/>
      <c r="H101" s="52"/>
      <c r="I101" s="315">
        <f t="shared" si="38"/>
        <v>0</v>
      </c>
      <c r="J101" s="328"/>
      <c r="K101" s="329">
        <f t="shared" si="40"/>
        <v>0</v>
      </c>
    </row>
    <row r="102" spans="1:13" ht="15.75" x14ac:dyDescent="0.25">
      <c r="A102" s="49">
        <v>93</v>
      </c>
      <c r="B102" s="50" t="s">
        <v>714</v>
      </c>
      <c r="C102" s="77" t="s">
        <v>341</v>
      </c>
      <c r="D102" s="299">
        <f t="shared" si="44"/>
        <v>0</v>
      </c>
      <c r="E102" s="52"/>
      <c r="F102" s="52"/>
      <c r="G102" s="52"/>
      <c r="H102" s="52"/>
      <c r="I102" s="315">
        <f t="shared" si="38"/>
        <v>0</v>
      </c>
      <c r="J102" s="328"/>
      <c r="K102" s="329">
        <f t="shared" si="40"/>
        <v>0</v>
      </c>
    </row>
    <row r="103" spans="1:13" ht="30" x14ac:dyDescent="0.25">
      <c r="A103" s="49">
        <v>94</v>
      </c>
      <c r="B103" s="50" t="s">
        <v>614</v>
      </c>
      <c r="C103" s="77" t="s">
        <v>207</v>
      </c>
      <c r="D103" s="299">
        <f t="shared" si="44"/>
        <v>0</v>
      </c>
      <c r="E103" s="51"/>
      <c r="F103" s="51"/>
      <c r="G103" s="51"/>
      <c r="H103" s="51"/>
      <c r="I103" s="315">
        <f t="shared" si="38"/>
        <v>0</v>
      </c>
      <c r="J103" s="314"/>
      <c r="K103" s="329">
        <f t="shared" si="40"/>
        <v>0</v>
      </c>
    </row>
    <row r="104" spans="1:13" ht="15.75" x14ac:dyDescent="0.25">
      <c r="A104" s="871" t="s">
        <v>352</v>
      </c>
      <c r="B104" s="872"/>
      <c r="C104" s="872"/>
      <c r="D104" s="310">
        <f t="shared" si="44"/>
        <v>0</v>
      </c>
      <c r="E104" s="81">
        <f t="shared" ref="E104:J104" si="46">SUM(E100:E103)</f>
        <v>0</v>
      </c>
      <c r="F104" s="81">
        <f t="shared" si="46"/>
        <v>0</v>
      </c>
      <c r="G104" s="81">
        <f t="shared" si="46"/>
        <v>0</v>
      </c>
      <c r="H104" s="81">
        <f t="shared" si="46"/>
        <v>0</v>
      </c>
      <c r="I104" s="315">
        <f t="shared" si="38"/>
        <v>0</v>
      </c>
      <c r="J104" s="325">
        <f t="shared" si="46"/>
        <v>0</v>
      </c>
      <c r="K104" s="329">
        <f t="shared" si="40"/>
        <v>0</v>
      </c>
    </row>
    <row r="105" spans="1:13" ht="21" thickBot="1" x14ac:dyDescent="0.35">
      <c r="A105" s="873" t="s">
        <v>353</v>
      </c>
      <c r="B105" s="874"/>
      <c r="C105" s="874"/>
      <c r="D105" s="311">
        <f t="shared" si="44"/>
        <v>42257488.600000001</v>
      </c>
      <c r="E105" s="82">
        <f t="shared" ref="E105:H105" si="47">SUM(E25,E79,E99,E104)</f>
        <v>27446432.600000001</v>
      </c>
      <c r="F105" s="82">
        <f t="shared" si="47"/>
        <v>471000</v>
      </c>
      <c r="G105" s="82">
        <f t="shared" si="47"/>
        <v>0</v>
      </c>
      <c r="H105" s="82">
        <f t="shared" si="47"/>
        <v>0</v>
      </c>
      <c r="I105" s="315">
        <f t="shared" si="38"/>
        <v>27917432.600000001</v>
      </c>
      <c r="J105" s="326">
        <f t="shared" ref="J105" si="48">SUM(J25,J79,J99,J104)</f>
        <v>14340056</v>
      </c>
      <c r="K105" s="329">
        <f t="shared" si="40"/>
        <v>14340056</v>
      </c>
    </row>
    <row r="106" spans="1:13" ht="21" x14ac:dyDescent="0.35">
      <c r="A106" s="881" t="s">
        <v>342</v>
      </c>
      <c r="B106" s="881"/>
      <c r="C106" s="881"/>
      <c r="D106" s="881"/>
      <c r="E106" s="881"/>
      <c r="F106" s="881"/>
      <c r="G106" s="881"/>
      <c r="H106" s="881"/>
      <c r="I106" s="881"/>
      <c r="J106" s="881"/>
      <c r="K106" s="881"/>
    </row>
    <row r="107" spans="1:13" ht="15.75" x14ac:dyDescent="0.25">
      <c r="A107" s="97">
        <v>95</v>
      </c>
      <c r="B107" s="38" t="s">
        <v>360</v>
      </c>
      <c r="C107" s="46" t="s">
        <v>164</v>
      </c>
      <c r="D107" s="47">
        <f>SUM(I107,K107)</f>
        <v>4150000</v>
      </c>
      <c r="E107" s="39"/>
      <c r="F107" s="39"/>
      <c r="G107" s="39"/>
      <c r="H107" s="39"/>
      <c r="I107" s="315">
        <f t="shared" si="38"/>
        <v>0</v>
      </c>
      <c r="J107" s="39">
        <v>4150000</v>
      </c>
      <c r="K107" s="329">
        <f t="shared" si="40"/>
        <v>4150000</v>
      </c>
    </row>
    <row r="108" spans="1:13" ht="15.75" x14ac:dyDescent="0.25">
      <c r="A108" s="97">
        <v>96</v>
      </c>
      <c r="B108" s="40" t="s">
        <v>361</v>
      </c>
      <c r="C108" s="46" t="s">
        <v>168</v>
      </c>
      <c r="D108" s="47">
        <f>SUM(I108,K108)</f>
        <v>1120500</v>
      </c>
      <c r="E108" s="97"/>
      <c r="F108" s="97"/>
      <c r="G108" s="39"/>
      <c r="H108" s="97"/>
      <c r="I108" s="315">
        <f t="shared" si="38"/>
        <v>0</v>
      </c>
      <c r="J108" s="39">
        <f>J107*0.27</f>
        <v>1120500</v>
      </c>
      <c r="K108" s="329">
        <f t="shared" si="40"/>
        <v>1120500</v>
      </c>
    </row>
    <row r="109" spans="1:13" ht="15.75" x14ac:dyDescent="0.25">
      <c r="A109" s="97">
        <v>97</v>
      </c>
      <c r="B109" s="40" t="s">
        <v>372</v>
      </c>
      <c r="C109" s="46" t="s">
        <v>373</v>
      </c>
      <c r="D109" s="47"/>
      <c r="E109" s="97"/>
      <c r="F109" s="97"/>
      <c r="G109" s="39"/>
      <c r="H109" s="97"/>
      <c r="I109" s="315">
        <f t="shared" si="38"/>
        <v>0</v>
      </c>
      <c r="J109" s="39"/>
      <c r="K109" s="329">
        <f t="shared" si="40"/>
        <v>0</v>
      </c>
    </row>
    <row r="110" spans="1:13" s="88" customFormat="1" ht="15.75" x14ac:dyDescent="0.25">
      <c r="A110" s="296">
        <v>98</v>
      </c>
      <c r="B110" s="84" t="s">
        <v>343</v>
      </c>
      <c r="C110" s="85" t="s">
        <v>344</v>
      </c>
      <c r="D110" s="86">
        <f t="shared" ref="D110:H110" si="49">SUM(D111:D113)</f>
        <v>36986988.600000001</v>
      </c>
      <c r="E110" s="87">
        <f t="shared" si="49"/>
        <v>27446432.600000001</v>
      </c>
      <c r="F110" s="87">
        <f t="shared" si="49"/>
        <v>471000</v>
      </c>
      <c r="G110" s="87">
        <f>SUM(G111:G113)</f>
        <v>0</v>
      </c>
      <c r="H110" s="87">
        <f t="shared" si="49"/>
        <v>0</v>
      </c>
      <c r="I110" s="315">
        <f t="shared" si="38"/>
        <v>27917432.600000001</v>
      </c>
      <c r="J110" s="87">
        <f>SUM(J111:J113)</f>
        <v>9069556</v>
      </c>
      <c r="K110" s="329">
        <f t="shared" si="40"/>
        <v>9069556</v>
      </c>
    </row>
    <row r="111" spans="1:13" ht="30" x14ac:dyDescent="0.25">
      <c r="A111" s="97">
        <v>99</v>
      </c>
      <c r="B111" s="44" t="s">
        <v>364</v>
      </c>
      <c r="C111" s="46"/>
      <c r="D111" s="47">
        <f>SUM(I111,K111)</f>
        <v>12561973</v>
      </c>
      <c r="E111" s="30">
        <v>3232733</v>
      </c>
      <c r="F111" s="100">
        <v>471000</v>
      </c>
      <c r="G111" s="83"/>
      <c r="H111" s="97"/>
      <c r="I111" s="315">
        <f t="shared" si="38"/>
        <v>3703733</v>
      </c>
      <c r="J111" s="83">
        <f>'5mell-Normatíva'!F40+'5mell-Normatíva'!F44</f>
        <v>8858240</v>
      </c>
      <c r="K111" s="329">
        <f t="shared" si="40"/>
        <v>8858240</v>
      </c>
    </row>
    <row r="112" spans="1:13" ht="30" x14ac:dyDescent="0.25">
      <c r="A112" s="97">
        <v>100</v>
      </c>
      <c r="B112" s="44" t="s">
        <v>365</v>
      </c>
      <c r="C112" s="46"/>
      <c r="D112" s="47">
        <f>SUM(I112,K112)</f>
        <v>24213700</v>
      </c>
      <c r="E112" s="100">
        <f>'5mell-Normatíva'!F29+'5mell-Normatíva'!F33</f>
        <v>24213700</v>
      </c>
      <c r="F112" s="30"/>
      <c r="G112" s="83"/>
      <c r="H112" s="97"/>
      <c r="I112" s="315">
        <f t="shared" si="38"/>
        <v>24213700</v>
      </c>
      <c r="J112" s="83"/>
      <c r="K112" s="329">
        <f t="shared" si="40"/>
        <v>0</v>
      </c>
    </row>
    <row r="113" spans="1:11" ht="15.75" x14ac:dyDescent="0.25">
      <c r="A113" s="97">
        <v>101</v>
      </c>
      <c r="B113" s="44" t="s">
        <v>613</v>
      </c>
      <c r="C113" s="46"/>
      <c r="D113" s="47">
        <f>SUM(I113,K113)</f>
        <v>211315.60000000149</v>
      </c>
      <c r="E113" s="100">
        <f t="shared" ref="E113:F113" si="50">E105-E111-E112-E107-E108-E109</f>
        <v>-0.39999999850988388</v>
      </c>
      <c r="F113" s="100">
        <f t="shared" si="50"/>
        <v>0</v>
      </c>
      <c r="G113" s="83"/>
      <c r="H113" s="83">
        <f>H105-H111-H112</f>
        <v>0</v>
      </c>
      <c r="I113" s="315">
        <f t="shared" si="38"/>
        <v>-0.39999999850988388</v>
      </c>
      <c r="J113" s="83">
        <v>211316</v>
      </c>
      <c r="K113" s="329">
        <f t="shared" si="40"/>
        <v>211316</v>
      </c>
    </row>
    <row r="114" spans="1:11" ht="23.25" x14ac:dyDescent="0.35">
      <c r="A114" s="882" t="s">
        <v>345</v>
      </c>
      <c r="B114" s="882"/>
      <c r="C114" s="882"/>
      <c r="D114" s="297">
        <f>SUM(D107:D110)</f>
        <v>42257488.600000001</v>
      </c>
      <c r="E114" s="297">
        <f t="shared" ref="E114:K114" si="51">SUM(E107:E110)</f>
        <v>27446432.600000001</v>
      </c>
      <c r="F114" s="297">
        <f t="shared" si="51"/>
        <v>471000</v>
      </c>
      <c r="G114" s="297">
        <f t="shared" si="51"/>
        <v>0</v>
      </c>
      <c r="H114" s="297">
        <f t="shared" si="51"/>
        <v>0</v>
      </c>
      <c r="I114" s="315">
        <f t="shared" si="38"/>
        <v>27917432.600000001</v>
      </c>
      <c r="J114" s="297">
        <f>SUM(J107:J110)</f>
        <v>14340056</v>
      </c>
      <c r="K114" s="297">
        <f t="shared" si="51"/>
        <v>14340056</v>
      </c>
    </row>
    <row r="115" spans="1:11" ht="23.25" x14ac:dyDescent="0.35">
      <c r="A115" s="867" t="s">
        <v>354</v>
      </c>
      <c r="B115" s="867"/>
      <c r="C115" s="867"/>
      <c r="D115" s="89">
        <f>D105-D114</f>
        <v>0</v>
      </c>
      <c r="E115" s="89">
        <f t="shared" ref="E115:K115" si="52">E105-E114</f>
        <v>0</v>
      </c>
      <c r="F115" s="89">
        <f t="shared" si="52"/>
        <v>0</v>
      </c>
      <c r="G115" s="89">
        <f t="shared" si="52"/>
        <v>0</v>
      </c>
      <c r="H115" s="89">
        <f t="shared" si="52"/>
        <v>0</v>
      </c>
      <c r="I115" s="89">
        <f t="shared" si="52"/>
        <v>0</v>
      </c>
      <c r="J115" s="89">
        <f t="shared" si="52"/>
        <v>0</v>
      </c>
      <c r="K115" s="89">
        <f t="shared" si="52"/>
        <v>0</v>
      </c>
    </row>
  </sheetData>
  <mergeCells count="22">
    <mergeCell ref="K5:K6"/>
    <mergeCell ref="J5:J6"/>
    <mergeCell ref="E5:E6"/>
    <mergeCell ref="A104:C104"/>
    <mergeCell ref="A105:C105"/>
    <mergeCell ref="A4:A6"/>
    <mergeCell ref="B4:B6"/>
    <mergeCell ref="C4:C6"/>
    <mergeCell ref="A25:C25"/>
    <mergeCell ref="A79:B79"/>
    <mergeCell ref="A99:C99"/>
    <mergeCell ref="I5:I6"/>
    <mergeCell ref="F5:F6"/>
    <mergeCell ref="G5:G6"/>
    <mergeCell ref="H5:H6"/>
    <mergeCell ref="A1:D1"/>
    <mergeCell ref="B2:I2"/>
    <mergeCell ref="E3:I3"/>
    <mergeCell ref="D5:D6"/>
    <mergeCell ref="A115:C115"/>
    <mergeCell ref="A106:K106"/>
    <mergeCell ref="A114:C1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M16" sqref="M16"/>
    </sheetView>
  </sheetViews>
  <sheetFormatPr defaultRowHeight="15" x14ac:dyDescent="0.25"/>
  <cols>
    <col min="1" max="1" width="29.140625" customWidth="1"/>
    <col min="2" max="3" width="14.5703125" customWidth="1"/>
    <col min="4" max="4" width="15.140625" customWidth="1"/>
    <col min="5" max="5" width="14" customWidth="1"/>
    <col min="6" max="6" width="15.85546875" customWidth="1"/>
    <col min="7" max="7" width="17.28515625" customWidth="1"/>
    <col min="8" max="8" width="15.140625" customWidth="1"/>
    <col min="9" max="9" width="16" customWidth="1"/>
    <col min="10" max="10" width="14.140625" customWidth="1"/>
    <col min="11" max="11" width="15.7109375" customWidth="1"/>
    <col min="12" max="12" width="17.28515625" customWidth="1"/>
    <col min="13" max="13" width="16.42578125" customWidth="1"/>
    <col min="14" max="14" width="15.85546875" customWidth="1"/>
  </cols>
  <sheetData>
    <row r="1" spans="1:14" x14ac:dyDescent="0.25">
      <c r="A1" s="726" t="s">
        <v>759</v>
      </c>
      <c r="B1" s="726"/>
      <c r="C1" s="726"/>
      <c r="D1" s="726"/>
      <c r="E1" s="726"/>
      <c r="F1" s="726"/>
      <c r="G1" s="726"/>
      <c r="H1" s="726"/>
      <c r="I1" s="336"/>
      <c r="J1" s="336"/>
      <c r="K1" s="336"/>
      <c r="L1" s="336"/>
      <c r="M1" s="336"/>
      <c r="N1" s="336"/>
    </row>
    <row r="2" spans="1:14" x14ac:dyDescent="0.2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14" x14ac:dyDescent="0.25">
      <c r="A3" s="336"/>
      <c r="B3" s="893" t="s">
        <v>831</v>
      </c>
      <c r="C3" s="893"/>
      <c r="D3" s="893"/>
      <c r="E3" s="893"/>
      <c r="F3" s="893"/>
      <c r="G3" s="893"/>
      <c r="H3" s="893"/>
      <c r="I3" s="893"/>
      <c r="J3" s="893"/>
      <c r="K3" s="893"/>
      <c r="L3" s="336"/>
      <c r="M3" s="336"/>
      <c r="N3" s="336"/>
    </row>
    <row r="4" spans="1:14" ht="15.75" thickBot="1" x14ac:dyDescent="0.3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 t="s">
        <v>362</v>
      </c>
    </row>
    <row r="5" spans="1:14" x14ac:dyDescent="0.25">
      <c r="A5" s="337" t="s">
        <v>378</v>
      </c>
      <c r="B5" s="338" t="s">
        <v>618</v>
      </c>
      <c r="C5" s="338" t="s">
        <v>619</v>
      </c>
      <c r="D5" s="338" t="s">
        <v>620</v>
      </c>
      <c r="E5" s="338" t="s">
        <v>621</v>
      </c>
      <c r="F5" s="338" t="s">
        <v>622</v>
      </c>
      <c r="G5" s="338" t="s">
        <v>623</v>
      </c>
      <c r="H5" s="338" t="s">
        <v>624</v>
      </c>
      <c r="I5" s="338" t="s">
        <v>625</v>
      </c>
      <c r="J5" s="338" t="s">
        <v>626</v>
      </c>
      <c r="K5" s="338" t="s">
        <v>627</v>
      </c>
      <c r="L5" s="338" t="s">
        <v>628</v>
      </c>
      <c r="M5" s="338" t="s">
        <v>629</v>
      </c>
      <c r="N5" s="339" t="s">
        <v>630</v>
      </c>
    </row>
    <row r="6" spans="1:14" x14ac:dyDescent="0.25">
      <c r="A6" s="894" t="s">
        <v>631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895"/>
      <c r="N6" s="896"/>
    </row>
    <row r="7" spans="1:14" x14ac:dyDescent="0.25">
      <c r="A7" s="890" t="s">
        <v>632</v>
      </c>
      <c r="B7" s="891"/>
      <c r="C7" s="891"/>
      <c r="D7" s="891"/>
      <c r="E7" s="891"/>
      <c r="F7" s="891"/>
      <c r="G7" s="891"/>
      <c r="H7" s="891"/>
      <c r="I7" s="891"/>
      <c r="J7" s="891"/>
      <c r="K7" s="891"/>
      <c r="L7" s="891"/>
      <c r="M7" s="891"/>
      <c r="N7" s="892"/>
    </row>
    <row r="8" spans="1:14" ht="26.25" x14ac:dyDescent="0.25">
      <c r="A8" s="340" t="s">
        <v>633</v>
      </c>
      <c r="B8" s="341">
        <f>'1.melléklet-Összevont mérleg'!B9/12</f>
        <v>9718372.75</v>
      </c>
      <c r="C8" s="341">
        <f>B8</f>
        <v>9718372.75</v>
      </c>
      <c r="D8" s="341">
        <f t="shared" ref="D8:M8" si="0">C8</f>
        <v>9718372.75</v>
      </c>
      <c r="E8" s="341">
        <f t="shared" si="0"/>
        <v>9718372.75</v>
      </c>
      <c r="F8" s="341">
        <f t="shared" si="0"/>
        <v>9718372.75</v>
      </c>
      <c r="G8" s="341">
        <f t="shared" si="0"/>
        <v>9718372.75</v>
      </c>
      <c r="H8" s="341">
        <f t="shared" si="0"/>
        <v>9718372.75</v>
      </c>
      <c r="I8" s="341">
        <f t="shared" si="0"/>
        <v>9718372.75</v>
      </c>
      <c r="J8" s="341">
        <f t="shared" si="0"/>
        <v>9718372.75</v>
      </c>
      <c r="K8" s="341">
        <f t="shared" si="0"/>
        <v>9718372.75</v>
      </c>
      <c r="L8" s="341">
        <f t="shared" si="0"/>
        <v>9718372.75</v>
      </c>
      <c r="M8" s="341">
        <f t="shared" si="0"/>
        <v>9718372.75</v>
      </c>
      <c r="N8" s="277">
        <f>SUM(B8:M8)</f>
        <v>116620473</v>
      </c>
    </row>
    <row r="9" spans="1:14" s="402" customFormat="1" x14ac:dyDescent="0.25">
      <c r="A9" s="340" t="s">
        <v>824</v>
      </c>
      <c r="B9" s="341">
        <v>2380943</v>
      </c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277"/>
    </row>
    <row r="10" spans="1:14" ht="26.25" x14ac:dyDescent="0.25">
      <c r="A10" s="340" t="s">
        <v>634</v>
      </c>
      <c r="B10" s="343">
        <f>'1.melléklet-Összevont mérleg'!B36/5</f>
        <v>0</v>
      </c>
      <c r="C10" s="343">
        <f>B10</f>
        <v>0</v>
      </c>
      <c r="D10" s="343">
        <f t="shared" ref="D10:F10" si="1">C10</f>
        <v>0</v>
      </c>
      <c r="E10" s="343">
        <f t="shared" si="1"/>
        <v>0</v>
      </c>
      <c r="F10" s="343">
        <f t="shared" si="1"/>
        <v>0</v>
      </c>
      <c r="G10" s="343"/>
      <c r="H10" s="343"/>
      <c r="I10" s="343"/>
      <c r="J10" s="343"/>
      <c r="K10" s="342"/>
      <c r="L10" s="342"/>
      <c r="M10" s="342"/>
      <c r="N10" s="277">
        <f t="shared" ref="N10" si="2">SUM(B10:M10)</f>
        <v>0</v>
      </c>
    </row>
    <row r="11" spans="1:14" x14ac:dyDescent="0.25">
      <c r="A11" s="340" t="s">
        <v>635</v>
      </c>
      <c r="B11" s="341">
        <f>'1.melléklet-Összevont mérleg'!C39/12</f>
        <v>3521457.3833333333</v>
      </c>
      <c r="C11" s="341">
        <f>B11</f>
        <v>3521457.3833333333</v>
      </c>
      <c r="D11" s="341">
        <f t="shared" ref="D11:M11" si="3">C11</f>
        <v>3521457.3833333333</v>
      </c>
      <c r="E11" s="341">
        <f t="shared" si="3"/>
        <v>3521457.3833333333</v>
      </c>
      <c r="F11" s="341">
        <f t="shared" si="3"/>
        <v>3521457.3833333333</v>
      </c>
      <c r="G11" s="341">
        <f t="shared" si="3"/>
        <v>3521457.3833333333</v>
      </c>
      <c r="H11" s="341">
        <f t="shared" si="3"/>
        <v>3521457.3833333333</v>
      </c>
      <c r="I11" s="341">
        <f t="shared" si="3"/>
        <v>3521457.3833333333</v>
      </c>
      <c r="J11" s="341">
        <f t="shared" si="3"/>
        <v>3521457.3833333333</v>
      </c>
      <c r="K11" s="341">
        <f t="shared" si="3"/>
        <v>3521457.3833333333</v>
      </c>
      <c r="L11" s="341">
        <f t="shared" si="3"/>
        <v>3521457.3833333333</v>
      </c>
      <c r="M11" s="341">
        <f t="shared" si="3"/>
        <v>3521457.3833333333</v>
      </c>
      <c r="N11" s="277">
        <f>SUM(B11:M11)</f>
        <v>42257488.600000001</v>
      </c>
    </row>
    <row r="12" spans="1:14" x14ac:dyDescent="0.25">
      <c r="A12" s="344" t="s">
        <v>636</v>
      </c>
      <c r="B12" s="345">
        <f>SUM(B8:B11)</f>
        <v>15620773.133333333</v>
      </c>
      <c r="C12" s="345">
        <f t="shared" ref="C12:N12" si="4">SUM(C8:C11)</f>
        <v>13239830.133333333</v>
      </c>
      <c r="D12" s="345">
        <f t="shared" si="4"/>
        <v>13239830.133333333</v>
      </c>
      <c r="E12" s="345">
        <f t="shared" si="4"/>
        <v>13239830.133333333</v>
      </c>
      <c r="F12" s="345">
        <f t="shared" si="4"/>
        <v>13239830.133333333</v>
      </c>
      <c r="G12" s="345">
        <f t="shared" si="4"/>
        <v>13239830.133333333</v>
      </c>
      <c r="H12" s="345">
        <f t="shared" si="4"/>
        <v>13239830.133333333</v>
      </c>
      <c r="I12" s="345">
        <f t="shared" si="4"/>
        <v>13239830.133333333</v>
      </c>
      <c r="J12" s="345">
        <f t="shared" si="4"/>
        <v>13239830.133333333</v>
      </c>
      <c r="K12" s="345">
        <f t="shared" si="4"/>
        <v>13239830.133333333</v>
      </c>
      <c r="L12" s="345">
        <f t="shared" si="4"/>
        <v>13239830.133333333</v>
      </c>
      <c r="M12" s="345">
        <f t="shared" si="4"/>
        <v>13239830.133333333</v>
      </c>
      <c r="N12" s="345">
        <f t="shared" si="4"/>
        <v>158877961.59999999</v>
      </c>
    </row>
    <row r="13" spans="1:14" x14ac:dyDescent="0.25">
      <c r="A13" s="894" t="s">
        <v>637</v>
      </c>
      <c r="B13" s="895"/>
      <c r="C13" s="895"/>
      <c r="D13" s="895"/>
      <c r="E13" s="895"/>
      <c r="F13" s="895"/>
      <c r="G13" s="895"/>
      <c r="H13" s="895"/>
      <c r="I13" s="895"/>
      <c r="J13" s="895"/>
      <c r="K13" s="895"/>
      <c r="L13" s="895"/>
      <c r="M13" s="895"/>
      <c r="N13" s="896"/>
    </row>
    <row r="14" spans="1:14" x14ac:dyDescent="0.25">
      <c r="A14" s="890" t="s">
        <v>638</v>
      </c>
      <c r="B14" s="891"/>
      <c r="C14" s="891"/>
      <c r="D14" s="891"/>
      <c r="E14" s="891"/>
      <c r="F14" s="891"/>
      <c r="G14" s="891"/>
      <c r="H14" s="891"/>
      <c r="I14" s="891"/>
      <c r="J14" s="891"/>
      <c r="K14" s="891"/>
      <c r="L14" s="891"/>
      <c r="M14" s="891"/>
      <c r="N14" s="892"/>
    </row>
    <row r="15" spans="1:14" x14ac:dyDescent="0.25">
      <c r="A15" s="340" t="s">
        <v>639</v>
      </c>
      <c r="B15" s="341">
        <f>'1.melléklet-Összevont mérleg'!F9/12+'1.melléklet-Összevont mérleg'!F14/12</f>
        <v>9715696.1166666672</v>
      </c>
      <c r="C15" s="341">
        <f>B15+2676</f>
        <v>9718372.1166666672</v>
      </c>
      <c r="D15" s="341">
        <f>C15+1</f>
        <v>9718373.1166666672</v>
      </c>
      <c r="E15" s="341">
        <f t="shared" ref="E15:H15" si="5">D15</f>
        <v>9718373.1166666672</v>
      </c>
      <c r="F15" s="341">
        <f t="shared" si="5"/>
        <v>9718373.1166666672</v>
      </c>
      <c r="G15" s="341">
        <f>F15-1</f>
        <v>9718372.1166666672</v>
      </c>
      <c r="H15" s="341">
        <f t="shared" si="5"/>
        <v>9718372.1166666672</v>
      </c>
      <c r="I15" s="341">
        <f>H15+1</f>
        <v>9718373.1166666672</v>
      </c>
      <c r="J15" s="341">
        <f t="shared" ref="J15" si="6">I15</f>
        <v>9718373.1166666672</v>
      </c>
      <c r="K15" s="341">
        <f t="shared" ref="K15" si="7">J15</f>
        <v>9718373.1166666672</v>
      </c>
      <c r="L15" s="341">
        <f>K15-1</f>
        <v>9718372.1166666672</v>
      </c>
      <c r="M15" s="341">
        <f>L15+1</f>
        <v>9718373.1166666672</v>
      </c>
      <c r="N15" s="277">
        <f>SUM(B15:M15)</f>
        <v>116617796.40000004</v>
      </c>
    </row>
    <row r="16" spans="1:14" x14ac:dyDescent="0.25">
      <c r="A16" s="340" t="s">
        <v>640</v>
      </c>
      <c r="B16" s="343"/>
      <c r="C16" s="343"/>
      <c r="D16" s="343">
        <f>G16</f>
        <v>0</v>
      </c>
      <c r="E16" s="341"/>
      <c r="F16" s="341"/>
      <c r="G16" s="341">
        <f>'1.melléklet-Összevont mérleg'!F36/4</f>
        <v>0</v>
      </c>
      <c r="H16" s="341">
        <f>G16</f>
        <v>0</v>
      </c>
      <c r="I16" s="343"/>
      <c r="J16" s="343">
        <f>H16</f>
        <v>0</v>
      </c>
      <c r="K16" s="342"/>
      <c r="L16" s="342"/>
      <c r="M16" s="342"/>
      <c r="N16" s="277">
        <f t="shared" ref="N16:N21" si="8">SUM(B16:M16)</f>
        <v>0</v>
      </c>
    </row>
    <row r="17" spans="1:14" x14ac:dyDescent="0.25">
      <c r="A17" s="340" t="s">
        <v>343</v>
      </c>
      <c r="B17" s="343">
        <f t="shared" ref="B17:M17" si="9">B11</f>
        <v>3521457.3833333333</v>
      </c>
      <c r="C17" s="343">
        <f t="shared" si="9"/>
        <v>3521457.3833333333</v>
      </c>
      <c r="D17" s="343">
        <f t="shared" si="9"/>
        <v>3521457.3833333333</v>
      </c>
      <c r="E17" s="343">
        <f t="shared" si="9"/>
        <v>3521457.3833333333</v>
      </c>
      <c r="F17" s="343">
        <f t="shared" si="9"/>
        <v>3521457.3833333333</v>
      </c>
      <c r="G17" s="343">
        <f t="shared" si="9"/>
        <v>3521457.3833333333</v>
      </c>
      <c r="H17" s="343">
        <f t="shared" si="9"/>
        <v>3521457.3833333333</v>
      </c>
      <c r="I17" s="343">
        <f t="shared" si="9"/>
        <v>3521457.3833333333</v>
      </c>
      <c r="J17" s="343">
        <f t="shared" si="9"/>
        <v>3521457.3833333333</v>
      </c>
      <c r="K17" s="343">
        <f t="shared" si="9"/>
        <v>3521457.3833333333</v>
      </c>
      <c r="L17" s="343">
        <f t="shared" si="9"/>
        <v>3521457.3833333333</v>
      </c>
      <c r="M17" s="343">
        <f t="shared" si="9"/>
        <v>3521457.3833333333</v>
      </c>
      <c r="N17" s="277">
        <f t="shared" si="8"/>
        <v>42257488.600000001</v>
      </c>
    </row>
    <row r="18" spans="1:14" x14ac:dyDescent="0.25">
      <c r="A18" s="340" t="s">
        <v>392</v>
      </c>
      <c r="B18" s="343">
        <f>'2.melléklÖnkormányzati összesen'!H18</f>
        <v>2383620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277">
        <f t="shared" si="8"/>
        <v>2383620</v>
      </c>
    </row>
    <row r="19" spans="1:14" x14ac:dyDescent="0.25">
      <c r="A19" s="344" t="s">
        <v>641</v>
      </c>
      <c r="B19" s="345">
        <f t="shared" ref="B19:N19" si="10">SUM(B15:B18)</f>
        <v>15620773.5</v>
      </c>
      <c r="C19" s="345">
        <f t="shared" si="10"/>
        <v>13239829.5</v>
      </c>
      <c r="D19" s="345">
        <f t="shared" si="10"/>
        <v>13239830.5</v>
      </c>
      <c r="E19" s="345">
        <f t="shared" si="10"/>
        <v>13239830.5</v>
      </c>
      <c r="F19" s="345">
        <f t="shared" si="10"/>
        <v>13239830.5</v>
      </c>
      <c r="G19" s="345">
        <f t="shared" si="10"/>
        <v>13239829.5</v>
      </c>
      <c r="H19" s="345">
        <f t="shared" si="10"/>
        <v>13239829.5</v>
      </c>
      <c r="I19" s="345">
        <f t="shared" si="10"/>
        <v>13239830.5</v>
      </c>
      <c r="J19" s="345">
        <f t="shared" si="10"/>
        <v>13239830.5</v>
      </c>
      <c r="K19" s="345">
        <f t="shared" si="10"/>
        <v>13239830.5</v>
      </c>
      <c r="L19" s="345">
        <f t="shared" si="10"/>
        <v>13239829.5</v>
      </c>
      <c r="M19" s="345">
        <f t="shared" si="10"/>
        <v>13239830.5</v>
      </c>
      <c r="N19" s="345">
        <f t="shared" si="10"/>
        <v>161258905.00000003</v>
      </c>
    </row>
    <row r="20" spans="1:14" x14ac:dyDescent="0.25">
      <c r="A20" s="346" t="s">
        <v>642</v>
      </c>
      <c r="B20" s="347">
        <f>B19</f>
        <v>15620773.5</v>
      </c>
      <c r="C20" s="347">
        <f t="shared" ref="C20:M20" si="11">C19</f>
        <v>13239829.5</v>
      </c>
      <c r="D20" s="347">
        <f t="shared" si="11"/>
        <v>13239830.5</v>
      </c>
      <c r="E20" s="347">
        <f t="shared" si="11"/>
        <v>13239830.5</v>
      </c>
      <c r="F20" s="347">
        <f t="shared" si="11"/>
        <v>13239830.5</v>
      </c>
      <c r="G20" s="347">
        <f t="shared" si="11"/>
        <v>13239829.5</v>
      </c>
      <c r="H20" s="347">
        <f t="shared" si="11"/>
        <v>13239829.5</v>
      </c>
      <c r="I20" s="347">
        <f t="shared" si="11"/>
        <v>13239830.5</v>
      </c>
      <c r="J20" s="347">
        <f t="shared" si="11"/>
        <v>13239830.5</v>
      </c>
      <c r="K20" s="347">
        <f t="shared" si="11"/>
        <v>13239830.5</v>
      </c>
      <c r="L20" s="347">
        <f t="shared" si="11"/>
        <v>13239829.5</v>
      </c>
      <c r="M20" s="347">
        <f t="shared" si="11"/>
        <v>13239830.5</v>
      </c>
      <c r="N20" s="277">
        <f t="shared" si="8"/>
        <v>161258905</v>
      </c>
    </row>
    <row r="21" spans="1:14" x14ac:dyDescent="0.25">
      <c r="A21" s="348" t="s">
        <v>643</v>
      </c>
      <c r="B21" s="347">
        <f t="shared" ref="B21:M21" si="12">B12</f>
        <v>15620773.133333333</v>
      </c>
      <c r="C21" s="347">
        <f t="shared" si="12"/>
        <v>13239830.133333333</v>
      </c>
      <c r="D21" s="347">
        <f t="shared" si="12"/>
        <v>13239830.133333333</v>
      </c>
      <c r="E21" s="347">
        <f t="shared" si="12"/>
        <v>13239830.133333333</v>
      </c>
      <c r="F21" s="347">
        <f t="shared" si="12"/>
        <v>13239830.133333333</v>
      </c>
      <c r="G21" s="347">
        <f t="shared" si="12"/>
        <v>13239830.133333333</v>
      </c>
      <c r="H21" s="347">
        <f t="shared" si="12"/>
        <v>13239830.133333333</v>
      </c>
      <c r="I21" s="347">
        <f t="shared" si="12"/>
        <v>13239830.133333333</v>
      </c>
      <c r="J21" s="347">
        <f t="shared" si="12"/>
        <v>13239830.133333333</v>
      </c>
      <c r="K21" s="347">
        <f t="shared" si="12"/>
        <v>13239830.133333333</v>
      </c>
      <c r="L21" s="347">
        <f t="shared" si="12"/>
        <v>13239830.133333333</v>
      </c>
      <c r="M21" s="347">
        <f t="shared" si="12"/>
        <v>13239830.133333333</v>
      </c>
      <c r="N21" s="277">
        <f t="shared" si="8"/>
        <v>161258904.59999993</v>
      </c>
    </row>
    <row r="22" spans="1:14" ht="15.75" thickBot="1" x14ac:dyDescent="0.3">
      <c r="A22" s="349" t="s">
        <v>644</v>
      </c>
      <c r="B22" s="350">
        <f>B21-B20</f>
        <v>-0.36666666716337204</v>
      </c>
      <c r="C22" s="350">
        <f>B22+C21-C20</f>
        <v>0.26666666567325592</v>
      </c>
      <c r="D22" s="350">
        <f>C22+D21-D20</f>
        <v>-0.10000000149011612</v>
      </c>
      <c r="E22" s="350">
        <f t="shared" ref="E22:M22" si="13">D22+E21-E20</f>
        <v>-0.46666666865348816</v>
      </c>
      <c r="F22" s="350">
        <f t="shared" si="13"/>
        <v>-0.8333333358168602</v>
      </c>
      <c r="G22" s="350">
        <f t="shared" si="13"/>
        <v>-0.20000000298023224</v>
      </c>
      <c r="H22" s="350">
        <f>G22+H21-H20</f>
        <v>0.43333332985639572</v>
      </c>
      <c r="I22" s="350">
        <f t="shared" si="13"/>
        <v>6.6666662693023682E-2</v>
      </c>
      <c r="J22" s="350">
        <f t="shared" si="13"/>
        <v>-0.30000000447034836</v>
      </c>
      <c r="K22" s="350">
        <f t="shared" si="13"/>
        <v>-0.6666666716337204</v>
      </c>
      <c r="L22" s="350">
        <f t="shared" si="13"/>
        <v>-3.3333338797092438E-2</v>
      </c>
      <c r="M22" s="350">
        <f t="shared" si="13"/>
        <v>-0.40000000596046448</v>
      </c>
      <c r="N22" s="277">
        <f>N21-N20</f>
        <v>-0.40000006556510925</v>
      </c>
    </row>
  </sheetData>
  <mergeCells count="6">
    <mergeCell ref="A14:N14"/>
    <mergeCell ref="A1:H1"/>
    <mergeCell ref="B3:K3"/>
    <mergeCell ref="A6:N6"/>
    <mergeCell ref="A7:N7"/>
    <mergeCell ref="A13:N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4" sqref="A4"/>
    </sheetView>
  </sheetViews>
  <sheetFormatPr defaultRowHeight="15" x14ac:dyDescent="0.25"/>
  <cols>
    <col min="1" max="1" width="28.5703125" style="37" customWidth="1"/>
    <col min="2" max="2" width="21.85546875" customWidth="1"/>
    <col min="3" max="3" width="16" customWidth="1"/>
    <col min="5" max="5" width="14.7109375" customWidth="1"/>
    <col min="6" max="6" width="16.140625" customWidth="1"/>
    <col min="7" max="7" width="19.7109375" style="402" customWidth="1"/>
    <col min="8" max="8" width="13.140625" customWidth="1"/>
    <col min="9" max="9" width="14.28515625" customWidth="1"/>
  </cols>
  <sheetData>
    <row r="1" spans="1:10" x14ac:dyDescent="0.25">
      <c r="A1" s="857" t="s">
        <v>762</v>
      </c>
      <c r="B1" s="857"/>
      <c r="C1" s="857"/>
      <c r="D1" s="857"/>
      <c r="E1" s="857"/>
      <c r="F1" s="402"/>
      <c r="H1" s="402"/>
      <c r="I1" s="402"/>
      <c r="J1" s="402"/>
    </row>
    <row r="2" spans="1:10" s="336" customFormat="1" x14ac:dyDescent="0.25">
      <c r="A2" s="432"/>
      <c r="B2" s="432"/>
      <c r="C2" s="432"/>
      <c r="D2" s="432"/>
      <c r="E2" s="432"/>
      <c r="F2" s="402"/>
      <c r="G2" s="402"/>
      <c r="H2" s="402"/>
      <c r="I2" s="402"/>
      <c r="J2" s="402"/>
    </row>
    <row r="3" spans="1:10" s="336" customFormat="1" x14ac:dyDescent="0.25">
      <c r="A3" s="893" t="s">
        <v>830</v>
      </c>
      <c r="B3" s="893"/>
      <c r="C3" s="893"/>
      <c r="D3" s="893"/>
      <c r="E3" s="893"/>
      <c r="F3" s="893"/>
      <c r="G3" s="893"/>
      <c r="H3" s="893"/>
      <c r="I3" s="893"/>
      <c r="J3" s="402"/>
    </row>
    <row r="4" spans="1:10" ht="15.75" thickBot="1" x14ac:dyDescent="0.3">
      <c r="A4" s="402"/>
      <c r="B4" s="402"/>
      <c r="C4" s="402"/>
      <c r="D4" s="402"/>
      <c r="E4" s="402"/>
      <c r="F4" s="402"/>
      <c r="H4" s="402"/>
      <c r="I4" s="402"/>
      <c r="J4" s="402"/>
    </row>
    <row r="5" spans="1:10" ht="15.75" thickTop="1" x14ac:dyDescent="0.25">
      <c r="A5" s="915" t="s">
        <v>715</v>
      </c>
      <c r="B5" s="427"/>
      <c r="C5" s="917" t="s">
        <v>716</v>
      </c>
      <c r="D5" s="920" t="s">
        <v>717</v>
      </c>
      <c r="E5" s="920"/>
      <c r="F5" s="920"/>
      <c r="G5" s="920"/>
      <c r="H5" s="920"/>
      <c r="I5" s="920"/>
      <c r="J5" s="418"/>
    </row>
    <row r="6" spans="1:10" x14ac:dyDescent="0.25">
      <c r="A6" s="916"/>
      <c r="B6" s="428"/>
      <c r="C6" s="918"/>
      <c r="D6" s="922" t="s">
        <v>718</v>
      </c>
      <c r="E6" s="923"/>
      <c r="F6" s="923"/>
      <c r="G6" s="924"/>
      <c r="H6" s="921" t="s">
        <v>719</v>
      </c>
      <c r="I6" s="921"/>
      <c r="J6" s="905" t="s">
        <v>720</v>
      </c>
    </row>
    <row r="7" spans="1:10" x14ac:dyDescent="0.25">
      <c r="A7" s="916"/>
      <c r="B7" s="428"/>
      <c r="C7" s="918"/>
      <c r="D7" s="911" t="s">
        <v>721</v>
      </c>
      <c r="E7" s="913" t="s">
        <v>722</v>
      </c>
      <c r="F7" s="907" t="s">
        <v>723</v>
      </c>
      <c r="G7" s="925" t="s">
        <v>795</v>
      </c>
      <c r="H7" s="907" t="s">
        <v>724</v>
      </c>
      <c r="I7" s="909" t="s">
        <v>725</v>
      </c>
      <c r="J7" s="905"/>
    </row>
    <row r="8" spans="1:10" ht="35.25" customHeight="1" thickBot="1" x14ac:dyDescent="0.3">
      <c r="A8" s="916"/>
      <c r="B8" s="428"/>
      <c r="C8" s="919"/>
      <c r="D8" s="912"/>
      <c r="E8" s="914"/>
      <c r="F8" s="908"/>
      <c r="G8" s="926"/>
      <c r="H8" s="908"/>
      <c r="I8" s="910"/>
      <c r="J8" s="906"/>
    </row>
    <row r="9" spans="1:10" ht="15.75" hidden="1" customHeight="1" thickBot="1" x14ac:dyDescent="0.3">
      <c r="A9" s="434"/>
      <c r="B9" s="430"/>
      <c r="C9" s="422"/>
      <c r="D9" s="423"/>
      <c r="E9" s="424"/>
      <c r="F9" s="425"/>
      <c r="G9" s="425"/>
      <c r="H9" s="425"/>
      <c r="I9" s="426"/>
      <c r="J9" s="421"/>
    </row>
    <row r="10" spans="1:10" ht="15.75" x14ac:dyDescent="0.25">
      <c r="A10" s="903" t="s">
        <v>726</v>
      </c>
      <c r="B10" s="429" t="s">
        <v>763</v>
      </c>
      <c r="C10" s="409">
        <f>SUM(D10:J10)</f>
        <v>7</v>
      </c>
      <c r="D10" s="409">
        <f>SUM(D11:D15)</f>
        <v>2</v>
      </c>
      <c r="E10" s="409">
        <f t="shared" ref="E10:J10" si="0">SUM(E11:E15)</f>
        <v>1</v>
      </c>
      <c r="F10" s="409">
        <f t="shared" si="0"/>
        <v>0</v>
      </c>
      <c r="G10" s="409">
        <f t="shared" si="0"/>
        <v>1</v>
      </c>
      <c r="H10" s="460">
        <f>SUM(H11:H16)</f>
        <v>3</v>
      </c>
      <c r="I10" s="409">
        <f t="shared" si="0"/>
        <v>0</v>
      </c>
      <c r="J10" s="409">
        <f t="shared" si="0"/>
        <v>0</v>
      </c>
    </row>
    <row r="11" spans="1:10" ht="15.75" x14ac:dyDescent="0.25">
      <c r="A11" s="904"/>
      <c r="B11" s="419" t="s">
        <v>793</v>
      </c>
      <c r="C11" s="405"/>
      <c r="D11" s="405"/>
      <c r="E11" s="405">
        <v>1</v>
      </c>
      <c r="F11" s="404"/>
      <c r="G11" s="404"/>
      <c r="H11" s="404"/>
      <c r="I11" s="406"/>
      <c r="J11" s="420"/>
    </row>
    <row r="12" spans="1:10" ht="47.25" x14ac:dyDescent="0.25">
      <c r="A12" s="904"/>
      <c r="B12" s="455" t="s">
        <v>794</v>
      </c>
      <c r="C12" s="405"/>
      <c r="D12" s="405"/>
      <c r="E12" s="405"/>
      <c r="F12" s="404"/>
      <c r="G12" s="404">
        <v>1</v>
      </c>
      <c r="H12" s="404"/>
      <c r="I12" s="406"/>
      <c r="J12" s="420"/>
    </row>
    <row r="13" spans="1:10" ht="43.5" customHeight="1" x14ac:dyDescent="0.25">
      <c r="A13" s="897"/>
      <c r="B13" s="455" t="s">
        <v>796</v>
      </c>
      <c r="C13" s="405"/>
      <c r="D13" s="405">
        <v>1</v>
      </c>
      <c r="E13" s="405"/>
      <c r="F13" s="404"/>
      <c r="G13" s="404"/>
      <c r="H13" s="404"/>
      <c r="I13" s="406"/>
      <c r="J13" s="420"/>
    </row>
    <row r="14" spans="1:10" ht="16.5" customHeight="1" x14ac:dyDescent="0.25">
      <c r="A14" s="897"/>
      <c r="B14" s="419" t="s">
        <v>797</v>
      </c>
      <c r="C14" s="405"/>
      <c r="D14" s="405"/>
      <c r="E14" s="405"/>
      <c r="F14" s="404"/>
      <c r="G14" s="404"/>
      <c r="H14" s="404">
        <v>2</v>
      </c>
      <c r="I14" s="406"/>
      <c r="J14" s="420"/>
    </row>
    <row r="15" spans="1:10" ht="16.5" customHeight="1" thickBot="1" x14ac:dyDescent="0.3">
      <c r="A15" s="897"/>
      <c r="B15" s="431" t="s">
        <v>798</v>
      </c>
      <c r="C15" s="407"/>
      <c r="D15" s="407">
        <v>1</v>
      </c>
      <c r="E15" s="407"/>
      <c r="F15" s="403"/>
      <c r="G15" s="403"/>
      <c r="H15" s="403"/>
      <c r="I15" s="408"/>
      <c r="J15" s="420"/>
    </row>
    <row r="16" spans="1:10" s="402" customFormat="1" ht="16.5" customHeight="1" thickBot="1" x14ac:dyDescent="0.3">
      <c r="A16" s="437"/>
      <c r="B16" s="456" t="s">
        <v>799</v>
      </c>
      <c r="C16" s="457"/>
      <c r="D16" s="457"/>
      <c r="E16" s="457"/>
      <c r="F16" s="458"/>
      <c r="G16" s="458"/>
      <c r="H16" s="458">
        <v>1</v>
      </c>
      <c r="I16" s="459"/>
      <c r="J16" s="420"/>
    </row>
    <row r="17" spans="1:10" ht="15.75" x14ac:dyDescent="0.25">
      <c r="A17" s="898" t="s">
        <v>791</v>
      </c>
      <c r="B17" s="429" t="s">
        <v>763</v>
      </c>
      <c r="C17" s="412">
        <f>SUM(D17:I17)</f>
        <v>13</v>
      </c>
      <c r="D17" s="412">
        <f>SUM(D18:D24)</f>
        <v>5</v>
      </c>
      <c r="E17" s="412">
        <f t="shared" ref="E17:I17" si="1">SUM(E18:E24)</f>
        <v>0</v>
      </c>
      <c r="F17" s="412">
        <f t="shared" si="1"/>
        <v>0</v>
      </c>
      <c r="G17" s="412">
        <f t="shared" si="1"/>
        <v>0</v>
      </c>
      <c r="H17" s="412">
        <f t="shared" si="1"/>
        <v>8</v>
      </c>
      <c r="I17" s="412">
        <f t="shared" si="1"/>
        <v>0</v>
      </c>
      <c r="J17" s="420"/>
    </row>
    <row r="18" spans="1:10" ht="15.75" x14ac:dyDescent="0.25">
      <c r="A18" s="899"/>
      <c r="B18" s="419" t="s">
        <v>800</v>
      </c>
      <c r="C18" s="405"/>
      <c r="D18" s="405">
        <v>1</v>
      </c>
      <c r="E18" s="405"/>
      <c r="F18" s="404"/>
      <c r="G18" s="404"/>
      <c r="H18" s="404"/>
      <c r="I18" s="406"/>
      <c r="J18" s="420"/>
    </row>
    <row r="19" spans="1:10" ht="15.75" x14ac:dyDescent="0.25">
      <c r="A19" s="899"/>
      <c r="B19" s="419" t="s">
        <v>801</v>
      </c>
      <c r="C19" s="405"/>
      <c r="D19" s="405">
        <v>3</v>
      </c>
      <c r="E19" s="405"/>
      <c r="F19" s="404"/>
      <c r="G19" s="404"/>
      <c r="H19" s="404"/>
      <c r="I19" s="406"/>
      <c r="J19" s="420"/>
    </row>
    <row r="20" spans="1:10" ht="15.75" x14ac:dyDescent="0.25">
      <c r="A20" s="899"/>
      <c r="B20" s="419" t="s">
        <v>802</v>
      </c>
      <c r="C20" s="405"/>
      <c r="D20" s="405"/>
      <c r="E20" s="405"/>
      <c r="F20" s="404"/>
      <c r="G20" s="404"/>
      <c r="H20" s="404">
        <v>2</v>
      </c>
      <c r="I20" s="406"/>
      <c r="J20" s="420"/>
    </row>
    <row r="21" spans="1:10" ht="16.5" customHeight="1" thickBot="1" x14ac:dyDescent="0.3">
      <c r="A21" s="900"/>
      <c r="B21" s="431" t="s">
        <v>803</v>
      </c>
      <c r="C21" s="415"/>
      <c r="D21" s="415">
        <v>1</v>
      </c>
      <c r="E21" s="415"/>
      <c r="F21" s="416"/>
      <c r="G21" s="416"/>
      <c r="H21" s="416"/>
      <c r="I21" s="417"/>
      <c r="J21" s="420"/>
    </row>
    <row r="22" spans="1:10" s="402" customFormat="1" ht="16.5" customHeight="1" x14ac:dyDescent="0.25">
      <c r="A22" s="438"/>
      <c r="B22" s="456" t="s">
        <v>804</v>
      </c>
      <c r="C22" s="457"/>
      <c r="D22" s="457"/>
      <c r="E22" s="457"/>
      <c r="F22" s="458"/>
      <c r="G22" s="458"/>
      <c r="H22" s="458">
        <v>4</v>
      </c>
      <c r="I22" s="459"/>
      <c r="J22" s="420"/>
    </row>
    <row r="23" spans="1:10" s="402" customFormat="1" ht="16.5" customHeight="1" thickBot="1" x14ac:dyDescent="0.3">
      <c r="A23" s="438"/>
      <c r="B23" s="456" t="s">
        <v>797</v>
      </c>
      <c r="C23" s="457"/>
      <c r="D23" s="457"/>
      <c r="E23" s="457"/>
      <c r="F23" s="458"/>
      <c r="G23" s="458"/>
      <c r="H23" s="458">
        <v>2</v>
      </c>
      <c r="I23" s="459"/>
      <c r="J23" s="420"/>
    </row>
    <row r="24" spans="1:10" ht="15.75" customHeight="1" thickBot="1" x14ac:dyDescent="0.3">
      <c r="A24" s="433"/>
      <c r="B24" s="429"/>
      <c r="C24" s="409"/>
      <c r="D24" s="409"/>
      <c r="E24" s="409"/>
      <c r="F24" s="410"/>
      <c r="G24" s="410"/>
      <c r="H24" s="410"/>
      <c r="I24" s="411"/>
      <c r="J24" s="420"/>
    </row>
    <row r="25" spans="1:10" ht="15.75" x14ac:dyDescent="0.25">
      <c r="A25" s="901" t="s">
        <v>727</v>
      </c>
      <c r="B25" s="429" t="s">
        <v>763</v>
      </c>
      <c r="C25" s="412"/>
      <c r="D25" s="412">
        <v>8</v>
      </c>
      <c r="E25" s="412"/>
      <c r="F25" s="413"/>
      <c r="G25" s="413"/>
      <c r="H25" s="413"/>
      <c r="I25" s="414"/>
      <c r="J25" s="420"/>
    </row>
    <row r="26" spans="1:10" ht="15.75" x14ac:dyDescent="0.25">
      <c r="A26" s="902"/>
      <c r="B26" s="419"/>
      <c r="C26" s="405"/>
      <c r="D26" s="405"/>
      <c r="E26" s="405"/>
      <c r="F26" s="404"/>
      <c r="G26" s="404"/>
      <c r="H26" s="404"/>
      <c r="I26" s="406"/>
      <c r="J26" s="420"/>
    </row>
    <row r="27" spans="1:10" ht="15.75" x14ac:dyDescent="0.25">
      <c r="A27" s="902"/>
      <c r="B27" s="419"/>
      <c r="C27" s="405"/>
      <c r="D27" s="407"/>
      <c r="E27" s="407"/>
      <c r="F27" s="403"/>
      <c r="G27" s="403"/>
      <c r="H27" s="403"/>
      <c r="I27" s="408"/>
      <c r="J27" s="420"/>
    </row>
    <row r="28" spans="1:10" ht="15.75" x14ac:dyDescent="0.25">
      <c r="A28" s="902"/>
      <c r="B28" s="419"/>
      <c r="C28" s="405"/>
      <c r="D28" s="407"/>
      <c r="E28" s="407"/>
      <c r="F28" s="403"/>
      <c r="G28" s="403"/>
      <c r="H28" s="403"/>
      <c r="I28" s="408"/>
      <c r="J28" s="420"/>
    </row>
  </sheetData>
  <mergeCells count="18">
    <mergeCell ref="A1:E1"/>
    <mergeCell ref="A3:I3"/>
    <mergeCell ref="D7:D8"/>
    <mergeCell ref="F7:F8"/>
    <mergeCell ref="E7:E8"/>
    <mergeCell ref="A5:A8"/>
    <mergeCell ref="C5:C8"/>
    <mergeCell ref="D5:I5"/>
    <mergeCell ref="H6:I6"/>
    <mergeCell ref="D6:G6"/>
    <mergeCell ref="G7:G8"/>
    <mergeCell ref="A13:A15"/>
    <mergeCell ref="A17:A21"/>
    <mergeCell ref="A25:A28"/>
    <mergeCell ref="A10:A12"/>
    <mergeCell ref="J6:J8"/>
    <mergeCell ref="H7:H8"/>
    <mergeCell ref="I7:I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4" sqref="A4"/>
    </sheetView>
  </sheetViews>
  <sheetFormatPr defaultRowHeight="15" x14ac:dyDescent="0.25"/>
  <cols>
    <col min="1" max="1" width="33.28515625" customWidth="1"/>
    <col min="2" max="2" width="17.140625" customWidth="1"/>
    <col min="3" max="3" width="23.28515625" customWidth="1"/>
  </cols>
  <sheetData>
    <row r="1" spans="1:5" x14ac:dyDescent="0.25">
      <c r="A1" s="857" t="s">
        <v>768</v>
      </c>
      <c r="B1" s="857"/>
      <c r="C1" s="857"/>
      <c r="D1" s="857"/>
      <c r="E1" s="857"/>
    </row>
    <row r="2" spans="1:5" s="336" customFormat="1" x14ac:dyDescent="0.25">
      <c r="A2" s="398"/>
      <c r="B2" s="398"/>
      <c r="C2" s="398"/>
      <c r="D2" s="398"/>
      <c r="E2" s="398"/>
    </row>
    <row r="3" spans="1:5" s="336" customFormat="1" ht="33" customHeight="1" x14ac:dyDescent="0.25">
      <c r="A3" s="933" t="s">
        <v>829</v>
      </c>
      <c r="B3" s="933"/>
      <c r="C3" s="933"/>
      <c r="D3" s="398"/>
      <c r="E3" s="398"/>
    </row>
    <row r="4" spans="1:5" ht="15.75" thickBot="1" x14ac:dyDescent="0.3"/>
    <row r="5" spans="1:5" ht="15.75" thickTop="1" x14ac:dyDescent="0.25">
      <c r="A5" s="927"/>
      <c r="B5" s="928"/>
      <c r="C5" s="929"/>
    </row>
    <row r="6" spans="1:5" ht="60.75" customHeight="1" x14ac:dyDescent="0.25">
      <c r="A6" s="930" t="s">
        <v>792</v>
      </c>
      <c r="B6" s="931"/>
      <c r="C6" s="932"/>
    </row>
    <row r="7" spans="1:5" x14ac:dyDescent="0.25">
      <c r="A7" s="331"/>
      <c r="B7" s="332" t="s">
        <v>62</v>
      </c>
      <c r="C7" s="333" t="s">
        <v>617</v>
      </c>
    </row>
    <row r="8" spans="1:5" ht="30" x14ac:dyDescent="0.25">
      <c r="A8" s="454" t="s">
        <v>487</v>
      </c>
      <c r="B8" s="332">
        <v>95</v>
      </c>
      <c r="C8" s="400">
        <v>380000</v>
      </c>
    </row>
    <row r="9" spans="1:5" x14ac:dyDescent="0.25">
      <c r="A9" s="331"/>
      <c r="B9" s="332"/>
      <c r="C9" s="400"/>
    </row>
    <row r="10" spans="1:5" x14ac:dyDescent="0.25">
      <c r="A10" s="331"/>
      <c r="B10" s="332"/>
      <c r="C10" s="400"/>
    </row>
    <row r="11" spans="1:5" ht="15.75" thickBot="1" x14ac:dyDescent="0.3">
      <c r="A11" s="334" t="s">
        <v>381</v>
      </c>
      <c r="B11" s="335">
        <f>SUM(B8:B10)</f>
        <v>95</v>
      </c>
      <c r="C11" s="401">
        <f>SUM(C8:C10)</f>
        <v>380000</v>
      </c>
    </row>
  </sheetData>
  <mergeCells count="4">
    <mergeCell ref="A5:C5"/>
    <mergeCell ref="A6:C6"/>
    <mergeCell ref="A1:E1"/>
    <mergeCell ref="A3:C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7" workbookViewId="0">
      <selection activeCell="K13" sqref="K13"/>
    </sheetView>
  </sheetViews>
  <sheetFormatPr defaultRowHeight="15" x14ac:dyDescent="0.25"/>
  <cols>
    <col min="1" max="1" width="28.140625" customWidth="1"/>
    <col min="3" max="3" width="13.28515625" customWidth="1"/>
    <col min="4" max="4" width="15.140625" customWidth="1"/>
    <col min="5" max="6" width="13.85546875" customWidth="1"/>
    <col min="7" max="7" width="14.42578125" customWidth="1"/>
  </cols>
  <sheetData>
    <row r="1" spans="1:7" x14ac:dyDescent="0.25">
      <c r="A1" s="726" t="s">
        <v>769</v>
      </c>
      <c r="B1" s="726"/>
      <c r="C1" s="726"/>
      <c r="D1" s="726"/>
      <c r="E1" s="726"/>
      <c r="F1" s="726"/>
      <c r="G1" s="336"/>
    </row>
    <row r="2" spans="1:7" x14ac:dyDescent="0.25">
      <c r="A2" s="726"/>
      <c r="B2" s="726"/>
      <c r="C2" s="726"/>
      <c r="D2" s="726"/>
      <c r="E2" s="726"/>
      <c r="F2" s="726"/>
      <c r="G2" s="336"/>
    </row>
    <row r="3" spans="1:7" x14ac:dyDescent="0.25">
      <c r="A3" s="229"/>
      <c r="B3" s="229"/>
      <c r="C3" s="229"/>
      <c r="D3" s="229"/>
      <c r="E3" s="229"/>
      <c r="F3" s="229"/>
      <c r="G3" s="336"/>
    </row>
    <row r="4" spans="1:7" ht="37.5" customHeight="1" x14ac:dyDescent="0.25">
      <c r="A4" s="934" t="s">
        <v>828</v>
      </c>
      <c r="B4" s="934"/>
      <c r="C4" s="934"/>
      <c r="D4" s="934"/>
      <c r="E4" s="934"/>
      <c r="F4" s="934"/>
      <c r="G4" s="934"/>
    </row>
    <row r="5" spans="1:7" ht="15.75" thickBot="1" x14ac:dyDescent="0.3">
      <c r="A5" s="351"/>
      <c r="B5" s="351"/>
      <c r="C5" s="351"/>
      <c r="D5" s="351"/>
      <c r="E5" s="351"/>
      <c r="F5" s="351"/>
      <c r="G5" s="352" t="s">
        <v>645</v>
      </c>
    </row>
    <row r="6" spans="1:7" x14ac:dyDescent="0.25">
      <c r="A6" s="935" t="s">
        <v>646</v>
      </c>
      <c r="B6" s="938" t="s">
        <v>274</v>
      </c>
      <c r="C6" s="941" t="s">
        <v>647</v>
      </c>
      <c r="D6" s="942"/>
      <c r="E6" s="942"/>
      <c r="F6" s="942"/>
      <c r="G6" s="945" t="s">
        <v>648</v>
      </c>
    </row>
    <row r="7" spans="1:7" x14ac:dyDescent="0.25">
      <c r="A7" s="936"/>
      <c r="B7" s="939"/>
      <c r="C7" s="943"/>
      <c r="D7" s="944"/>
      <c r="E7" s="944"/>
      <c r="F7" s="944"/>
      <c r="G7" s="946"/>
    </row>
    <row r="8" spans="1:7" ht="15.75" thickBot="1" x14ac:dyDescent="0.3">
      <c r="A8" s="937"/>
      <c r="B8" s="940"/>
      <c r="C8" s="353">
        <v>2018</v>
      </c>
      <c r="D8" s="353">
        <v>2019</v>
      </c>
      <c r="E8" s="353">
        <v>2020</v>
      </c>
      <c r="F8" s="354">
        <v>2021</v>
      </c>
      <c r="G8" s="947"/>
    </row>
    <row r="9" spans="1:7" x14ac:dyDescent="0.25">
      <c r="A9" s="355">
        <v>1</v>
      </c>
      <c r="B9" s="356">
        <v>2</v>
      </c>
      <c r="C9" s="356">
        <v>3</v>
      </c>
      <c r="D9" s="356">
        <v>4</v>
      </c>
      <c r="E9" s="356">
        <v>5</v>
      </c>
      <c r="F9" s="357">
        <v>6</v>
      </c>
      <c r="G9" s="358">
        <v>7</v>
      </c>
    </row>
    <row r="10" spans="1:7" x14ac:dyDescent="0.25">
      <c r="A10" s="359" t="s">
        <v>649</v>
      </c>
      <c r="B10" s="360" t="s">
        <v>650</v>
      </c>
      <c r="C10" s="361">
        <f>'6mellékletKözhatalmi bevételek'!C19</f>
        <v>23831000</v>
      </c>
      <c r="D10" s="361">
        <f>C10*1.039</f>
        <v>24760409</v>
      </c>
      <c r="E10" s="361">
        <f>D10*1.039</f>
        <v>25726064.950999998</v>
      </c>
      <c r="F10" s="361">
        <f>E10*1.039</f>
        <v>26729381.484088995</v>
      </c>
      <c r="G10" s="362">
        <f>+C10+D10+E10+F10</f>
        <v>101046855.43508899</v>
      </c>
    </row>
    <row r="11" spans="1:7" x14ac:dyDescent="0.25">
      <c r="A11" s="359" t="s">
        <v>651</v>
      </c>
      <c r="B11" s="360" t="s">
        <v>652</v>
      </c>
      <c r="C11" s="361">
        <v>0</v>
      </c>
      <c r="D11" s="361">
        <f t="shared" ref="D11:F13" si="0">C11*1.039</f>
        <v>0</v>
      </c>
      <c r="E11" s="361">
        <f t="shared" si="0"/>
        <v>0</v>
      </c>
      <c r="F11" s="361">
        <f t="shared" si="0"/>
        <v>0</v>
      </c>
      <c r="G11" s="362">
        <f t="shared" ref="G11:G36" si="1">+C11+D11+E11+F11</f>
        <v>0</v>
      </c>
    </row>
    <row r="12" spans="1:7" x14ac:dyDescent="0.25">
      <c r="A12" s="359" t="s">
        <v>653</v>
      </c>
      <c r="B12" s="360" t="s">
        <v>654</v>
      </c>
      <c r="C12" s="361">
        <v>0</v>
      </c>
      <c r="D12" s="361">
        <v>0</v>
      </c>
      <c r="E12" s="361">
        <f t="shared" si="0"/>
        <v>0</v>
      </c>
      <c r="F12" s="361">
        <f t="shared" si="0"/>
        <v>0</v>
      </c>
      <c r="G12" s="362">
        <f t="shared" si="1"/>
        <v>0</v>
      </c>
    </row>
    <row r="13" spans="1:7" ht="84.75" customHeight="1" x14ac:dyDescent="0.25">
      <c r="A13" s="359" t="s">
        <v>655</v>
      </c>
      <c r="B13" s="360" t="s">
        <v>656</v>
      </c>
      <c r="C13" s="361">
        <v>0</v>
      </c>
      <c r="D13" s="361">
        <f t="shared" si="0"/>
        <v>0</v>
      </c>
      <c r="E13" s="361">
        <f t="shared" si="0"/>
        <v>0</v>
      </c>
      <c r="F13" s="361">
        <f t="shared" si="0"/>
        <v>0</v>
      </c>
      <c r="G13" s="362">
        <f t="shared" si="1"/>
        <v>0</v>
      </c>
    </row>
    <row r="14" spans="1:7" x14ac:dyDescent="0.25">
      <c r="A14" s="359" t="s">
        <v>657</v>
      </c>
      <c r="B14" s="360" t="s">
        <v>658</v>
      </c>
      <c r="C14" s="361">
        <v>0</v>
      </c>
      <c r="D14" s="361">
        <v>0</v>
      </c>
      <c r="E14" s="361">
        <v>0</v>
      </c>
      <c r="F14" s="363">
        <v>0</v>
      </c>
      <c r="G14" s="362">
        <f t="shared" si="1"/>
        <v>0</v>
      </c>
    </row>
    <row r="15" spans="1:7" ht="43.5" customHeight="1" x14ac:dyDescent="0.25">
      <c r="A15" s="359" t="s">
        <v>659</v>
      </c>
      <c r="B15" s="360" t="s">
        <v>660</v>
      </c>
      <c r="C15" s="361">
        <v>0</v>
      </c>
      <c r="D15" s="361">
        <v>0</v>
      </c>
      <c r="E15" s="361">
        <v>0</v>
      </c>
      <c r="F15" s="363">
        <v>0</v>
      </c>
      <c r="G15" s="362">
        <f t="shared" si="1"/>
        <v>0</v>
      </c>
    </row>
    <row r="16" spans="1:7" ht="29.25" customHeight="1" thickBot="1" x14ac:dyDescent="0.3">
      <c r="A16" s="364" t="s">
        <v>661</v>
      </c>
      <c r="B16" s="365" t="s">
        <v>662</v>
      </c>
      <c r="C16" s="366">
        <v>0</v>
      </c>
      <c r="D16" s="366">
        <v>0</v>
      </c>
      <c r="E16" s="366">
        <v>0</v>
      </c>
      <c r="F16" s="367">
        <v>0</v>
      </c>
      <c r="G16" s="368">
        <f t="shared" si="1"/>
        <v>0</v>
      </c>
    </row>
    <row r="17" spans="1:7" ht="15.75" thickBot="1" x14ac:dyDescent="0.3">
      <c r="A17" s="369" t="s">
        <v>663</v>
      </c>
      <c r="B17" s="370" t="s">
        <v>664</v>
      </c>
      <c r="C17" s="371">
        <f>SUM(C10:C16)</f>
        <v>23831000</v>
      </c>
      <c r="D17" s="371">
        <f>SUM(D10:D16)</f>
        <v>24760409</v>
      </c>
      <c r="E17" s="371">
        <f>SUM(E10:E16)</f>
        <v>25726064.950999998</v>
      </c>
      <c r="F17" s="372">
        <f>SUM(F10:F16)</f>
        <v>26729381.484088995</v>
      </c>
      <c r="G17" s="373">
        <f t="shared" si="1"/>
        <v>101046855.43508899</v>
      </c>
    </row>
    <row r="18" spans="1:7" ht="15.75" thickBot="1" x14ac:dyDescent="0.3">
      <c r="A18" s="374" t="s">
        <v>665</v>
      </c>
      <c r="B18" s="375" t="s">
        <v>666</v>
      </c>
      <c r="C18" s="376">
        <f>+C17*0.5</f>
        <v>11915500</v>
      </c>
      <c r="D18" s="376">
        <f>+D17*0.5</f>
        <v>12380204.5</v>
      </c>
      <c r="E18" s="376">
        <f>+E17*0.5</f>
        <v>12863032.475499999</v>
      </c>
      <c r="F18" s="377">
        <f>+F17*0.5</f>
        <v>13364690.742044497</v>
      </c>
      <c r="G18" s="373">
        <f t="shared" si="1"/>
        <v>50523427.717544496</v>
      </c>
    </row>
    <row r="19" spans="1:7" ht="49.5" customHeight="1" thickBot="1" x14ac:dyDescent="0.3">
      <c r="A19" s="369" t="s">
        <v>667</v>
      </c>
      <c r="B19" s="378">
        <v>10</v>
      </c>
      <c r="C19" s="371">
        <f>SUM(C20:C26)</f>
        <v>0</v>
      </c>
      <c r="D19" s="371">
        <f>SUM(D20:D26)</f>
        <v>0</v>
      </c>
      <c r="E19" s="371">
        <f>SUM(E20:E26)</f>
        <v>0</v>
      </c>
      <c r="F19" s="372">
        <f>SUM(F20:F26)</f>
        <v>0</v>
      </c>
      <c r="G19" s="373">
        <f t="shared" si="1"/>
        <v>0</v>
      </c>
    </row>
    <row r="20" spans="1:7" ht="34.5" customHeight="1" x14ac:dyDescent="0.25">
      <c r="A20" s="379" t="s">
        <v>668</v>
      </c>
      <c r="B20" s="380">
        <v>11</v>
      </c>
      <c r="C20" s="381">
        <v>0</v>
      </c>
      <c r="D20" s="381">
        <v>0</v>
      </c>
      <c r="E20" s="381">
        <v>0</v>
      </c>
      <c r="F20" s="382">
        <v>0</v>
      </c>
      <c r="G20" s="383">
        <f t="shared" si="1"/>
        <v>0</v>
      </c>
    </row>
    <row r="21" spans="1:7" ht="42.75" customHeight="1" x14ac:dyDescent="0.25">
      <c r="A21" s="359" t="s">
        <v>669</v>
      </c>
      <c r="B21" s="384">
        <v>12</v>
      </c>
      <c r="C21" s="361">
        <v>0</v>
      </c>
      <c r="D21" s="361">
        <v>0</v>
      </c>
      <c r="E21" s="361">
        <v>0</v>
      </c>
      <c r="F21" s="363">
        <v>0</v>
      </c>
      <c r="G21" s="362">
        <f t="shared" si="1"/>
        <v>0</v>
      </c>
    </row>
    <row r="22" spans="1:7" x14ac:dyDescent="0.25">
      <c r="A22" s="359" t="s">
        <v>670</v>
      </c>
      <c r="B22" s="384">
        <v>13</v>
      </c>
      <c r="C22" s="361">
        <v>0</v>
      </c>
      <c r="D22" s="361">
        <v>0</v>
      </c>
      <c r="E22" s="361">
        <v>0</v>
      </c>
      <c r="F22" s="363">
        <v>0</v>
      </c>
      <c r="G22" s="362">
        <f t="shared" si="1"/>
        <v>0</v>
      </c>
    </row>
    <row r="23" spans="1:7" x14ac:dyDescent="0.25">
      <c r="A23" s="359" t="s">
        <v>671</v>
      </c>
      <c r="B23" s="384">
        <v>14</v>
      </c>
      <c r="C23" s="361">
        <v>0</v>
      </c>
      <c r="D23" s="361">
        <v>0</v>
      </c>
      <c r="E23" s="361">
        <v>0</v>
      </c>
      <c r="F23" s="363">
        <v>0</v>
      </c>
      <c r="G23" s="362">
        <f t="shared" si="1"/>
        <v>0</v>
      </c>
    </row>
    <row r="24" spans="1:7" x14ac:dyDescent="0.25">
      <c r="A24" s="359" t="s">
        <v>672</v>
      </c>
      <c r="B24" s="384">
        <v>15</v>
      </c>
      <c r="C24" s="361">
        <v>0</v>
      </c>
      <c r="D24" s="361">
        <v>0</v>
      </c>
      <c r="E24" s="361">
        <v>0</v>
      </c>
      <c r="F24" s="363">
        <v>0</v>
      </c>
      <c r="G24" s="362">
        <f t="shared" si="1"/>
        <v>0</v>
      </c>
    </row>
    <row r="25" spans="1:7" x14ac:dyDescent="0.25">
      <c r="A25" s="359" t="s">
        <v>673</v>
      </c>
      <c r="B25" s="384">
        <v>16</v>
      </c>
      <c r="C25" s="361">
        <v>0</v>
      </c>
      <c r="D25" s="361">
        <v>0</v>
      </c>
      <c r="E25" s="361">
        <v>0</v>
      </c>
      <c r="F25" s="363">
        <v>0</v>
      </c>
      <c r="G25" s="362">
        <f t="shared" si="1"/>
        <v>0</v>
      </c>
    </row>
    <row r="26" spans="1:7" ht="34.5" customHeight="1" thickBot="1" x14ac:dyDescent="0.3">
      <c r="A26" s="364" t="s">
        <v>674</v>
      </c>
      <c r="B26" s="385">
        <v>17</v>
      </c>
      <c r="C26" s="366">
        <v>0</v>
      </c>
      <c r="D26" s="366">
        <v>0</v>
      </c>
      <c r="E26" s="366">
        <v>0</v>
      </c>
      <c r="F26" s="367">
        <v>0</v>
      </c>
      <c r="G26" s="368">
        <f t="shared" si="1"/>
        <v>0</v>
      </c>
    </row>
    <row r="27" spans="1:7" ht="47.25" customHeight="1" thickBot="1" x14ac:dyDescent="0.3">
      <c r="A27" s="369" t="s">
        <v>675</v>
      </c>
      <c r="B27" s="378">
        <v>18</v>
      </c>
      <c r="C27" s="371">
        <f>SUM(C28:C34)</f>
        <v>0</v>
      </c>
      <c r="D27" s="371">
        <f>SUM(D28:D34)</f>
        <v>0</v>
      </c>
      <c r="E27" s="371">
        <f>SUM(E28:E34)</f>
        <v>0</v>
      </c>
      <c r="F27" s="372">
        <f>SUM(F28:F34)</f>
        <v>0</v>
      </c>
      <c r="G27" s="373">
        <f t="shared" si="1"/>
        <v>0</v>
      </c>
    </row>
    <row r="28" spans="1:7" ht="37.5" customHeight="1" x14ac:dyDescent="0.25">
      <c r="A28" s="379" t="s">
        <v>668</v>
      </c>
      <c r="B28" s="380">
        <v>19</v>
      </c>
      <c r="C28" s="381">
        <v>0</v>
      </c>
      <c r="D28" s="381">
        <v>0</v>
      </c>
      <c r="E28" s="381">
        <v>0</v>
      </c>
      <c r="F28" s="382">
        <v>0</v>
      </c>
      <c r="G28" s="383">
        <f t="shared" si="1"/>
        <v>0</v>
      </c>
    </row>
    <row r="29" spans="1:7" ht="33.75" customHeight="1" x14ac:dyDescent="0.25">
      <c r="A29" s="359" t="s">
        <v>669</v>
      </c>
      <c r="B29" s="384">
        <v>20</v>
      </c>
      <c r="C29" s="381">
        <v>0</v>
      </c>
      <c r="D29" s="381">
        <v>0</v>
      </c>
      <c r="E29" s="381">
        <v>0</v>
      </c>
      <c r="F29" s="382">
        <v>0</v>
      </c>
      <c r="G29" s="362">
        <f t="shared" si="1"/>
        <v>0</v>
      </c>
    </row>
    <row r="30" spans="1:7" ht="27" customHeight="1" x14ac:dyDescent="0.25">
      <c r="A30" s="359" t="s">
        <v>670</v>
      </c>
      <c r="B30" s="384">
        <v>21</v>
      </c>
      <c r="C30" s="381">
        <v>0</v>
      </c>
      <c r="D30" s="381">
        <v>0</v>
      </c>
      <c r="E30" s="381">
        <v>0</v>
      </c>
      <c r="F30" s="382">
        <v>0</v>
      </c>
      <c r="G30" s="362">
        <f t="shared" si="1"/>
        <v>0</v>
      </c>
    </row>
    <row r="31" spans="1:7" x14ac:dyDescent="0.25">
      <c r="A31" s="359" t="s">
        <v>671</v>
      </c>
      <c r="B31" s="384">
        <v>22</v>
      </c>
      <c r="C31" s="381">
        <v>0</v>
      </c>
      <c r="D31" s="381">
        <v>0</v>
      </c>
      <c r="E31" s="381">
        <v>0</v>
      </c>
      <c r="F31" s="382">
        <v>0</v>
      </c>
      <c r="G31" s="362">
        <f t="shared" si="1"/>
        <v>0</v>
      </c>
    </row>
    <row r="32" spans="1:7" x14ac:dyDescent="0.25">
      <c r="A32" s="359" t="s">
        <v>672</v>
      </c>
      <c r="B32" s="384">
        <v>23</v>
      </c>
      <c r="C32" s="381">
        <v>0</v>
      </c>
      <c r="D32" s="381">
        <v>0</v>
      </c>
      <c r="E32" s="381">
        <v>0</v>
      </c>
      <c r="F32" s="382">
        <v>0</v>
      </c>
      <c r="G32" s="362">
        <f t="shared" si="1"/>
        <v>0</v>
      </c>
    </row>
    <row r="33" spans="1:7" x14ac:dyDescent="0.25">
      <c r="A33" s="359" t="s">
        <v>673</v>
      </c>
      <c r="B33" s="384">
        <v>24</v>
      </c>
      <c r="C33" s="381">
        <v>0</v>
      </c>
      <c r="D33" s="381">
        <v>0</v>
      </c>
      <c r="E33" s="381">
        <v>0</v>
      </c>
      <c r="F33" s="382">
        <v>0</v>
      </c>
      <c r="G33" s="362">
        <f t="shared" si="1"/>
        <v>0</v>
      </c>
    </row>
    <row r="34" spans="1:7" ht="36" customHeight="1" thickBot="1" x14ac:dyDescent="0.3">
      <c r="A34" s="364" t="s">
        <v>674</v>
      </c>
      <c r="B34" s="385">
        <v>25</v>
      </c>
      <c r="C34" s="381">
        <v>0</v>
      </c>
      <c r="D34" s="381">
        <v>0</v>
      </c>
      <c r="E34" s="381">
        <v>0</v>
      </c>
      <c r="F34" s="382">
        <v>0</v>
      </c>
      <c r="G34" s="368">
        <f t="shared" si="1"/>
        <v>0</v>
      </c>
    </row>
    <row r="35" spans="1:7" ht="21.75" thickBot="1" x14ac:dyDescent="0.3">
      <c r="A35" s="369" t="s">
        <v>676</v>
      </c>
      <c r="B35" s="378">
        <v>26</v>
      </c>
      <c r="C35" s="371">
        <f>+C19+C27</f>
        <v>0</v>
      </c>
      <c r="D35" s="371">
        <f>+D19+D27</f>
        <v>0</v>
      </c>
      <c r="E35" s="371">
        <f>+E19+E27</f>
        <v>0</v>
      </c>
      <c r="F35" s="372">
        <f>+F19+F27</f>
        <v>0</v>
      </c>
      <c r="G35" s="373">
        <f t="shared" si="1"/>
        <v>0</v>
      </c>
    </row>
    <row r="36" spans="1:7" ht="21.75" thickBot="1" x14ac:dyDescent="0.3">
      <c r="A36" s="374" t="s">
        <v>677</v>
      </c>
      <c r="B36" s="386">
        <v>27</v>
      </c>
      <c r="C36" s="376">
        <f>+C18-C35</f>
        <v>11915500</v>
      </c>
      <c r="D36" s="376">
        <f>+D18-D35</f>
        <v>12380204.5</v>
      </c>
      <c r="E36" s="376">
        <f>+E18-E35</f>
        <v>12863032.475499999</v>
      </c>
      <c r="F36" s="376">
        <f>+F18-F35</f>
        <v>13364690.742044497</v>
      </c>
      <c r="G36" s="387">
        <f t="shared" si="1"/>
        <v>50523427.717544496</v>
      </c>
    </row>
  </sheetData>
  <mergeCells count="6">
    <mergeCell ref="A1:F2"/>
    <mergeCell ref="A4:G4"/>
    <mergeCell ref="A6:A8"/>
    <mergeCell ref="B6:B8"/>
    <mergeCell ref="C6:F7"/>
    <mergeCell ref="G6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H14" sqref="H14"/>
    </sheetView>
  </sheetViews>
  <sheetFormatPr defaultRowHeight="15" x14ac:dyDescent="0.25"/>
  <cols>
    <col min="1" max="1" width="29.7109375" customWidth="1"/>
    <col min="3" max="3" width="21.140625" customWidth="1"/>
    <col min="4" max="5" width="21.140625" style="135" customWidth="1"/>
    <col min="6" max="6" width="24.85546875" customWidth="1"/>
    <col min="8" max="8" width="21.5703125" customWidth="1"/>
    <col min="9" max="9" width="21.5703125" style="135" customWidth="1"/>
    <col min="10" max="10" width="18.42578125" customWidth="1"/>
  </cols>
  <sheetData>
    <row r="1" spans="1:10" ht="15.75" x14ac:dyDescent="0.25">
      <c r="A1" s="716" t="s">
        <v>729</v>
      </c>
      <c r="B1" s="716"/>
      <c r="C1" s="716"/>
      <c r="D1" s="716"/>
      <c r="E1" s="716"/>
      <c r="I1" s="722"/>
      <c r="J1" s="722"/>
    </row>
    <row r="2" spans="1:10" s="135" customFormat="1" ht="15.75" x14ac:dyDescent="0.25">
      <c r="A2" s="161"/>
      <c r="B2" s="161"/>
      <c r="C2" s="161"/>
      <c r="D2" s="161"/>
      <c r="E2" s="161"/>
      <c r="I2" s="141"/>
      <c r="J2" s="141"/>
    </row>
    <row r="3" spans="1:10" s="135" customFormat="1" x14ac:dyDescent="0.25">
      <c r="A3" s="721" t="s">
        <v>777</v>
      </c>
      <c r="B3" s="721"/>
      <c r="C3" s="721"/>
      <c r="D3" s="721"/>
      <c r="E3" s="721"/>
      <c r="F3" s="721"/>
      <c r="G3" s="721"/>
      <c r="H3" s="721"/>
      <c r="I3" s="721"/>
      <c r="J3" s="721"/>
    </row>
    <row r="4" spans="1:10" s="135" customFormat="1" x14ac:dyDescent="0.25">
      <c r="A4" s="721"/>
      <c r="B4" s="721"/>
      <c r="C4" s="721"/>
      <c r="D4" s="721"/>
      <c r="E4" s="721"/>
      <c r="F4" s="721"/>
      <c r="G4" s="721"/>
      <c r="H4" s="721"/>
      <c r="I4" s="721"/>
      <c r="J4" s="721"/>
    </row>
    <row r="5" spans="1:10" x14ac:dyDescent="0.25">
      <c r="J5" s="88" t="s">
        <v>362</v>
      </c>
    </row>
    <row r="6" spans="1:10" ht="18" x14ac:dyDescent="0.25">
      <c r="A6" s="720" t="s">
        <v>367</v>
      </c>
      <c r="B6" s="720"/>
      <c r="C6" s="720"/>
      <c r="D6" s="720"/>
      <c r="E6" s="138"/>
      <c r="F6" s="720" t="s">
        <v>368</v>
      </c>
      <c r="G6" s="720"/>
      <c r="H6" s="720"/>
      <c r="I6" s="720"/>
      <c r="J6" s="720"/>
    </row>
    <row r="7" spans="1:10" ht="25.5" x14ac:dyDescent="0.25">
      <c r="A7" s="107" t="s">
        <v>67</v>
      </c>
      <c r="B7" s="108" t="s">
        <v>68</v>
      </c>
      <c r="C7" s="109" t="s">
        <v>379</v>
      </c>
      <c r="D7" s="109" t="s">
        <v>684</v>
      </c>
      <c r="E7" s="109" t="s">
        <v>229</v>
      </c>
      <c r="F7" s="109" t="s">
        <v>69</v>
      </c>
      <c r="G7" s="109" t="s">
        <v>68</v>
      </c>
      <c r="H7" s="109" t="s">
        <v>379</v>
      </c>
      <c r="I7" s="109" t="s">
        <v>684</v>
      </c>
      <c r="J7" s="109" t="s">
        <v>229</v>
      </c>
    </row>
    <row r="8" spans="1:10" ht="49.5" customHeight="1" x14ac:dyDescent="0.25">
      <c r="A8" s="21" t="s">
        <v>70</v>
      </c>
      <c r="B8" s="110" t="s">
        <v>71</v>
      </c>
      <c r="C8" s="111">
        <f>'4mell-Önkormányzat Bevétel'!J17</f>
        <v>68696526</v>
      </c>
      <c r="D8" s="111">
        <v>0</v>
      </c>
      <c r="E8" s="140">
        <f>SUM(C8:D8)</f>
        <v>68696526</v>
      </c>
      <c r="F8" s="112" t="s">
        <v>369</v>
      </c>
      <c r="G8" s="113" t="s">
        <v>100</v>
      </c>
      <c r="H8" s="114">
        <f>'8melléklet Önkormányzat kiadás'!K117</f>
        <v>24700064</v>
      </c>
      <c r="I8" s="114">
        <f>'14mellIntézményi összesített'!D8</f>
        <v>26682093</v>
      </c>
      <c r="J8" s="30">
        <f>SUM(H8:I8)</f>
        <v>51382157</v>
      </c>
    </row>
    <row r="9" spans="1:10" ht="57" customHeight="1" x14ac:dyDescent="0.25">
      <c r="A9" s="21" t="s">
        <v>85</v>
      </c>
      <c r="B9" s="110" t="s">
        <v>86</v>
      </c>
      <c r="C9" s="111">
        <f>'4mell-Önkormányzat Bevétel'!J18</f>
        <v>21582947</v>
      </c>
      <c r="D9" s="111">
        <v>0</v>
      </c>
      <c r="E9" s="140">
        <f t="shared" ref="E9:E15" si="0">SUM(C9:D9)</f>
        <v>21582947</v>
      </c>
      <c r="F9" s="112" t="s">
        <v>370</v>
      </c>
      <c r="G9" s="115" t="s">
        <v>102</v>
      </c>
      <c r="H9" s="114">
        <f>'8melléklet Önkormányzat kiadás'!L117</f>
        <v>4940012.8</v>
      </c>
      <c r="I9" s="114">
        <f>'14mellIntézményi összesített'!D9</f>
        <v>5336418.6000000006</v>
      </c>
      <c r="J9" s="30">
        <f t="shared" ref="J9:J15" si="1">SUM(H9:I9)</f>
        <v>10276431.4</v>
      </c>
    </row>
    <row r="10" spans="1:10" ht="60" customHeight="1" x14ac:dyDescent="0.25">
      <c r="A10" s="21" t="s">
        <v>95</v>
      </c>
      <c r="B10" s="110" t="s">
        <v>96</v>
      </c>
      <c r="C10" s="116">
        <f>SUM(C8:C9)</f>
        <v>90279473</v>
      </c>
      <c r="D10" s="116">
        <f t="shared" ref="D10" si="2">SUM(D8:D9)</f>
        <v>0</v>
      </c>
      <c r="E10" s="140">
        <f t="shared" si="0"/>
        <v>90279473</v>
      </c>
      <c r="F10" s="112" t="s">
        <v>371</v>
      </c>
      <c r="G10" s="113" t="s">
        <v>180</v>
      </c>
      <c r="H10" s="114">
        <f>'8melléklet Önkormányzat kiadás'!M117</f>
        <v>22746341</v>
      </c>
      <c r="I10" s="114">
        <f>'14mellIntézményi összesített'!D10</f>
        <v>10238977</v>
      </c>
      <c r="J10" s="30">
        <f t="shared" si="1"/>
        <v>32985318</v>
      </c>
    </row>
    <row r="11" spans="1:10" ht="40.5" customHeight="1" x14ac:dyDescent="0.25">
      <c r="A11" s="21" t="s">
        <v>103</v>
      </c>
      <c r="B11" s="110" t="s">
        <v>104</v>
      </c>
      <c r="C11" s="116">
        <f>'4mell-Önkormányzat Bevétel'!J27</f>
        <v>0</v>
      </c>
      <c r="D11" s="116">
        <v>0</v>
      </c>
      <c r="E11" s="140">
        <f t="shared" si="0"/>
        <v>0</v>
      </c>
      <c r="F11" s="117" t="s">
        <v>185</v>
      </c>
      <c r="G11" s="110" t="s">
        <v>186</v>
      </c>
      <c r="H11" s="114">
        <f>'8melléklet Önkormányzat kiadás'!N117</f>
        <v>4250000</v>
      </c>
      <c r="I11" s="114">
        <v>0</v>
      </c>
      <c r="J11" s="30">
        <f t="shared" si="1"/>
        <v>4250000</v>
      </c>
    </row>
    <row r="12" spans="1:10" ht="29.25" customHeight="1" x14ac:dyDescent="0.25">
      <c r="A12" s="21" t="s">
        <v>147</v>
      </c>
      <c r="B12" s="110" t="s">
        <v>148</v>
      </c>
      <c r="C12" s="116">
        <f>'4mell-Önkormányzat Bevétel'!J39</f>
        <v>23831000</v>
      </c>
      <c r="D12" s="116">
        <v>0</v>
      </c>
      <c r="E12" s="140">
        <f t="shared" si="0"/>
        <v>23831000</v>
      </c>
      <c r="F12" s="21" t="s">
        <v>190</v>
      </c>
      <c r="G12" s="110" t="s">
        <v>191</v>
      </c>
      <c r="H12" s="114">
        <f>'8melléklet Önkormányzat kiadás'!P117+'8melléklet Önkormányzat kiadás'!Q117+'8melléklet Önkormányzat kiadás'!R117</f>
        <v>22964947</v>
      </c>
      <c r="I12" s="114">
        <v>0</v>
      </c>
      <c r="J12" s="30">
        <f t="shared" si="1"/>
        <v>22964947</v>
      </c>
    </row>
    <row r="13" spans="1:10" ht="32.25" customHeight="1" x14ac:dyDescent="0.25">
      <c r="A13" s="21" t="s">
        <v>181</v>
      </c>
      <c r="B13" s="110" t="s">
        <v>182</v>
      </c>
      <c r="C13" s="111">
        <f>'4mell-Önkormányzat Bevétel'!J47</f>
        <v>2510000</v>
      </c>
      <c r="D13" s="111">
        <f>'14mellIntézményi összesített'!D15</f>
        <v>5270500</v>
      </c>
      <c r="E13" s="140">
        <f t="shared" si="0"/>
        <v>7780500</v>
      </c>
      <c r="F13" s="21" t="s">
        <v>202</v>
      </c>
      <c r="G13" s="110" t="s">
        <v>203</v>
      </c>
      <c r="H13" s="114">
        <f>'8melléklet Önkormányzat kiadás'!T117</f>
        <v>0</v>
      </c>
      <c r="I13" s="114">
        <f>'14mellIntézményi összesített'!D11</f>
        <v>0</v>
      </c>
      <c r="J13" s="30">
        <f t="shared" si="1"/>
        <v>0</v>
      </c>
    </row>
    <row r="14" spans="1:10" x14ac:dyDescent="0.25">
      <c r="A14" s="21" t="s">
        <v>183</v>
      </c>
      <c r="B14" s="110" t="s">
        <v>184</v>
      </c>
      <c r="C14" s="118">
        <f>'4mell-Önkormányzat Bevétel'!J49</f>
        <v>0</v>
      </c>
      <c r="D14" s="118">
        <f>'14mellIntézményi összesített'!D16</f>
        <v>0</v>
      </c>
      <c r="E14" s="140">
        <f t="shared" si="0"/>
        <v>0</v>
      </c>
      <c r="F14" s="119" t="s">
        <v>208</v>
      </c>
      <c r="G14" s="120" t="s">
        <v>209</v>
      </c>
      <c r="H14" s="121">
        <f>'8melléklet Önkormányzat kiadás'!Z113</f>
        <v>0</v>
      </c>
      <c r="I14" s="121">
        <f>'14mellIntézményi összesített'!D12</f>
        <v>0</v>
      </c>
      <c r="J14" s="30">
        <f t="shared" si="1"/>
        <v>0</v>
      </c>
    </row>
    <row r="15" spans="1:10" ht="35.25" customHeight="1" x14ac:dyDescent="0.25">
      <c r="A15" s="21" t="s">
        <v>187</v>
      </c>
      <c r="B15" s="110" t="s">
        <v>188</v>
      </c>
      <c r="C15" s="118">
        <f>'4mell-Önkormányzat Bevétel'!J50</f>
        <v>0</v>
      </c>
      <c r="D15" s="118">
        <v>0</v>
      </c>
      <c r="E15" s="140">
        <f t="shared" si="0"/>
        <v>0</v>
      </c>
      <c r="F15" s="97"/>
      <c r="G15" s="97"/>
      <c r="H15" s="32"/>
      <c r="I15" s="32"/>
      <c r="J15" s="30">
        <f t="shared" si="1"/>
        <v>0</v>
      </c>
    </row>
    <row r="16" spans="1:10" x14ac:dyDescent="0.25">
      <c r="A16" s="22" t="s">
        <v>65</v>
      </c>
      <c r="B16" s="122" t="s">
        <v>189</v>
      </c>
      <c r="C16" s="123">
        <f>SUM(C10:C15)</f>
        <v>116620473</v>
      </c>
      <c r="D16" s="123">
        <f t="shared" ref="D16:E16" si="3">SUM(D10:D15)</f>
        <v>5270500</v>
      </c>
      <c r="E16" s="123">
        <f t="shared" si="3"/>
        <v>121890973</v>
      </c>
      <c r="F16" s="124" t="s">
        <v>66</v>
      </c>
      <c r="G16" s="125"/>
      <c r="H16" s="126">
        <f>SUM(H8:H14)</f>
        <v>79601364.799999997</v>
      </c>
      <c r="I16" s="126">
        <f>SUM(I8:I14)</f>
        <v>42257488.600000001</v>
      </c>
      <c r="J16" s="104">
        <f>I16+H16</f>
        <v>121858853.40000001</v>
      </c>
    </row>
    <row r="17" spans="1:10" ht="25.5" x14ac:dyDescent="0.25">
      <c r="A17" s="21" t="s">
        <v>210</v>
      </c>
      <c r="B17" s="110" t="s">
        <v>211</v>
      </c>
      <c r="C17" s="118">
        <f>'4mell-Önkormányzat Bevétel'!I53</f>
        <v>2351500</v>
      </c>
      <c r="D17" s="118">
        <v>0</v>
      </c>
      <c r="E17" s="118">
        <f>SUM(C17:D17)</f>
        <v>2351500</v>
      </c>
      <c r="F17" s="97"/>
      <c r="G17" s="97"/>
      <c r="H17" s="97"/>
      <c r="I17" s="97"/>
      <c r="J17" s="97"/>
    </row>
    <row r="18" spans="1:10" ht="38.25" x14ac:dyDescent="0.25">
      <c r="A18" s="21" t="s">
        <v>214</v>
      </c>
      <c r="B18" s="110" t="s">
        <v>215</v>
      </c>
      <c r="C18" s="116">
        <f>'4mell-Önkormányzat Bevétel'!J53</f>
        <v>2351500</v>
      </c>
      <c r="D18" s="116">
        <f t="shared" ref="D18" si="4">SUM(D17)</f>
        <v>0</v>
      </c>
      <c r="E18" s="118">
        <f t="shared" ref="E18:E21" si="5">SUM(C18:D18)</f>
        <v>2351500</v>
      </c>
      <c r="F18" s="139" t="s">
        <v>212</v>
      </c>
      <c r="G18" s="127" t="s">
        <v>213</v>
      </c>
      <c r="H18" s="128">
        <f>'3mell-Önkormányzat bev és kiadá'!O29</f>
        <v>2383620</v>
      </c>
      <c r="I18" s="128">
        <v>0</v>
      </c>
      <c r="J18" s="30">
        <f t="shared" ref="J18:J21" si="6">SUM(H18:I18)</f>
        <v>2383620</v>
      </c>
    </row>
    <row r="19" spans="1:10" ht="31.5" x14ac:dyDescent="0.25">
      <c r="A19" s="129" t="s">
        <v>238</v>
      </c>
      <c r="B19" s="110" t="s">
        <v>344</v>
      </c>
      <c r="C19" s="116">
        <v>0</v>
      </c>
      <c r="D19" s="116">
        <f>'14mellIntézményi összesített'!D18</f>
        <v>36986988.600000001</v>
      </c>
      <c r="E19" s="118">
        <f t="shared" si="5"/>
        <v>36986988.600000001</v>
      </c>
      <c r="F19" s="139" t="s">
        <v>216</v>
      </c>
      <c r="G19" s="127" t="s">
        <v>217</v>
      </c>
      <c r="H19" s="128">
        <f>'3mell-Önkormányzat bev és kiadá'!O27</f>
        <v>36986988.600000001</v>
      </c>
      <c r="I19" s="128">
        <v>0</v>
      </c>
      <c r="J19" s="30">
        <f t="shared" si="6"/>
        <v>36986988.600000001</v>
      </c>
    </row>
    <row r="20" spans="1:10" s="402" customFormat="1" ht="25.5" x14ac:dyDescent="0.25">
      <c r="A20" s="129" t="s">
        <v>822</v>
      </c>
      <c r="B20" s="110"/>
      <c r="C20" s="116">
        <f>'3mell-Önkormányzat bev és kiadá'!G30</f>
        <v>10000000</v>
      </c>
      <c r="D20" s="116"/>
      <c r="E20" s="118">
        <f t="shared" si="5"/>
        <v>10000000</v>
      </c>
      <c r="F20" s="435" t="s">
        <v>823</v>
      </c>
      <c r="G20" s="127"/>
      <c r="H20" s="128">
        <f>'3mell-Önkormányzat bev és kiadá'!O30</f>
        <v>10000000</v>
      </c>
      <c r="I20" s="128"/>
      <c r="J20" s="30"/>
    </row>
    <row r="21" spans="1:10" x14ac:dyDescent="0.25">
      <c r="A21" s="21" t="s">
        <v>218</v>
      </c>
      <c r="B21" s="110" t="s">
        <v>219</v>
      </c>
      <c r="C21" s="116">
        <f>SUM(C18:C20)</f>
        <v>12351500</v>
      </c>
      <c r="D21" s="116">
        <f>SUM(D18:D19)</f>
        <v>36986988.600000001</v>
      </c>
      <c r="E21" s="118">
        <f t="shared" si="5"/>
        <v>49338488.600000001</v>
      </c>
      <c r="F21" s="139" t="s">
        <v>220</v>
      </c>
      <c r="G21" s="127" t="s">
        <v>221</v>
      </c>
      <c r="H21" s="128">
        <f>SUM(H18:H20)</f>
        <v>49370608.600000001</v>
      </c>
      <c r="I21" s="128">
        <f t="shared" ref="I21" si="7">SUM(I18:I19)</f>
        <v>0</v>
      </c>
      <c r="J21" s="30">
        <f t="shared" si="6"/>
        <v>49370608.600000001</v>
      </c>
    </row>
    <row r="22" spans="1:10" x14ac:dyDescent="0.25">
      <c r="A22" s="22" t="s">
        <v>222</v>
      </c>
      <c r="B22" s="130" t="s">
        <v>223</v>
      </c>
      <c r="C22" s="131">
        <f>SUM(C21)</f>
        <v>12351500</v>
      </c>
      <c r="D22" s="131">
        <f t="shared" ref="D22:E22" si="8">SUM(D21)</f>
        <v>36986988.600000001</v>
      </c>
      <c r="E22" s="131">
        <f t="shared" si="8"/>
        <v>49338488.600000001</v>
      </c>
      <c r="F22" s="22" t="s">
        <v>224</v>
      </c>
      <c r="G22" s="130" t="s">
        <v>225</v>
      </c>
      <c r="H22" s="132">
        <f t="shared" ref="H22:J22" si="9">SUM(H21)</f>
        <v>49370608.600000001</v>
      </c>
      <c r="I22" s="132">
        <f t="shared" si="9"/>
        <v>0</v>
      </c>
      <c r="J22" s="132">
        <f t="shared" si="9"/>
        <v>49370608.600000001</v>
      </c>
    </row>
    <row r="23" spans="1:10" ht="15.75" x14ac:dyDescent="0.25">
      <c r="A23" s="24" t="s">
        <v>226</v>
      </c>
      <c r="B23" s="130"/>
      <c r="C23" s="133">
        <f t="shared" ref="C23:E23" si="10">SUM(C22,C16)</f>
        <v>128971973</v>
      </c>
      <c r="D23" s="133">
        <f>SUM(D22,D16)</f>
        <v>42257488.600000001</v>
      </c>
      <c r="E23" s="133">
        <f t="shared" si="10"/>
        <v>171229461.59999999</v>
      </c>
      <c r="F23" s="24" t="s">
        <v>227</v>
      </c>
      <c r="G23" s="130"/>
      <c r="H23" s="134">
        <f t="shared" ref="H23:I23" si="11">H16+H22</f>
        <v>128971973.40000001</v>
      </c>
      <c r="I23" s="134">
        <f t="shared" si="11"/>
        <v>42257488.600000001</v>
      </c>
      <c r="J23" s="134">
        <f>J16+J22</f>
        <v>171229462</v>
      </c>
    </row>
    <row r="24" spans="1:10" x14ac:dyDescent="0.25">
      <c r="A24" t="s">
        <v>685</v>
      </c>
      <c r="C24" s="137">
        <f>'3mell-Önkormányzat bev és kiadá'!G31-'2.melléklÖnkormányzati összesen'!C23</f>
        <v>0</v>
      </c>
      <c r="D24" s="137">
        <f>D23-'14mellIntézményi összesített'!D19</f>
        <v>0</v>
      </c>
      <c r="H24" s="137">
        <f>H23-C23</f>
        <v>0.40000000596046448</v>
      </c>
      <c r="I24" s="137">
        <f>I23-D23</f>
        <v>0</v>
      </c>
      <c r="J24" s="137">
        <f>J23-E23</f>
        <v>0.40000000596046448</v>
      </c>
    </row>
  </sheetData>
  <mergeCells count="5">
    <mergeCell ref="A6:D6"/>
    <mergeCell ref="F6:J6"/>
    <mergeCell ref="A3:J4"/>
    <mergeCell ref="I1:J1"/>
    <mergeCell ref="A1:E1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A6" sqref="A6"/>
    </sheetView>
  </sheetViews>
  <sheetFormatPr defaultRowHeight="15" x14ac:dyDescent="0.25"/>
  <cols>
    <col min="2" max="2" width="20.28515625" customWidth="1"/>
    <col min="3" max="3" width="15.140625" customWidth="1"/>
    <col min="7" max="10" width="9.140625" style="336"/>
  </cols>
  <sheetData>
    <row r="1" spans="1:12" x14ac:dyDescent="0.25">
      <c r="A1" s="726" t="s">
        <v>770</v>
      </c>
      <c r="B1" s="726"/>
      <c r="C1" s="726"/>
      <c r="D1" s="726"/>
      <c r="E1" s="726"/>
      <c r="F1" s="726"/>
      <c r="G1" s="283"/>
      <c r="H1" s="283"/>
      <c r="I1" s="283"/>
      <c r="J1" s="283"/>
      <c r="K1" s="336"/>
      <c r="L1" s="336"/>
    </row>
    <row r="2" spans="1:12" x14ac:dyDescent="0.25">
      <c r="A2" s="726"/>
      <c r="B2" s="726"/>
      <c r="C2" s="726"/>
      <c r="D2" s="726"/>
      <c r="E2" s="726"/>
      <c r="F2" s="726"/>
      <c r="G2" s="283"/>
      <c r="H2" s="283"/>
      <c r="I2" s="283"/>
      <c r="J2" s="283"/>
      <c r="K2" s="336"/>
      <c r="L2" s="336"/>
    </row>
    <row r="3" spans="1:12" x14ac:dyDescent="0.25">
      <c r="A3" s="336"/>
      <c r="B3" s="336"/>
      <c r="C3" s="336"/>
      <c r="D3" s="336"/>
      <c r="E3" s="336"/>
      <c r="F3" s="336"/>
      <c r="K3" s="336"/>
      <c r="L3" s="336"/>
    </row>
    <row r="4" spans="1:12" x14ac:dyDescent="0.25">
      <c r="A4" s="893" t="s">
        <v>832</v>
      </c>
      <c r="B4" s="893"/>
      <c r="C4" s="893"/>
      <c r="D4" s="893"/>
      <c r="E4" s="893"/>
      <c r="F4" s="893"/>
      <c r="G4" s="893"/>
      <c r="H4" s="893"/>
      <c r="I4" s="893"/>
      <c r="J4" s="893"/>
      <c r="K4" s="893"/>
      <c r="L4" s="893"/>
    </row>
    <row r="5" spans="1:12" x14ac:dyDescent="0.25">
      <c r="A5" s="893"/>
      <c r="B5" s="893"/>
      <c r="C5" s="893"/>
      <c r="D5" s="893"/>
      <c r="E5" s="893"/>
      <c r="F5" s="893"/>
      <c r="G5" s="893"/>
      <c r="H5" s="893"/>
      <c r="I5" s="893"/>
      <c r="J5" s="893"/>
      <c r="K5" s="893"/>
      <c r="L5" s="893"/>
    </row>
    <row r="6" spans="1:12" x14ac:dyDescent="0.25">
      <c r="A6" s="336"/>
      <c r="B6" s="336"/>
      <c r="C6" s="336"/>
      <c r="D6" s="336"/>
      <c r="E6" s="336"/>
      <c r="F6" s="336"/>
      <c r="K6" s="336"/>
      <c r="L6" s="336"/>
    </row>
    <row r="7" spans="1:12" x14ac:dyDescent="0.25">
      <c r="A7" s="336"/>
      <c r="B7" s="336"/>
      <c r="C7" s="336"/>
      <c r="D7" s="336"/>
      <c r="E7" s="336"/>
      <c r="F7" s="336"/>
      <c r="K7" s="336"/>
      <c r="L7" s="336"/>
    </row>
    <row r="8" spans="1:12" x14ac:dyDescent="0.25">
      <c r="A8" s="948" t="s">
        <v>274</v>
      </c>
      <c r="B8" s="949" t="s">
        <v>678</v>
      </c>
      <c r="C8" s="951" t="s">
        <v>679</v>
      </c>
      <c r="D8" s="953"/>
      <c r="E8" s="953"/>
      <c r="F8" s="954"/>
      <c r="G8" s="388"/>
      <c r="H8" s="388"/>
      <c r="I8" s="388"/>
      <c r="J8" s="388"/>
      <c r="K8" s="955" t="s">
        <v>680</v>
      </c>
      <c r="L8" s="949" t="s">
        <v>381</v>
      </c>
    </row>
    <row r="9" spans="1:12" x14ac:dyDescent="0.25">
      <c r="A9" s="948"/>
      <c r="B9" s="950"/>
      <c r="C9" s="952"/>
      <c r="D9" s="389">
        <v>2017</v>
      </c>
      <c r="E9" s="390">
        <v>2018</v>
      </c>
      <c r="F9" s="390">
        <v>2019</v>
      </c>
      <c r="G9" s="390">
        <v>2020</v>
      </c>
      <c r="H9" s="390">
        <v>2021</v>
      </c>
      <c r="I9" s="390">
        <v>2022</v>
      </c>
      <c r="J9" s="390">
        <v>2023</v>
      </c>
      <c r="K9" s="955"/>
      <c r="L9" s="950"/>
    </row>
    <row r="10" spans="1:12" ht="33" x14ac:dyDescent="0.25">
      <c r="A10" s="394"/>
      <c r="B10" s="395" t="s">
        <v>681</v>
      </c>
      <c r="C10" s="396">
        <f>SUM(C8:C8)</f>
        <v>0</v>
      </c>
      <c r="D10" s="393">
        <f>SUM(D8:D8)</f>
        <v>0</v>
      </c>
      <c r="E10" s="393">
        <f>SUM(E8:E8)</f>
        <v>0</v>
      </c>
      <c r="F10" s="393">
        <f>SUM(F8:F8)</f>
        <v>0</v>
      </c>
      <c r="G10" s="393"/>
      <c r="H10" s="393"/>
      <c r="I10" s="393"/>
      <c r="J10" s="393"/>
      <c r="K10" s="393">
        <v>0</v>
      </c>
      <c r="L10" s="393">
        <f>SUM(L8:L8)</f>
        <v>0</v>
      </c>
    </row>
    <row r="11" spans="1:12" x14ac:dyDescent="0.25">
      <c r="A11" s="389">
        <v>1</v>
      </c>
      <c r="B11" s="397"/>
      <c r="C11" s="391">
        <v>0</v>
      </c>
      <c r="D11" s="391"/>
      <c r="E11" s="391">
        <v>0</v>
      </c>
      <c r="F11" s="391">
        <v>0</v>
      </c>
      <c r="G11" s="391"/>
      <c r="H11" s="391"/>
      <c r="I11" s="391"/>
      <c r="J11" s="391"/>
      <c r="K11" s="392">
        <v>0</v>
      </c>
      <c r="L11" s="393"/>
    </row>
    <row r="12" spans="1:12" s="336" customFormat="1" x14ac:dyDescent="0.25">
      <c r="A12" s="389"/>
      <c r="B12" s="397"/>
      <c r="C12" s="391"/>
      <c r="D12" s="391"/>
      <c r="E12" s="391"/>
      <c r="F12" s="391"/>
      <c r="G12" s="391"/>
      <c r="H12" s="391"/>
      <c r="I12" s="391"/>
      <c r="J12" s="391"/>
      <c r="K12" s="392"/>
      <c r="L12" s="393">
        <f>SUM(D12:J12)</f>
        <v>0</v>
      </c>
    </row>
    <row r="13" spans="1:12" ht="33" x14ac:dyDescent="0.25">
      <c r="A13" s="394"/>
      <c r="B13" s="395" t="s">
        <v>682</v>
      </c>
      <c r="C13" s="396">
        <f>SUM(C11)</f>
        <v>0</v>
      </c>
      <c r="D13" s="396">
        <f>SUM(D12)</f>
        <v>0</v>
      </c>
      <c r="E13" s="396">
        <f t="shared" ref="E13:L14" si="0">SUM(E12)</f>
        <v>0</v>
      </c>
      <c r="F13" s="396">
        <f t="shared" si="0"/>
        <v>0</v>
      </c>
      <c r="G13" s="396">
        <f t="shared" si="0"/>
        <v>0</v>
      </c>
      <c r="H13" s="396">
        <f t="shared" si="0"/>
        <v>0</v>
      </c>
      <c r="I13" s="396">
        <f t="shared" si="0"/>
        <v>0</v>
      </c>
      <c r="J13" s="396">
        <f t="shared" si="0"/>
        <v>0</v>
      </c>
      <c r="K13" s="393">
        <v>0</v>
      </c>
      <c r="L13" s="396">
        <f t="shared" si="0"/>
        <v>0</v>
      </c>
    </row>
    <row r="14" spans="1:12" x14ac:dyDescent="0.25">
      <c r="A14" s="391"/>
      <c r="B14" s="390" t="s">
        <v>683</v>
      </c>
      <c r="C14" s="396">
        <v>0</v>
      </c>
      <c r="D14" s="396">
        <f>SUM(D13)</f>
        <v>0</v>
      </c>
      <c r="E14" s="396">
        <f t="shared" si="0"/>
        <v>0</v>
      </c>
      <c r="F14" s="396">
        <f t="shared" si="0"/>
        <v>0</v>
      </c>
      <c r="G14" s="396">
        <f t="shared" si="0"/>
        <v>0</v>
      </c>
      <c r="H14" s="396">
        <f t="shared" si="0"/>
        <v>0</v>
      </c>
      <c r="I14" s="396">
        <f t="shared" si="0"/>
        <v>0</v>
      </c>
      <c r="J14" s="396">
        <f t="shared" si="0"/>
        <v>0</v>
      </c>
      <c r="K14" s="396">
        <f t="shared" ref="K14" si="1">SUM(K13)</f>
        <v>0</v>
      </c>
      <c r="L14" s="396">
        <f t="shared" si="0"/>
        <v>0</v>
      </c>
    </row>
  </sheetData>
  <mergeCells count="8">
    <mergeCell ref="A1:F2"/>
    <mergeCell ref="A4:L5"/>
    <mergeCell ref="A8:A9"/>
    <mergeCell ref="B8:B9"/>
    <mergeCell ref="C8:C9"/>
    <mergeCell ref="D8:F8"/>
    <mergeCell ref="K8:K9"/>
    <mergeCell ref="L8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workbookViewId="0">
      <selection activeCell="O32" sqref="O32"/>
    </sheetView>
  </sheetViews>
  <sheetFormatPr defaultRowHeight="15" x14ac:dyDescent="0.25"/>
  <cols>
    <col min="1" max="1" width="7.28515625" style="204" customWidth="1"/>
    <col min="2" max="5" width="9.140625" style="204"/>
    <col min="6" max="6" width="48.140625" style="204" customWidth="1"/>
    <col min="7" max="7" width="23" style="205" customWidth="1"/>
    <col min="8" max="13" width="9.140625" style="204"/>
    <col min="14" max="14" width="46.140625" style="204" customWidth="1"/>
    <col min="15" max="15" width="22.28515625" style="205" customWidth="1"/>
    <col min="16" max="16" width="15.42578125" style="135" customWidth="1"/>
    <col min="17" max="16384" width="9.140625" style="135"/>
  </cols>
  <sheetData>
    <row r="1" spans="1:16" x14ac:dyDescent="0.25">
      <c r="A1" s="726" t="s">
        <v>764</v>
      </c>
      <c r="B1" s="726"/>
      <c r="C1" s="726"/>
      <c r="D1" s="726"/>
      <c r="E1" s="726"/>
      <c r="F1" s="726"/>
      <c r="G1" s="162"/>
      <c r="H1" s="163"/>
      <c r="I1" s="163"/>
      <c r="J1" s="163"/>
      <c r="K1" s="163"/>
      <c r="L1" s="163"/>
      <c r="M1" s="163"/>
      <c r="N1" s="163"/>
      <c r="O1" s="164"/>
    </row>
    <row r="2" spans="1:16" x14ac:dyDescent="0.25">
      <c r="A2" s="163"/>
      <c r="B2" s="163"/>
      <c r="C2" s="163"/>
      <c r="D2" s="163"/>
      <c r="E2" s="163"/>
      <c r="F2" s="163"/>
      <c r="G2" s="162"/>
      <c r="H2" s="163"/>
      <c r="I2" s="163"/>
      <c r="J2" s="163"/>
      <c r="K2" s="163"/>
      <c r="L2" s="163"/>
      <c r="M2" s="163"/>
      <c r="N2" s="163"/>
      <c r="O2" s="164"/>
    </row>
    <row r="3" spans="1:16" x14ac:dyDescent="0.25">
      <c r="A3" s="727" t="s">
        <v>778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</row>
    <row r="4" spans="1:16" x14ac:dyDescent="0.25">
      <c r="A4" s="727" t="s">
        <v>730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</row>
    <row r="5" spans="1:16" ht="15.75" thickBot="1" x14ac:dyDescent="0.3">
      <c r="A5" s="163"/>
      <c r="B5" s="163"/>
      <c r="C5" s="163"/>
      <c r="D5" s="163"/>
      <c r="E5" s="163"/>
      <c r="F5" s="163"/>
      <c r="G5" s="162"/>
      <c r="H5" s="163"/>
      <c r="I5" s="163"/>
      <c r="J5" s="163"/>
      <c r="K5" s="163"/>
      <c r="L5" s="163"/>
      <c r="M5" s="163"/>
      <c r="N5" s="165"/>
      <c r="O5" s="166" t="s">
        <v>362</v>
      </c>
    </row>
    <row r="6" spans="1:16" ht="91.5" x14ac:dyDescent="0.25">
      <c r="A6" s="167" t="s">
        <v>420</v>
      </c>
      <c r="B6" s="168" t="s">
        <v>421</v>
      </c>
      <c r="C6" s="168" t="s">
        <v>422</v>
      </c>
      <c r="D6" s="168" t="s">
        <v>423</v>
      </c>
      <c r="E6" s="728" t="s">
        <v>424</v>
      </c>
      <c r="F6" s="730" t="s">
        <v>425</v>
      </c>
      <c r="G6" s="169" t="s">
        <v>736</v>
      </c>
      <c r="H6" s="170"/>
      <c r="I6" s="171" t="s">
        <v>420</v>
      </c>
      <c r="J6" s="172" t="s">
        <v>421</v>
      </c>
      <c r="K6" s="173" t="s">
        <v>427</v>
      </c>
      <c r="L6" s="173" t="s">
        <v>428</v>
      </c>
      <c r="M6" s="728" t="s">
        <v>424</v>
      </c>
      <c r="N6" s="732" t="s">
        <v>425</v>
      </c>
      <c r="O6" s="169" t="s">
        <v>736</v>
      </c>
    </row>
    <row r="7" spans="1:16" x14ac:dyDescent="0.25">
      <c r="A7" s="734" t="s">
        <v>429</v>
      </c>
      <c r="B7" s="735"/>
      <c r="C7" s="735"/>
      <c r="D7" s="735"/>
      <c r="E7" s="729"/>
      <c r="F7" s="731"/>
      <c r="G7" s="174"/>
      <c r="H7" s="170"/>
      <c r="I7" s="736" t="s">
        <v>429</v>
      </c>
      <c r="J7" s="737"/>
      <c r="K7" s="737"/>
      <c r="L7" s="737"/>
      <c r="M7" s="729"/>
      <c r="N7" s="733"/>
      <c r="O7" s="175"/>
    </row>
    <row r="8" spans="1:16" x14ac:dyDescent="0.25">
      <c r="A8" s="176">
        <v>1</v>
      </c>
      <c r="B8" s="177"/>
      <c r="C8" s="177"/>
      <c r="D8" s="177"/>
      <c r="E8" s="723" t="s">
        <v>825</v>
      </c>
      <c r="F8" s="723"/>
      <c r="G8" s="178"/>
      <c r="H8" s="179"/>
      <c r="I8" s="180">
        <v>1</v>
      </c>
      <c r="J8" s="181"/>
      <c r="K8" s="182"/>
      <c r="L8" s="183"/>
      <c r="M8" s="723" t="s">
        <v>825</v>
      </c>
      <c r="N8" s="723"/>
      <c r="O8" s="175"/>
    </row>
    <row r="9" spans="1:16" x14ac:dyDescent="0.25">
      <c r="A9" s="184"/>
      <c r="B9" s="185">
        <v>1</v>
      </c>
      <c r="C9" s="186"/>
      <c r="D9" s="186"/>
      <c r="E9" s="186"/>
      <c r="F9" s="186" t="s">
        <v>430</v>
      </c>
      <c r="G9" s="187">
        <f>SUM(G10:G12,G18,G25,G26,G27)</f>
        <v>116620473</v>
      </c>
      <c r="H9" s="188"/>
      <c r="I9" s="189"/>
      <c r="J9" s="185">
        <v>3</v>
      </c>
      <c r="K9" s="190"/>
      <c r="L9" s="191"/>
      <c r="M9" s="191"/>
      <c r="N9" s="186" t="s">
        <v>368</v>
      </c>
      <c r="O9" s="192">
        <f>SUM(O10)</f>
        <v>58018417.800000004</v>
      </c>
    </row>
    <row r="10" spans="1:16" ht="25.5" x14ac:dyDescent="0.25">
      <c r="A10" s="184"/>
      <c r="B10" s="193"/>
      <c r="C10" s="193">
        <v>1</v>
      </c>
      <c r="D10" s="193"/>
      <c r="E10" s="193"/>
      <c r="F10" s="194" t="s">
        <v>431</v>
      </c>
      <c r="G10" s="195">
        <f>'4mell-Önkormányzat Bevétel'!J24</f>
        <v>90279473</v>
      </c>
      <c r="H10" s="188"/>
      <c r="I10" s="189"/>
      <c r="J10" s="185"/>
      <c r="K10" s="185">
        <v>1</v>
      </c>
      <c r="L10" s="191"/>
      <c r="M10" s="191"/>
      <c r="N10" s="193" t="s">
        <v>432</v>
      </c>
      <c r="O10" s="195">
        <f>SUM(O11:O19)</f>
        <v>58018417.800000004</v>
      </c>
      <c r="P10" s="48">
        <f>O10-'8melléklet Önkormányzat kiadás'!Z107</f>
        <v>0</v>
      </c>
    </row>
    <row r="11" spans="1:16" ht="25.5" x14ac:dyDescent="0.25">
      <c r="A11" s="184"/>
      <c r="B11" s="193"/>
      <c r="C11" s="193">
        <v>2</v>
      </c>
      <c r="D11" s="193"/>
      <c r="E11" s="193"/>
      <c r="F11" s="194" t="s">
        <v>433</v>
      </c>
      <c r="G11" s="195">
        <f>'4mell-Önkormányzat Bevétel'!J27</f>
        <v>0</v>
      </c>
      <c r="H11" s="188"/>
      <c r="I11" s="184"/>
      <c r="J11" s="193"/>
      <c r="K11" s="193"/>
      <c r="L11" s="193">
        <v>1</v>
      </c>
      <c r="M11" s="193"/>
      <c r="N11" s="193" t="s">
        <v>434</v>
      </c>
      <c r="O11" s="175">
        <f>'8melléklet Önkormányzat kiadás'!S16</f>
        <v>10285203.199999999</v>
      </c>
      <c r="P11" s="48">
        <f>O11-'8melléklet Önkormányzat kiadás'!Z16</f>
        <v>0</v>
      </c>
    </row>
    <row r="12" spans="1:16" x14ac:dyDescent="0.25">
      <c r="A12" s="184"/>
      <c r="B12" s="193"/>
      <c r="C12" s="193">
        <v>3</v>
      </c>
      <c r="D12" s="193"/>
      <c r="E12" s="193"/>
      <c r="F12" s="196" t="s">
        <v>435</v>
      </c>
      <c r="G12" s="195">
        <f>'4mell-Önkormányzat Bevétel'!J39</f>
        <v>23831000</v>
      </c>
      <c r="H12" s="188"/>
      <c r="I12" s="184"/>
      <c r="J12" s="193"/>
      <c r="K12" s="193"/>
      <c r="L12" s="193">
        <v>2</v>
      </c>
      <c r="M12" s="193"/>
      <c r="N12" s="193" t="s">
        <v>436</v>
      </c>
      <c r="O12" s="175">
        <f>'8melléklet Önkormányzat kiadás'!S36</f>
        <v>23433741</v>
      </c>
      <c r="P12" s="48">
        <f>O12-'8melléklet Önkormányzat kiadás'!Z36</f>
        <v>0</v>
      </c>
    </row>
    <row r="13" spans="1:16" x14ac:dyDescent="0.25">
      <c r="A13" s="184"/>
      <c r="B13" s="193"/>
      <c r="C13" s="193"/>
      <c r="D13" s="193">
        <v>1</v>
      </c>
      <c r="E13" s="193"/>
      <c r="F13" s="193" t="s">
        <v>437</v>
      </c>
      <c r="G13" s="195">
        <f>'4mell-Önkormányzat Bevétel'!J29</f>
        <v>5200000</v>
      </c>
      <c r="H13" s="188"/>
      <c r="I13" s="184"/>
      <c r="J13" s="193"/>
      <c r="K13" s="185"/>
      <c r="L13" s="185">
        <v>3</v>
      </c>
      <c r="M13" s="185"/>
      <c r="N13" s="197" t="s">
        <v>438</v>
      </c>
      <c r="O13" s="175">
        <f>'8melléklet Önkormányzat kiadás'!S44</f>
        <v>0</v>
      </c>
      <c r="P13" s="48">
        <f>O13-'8melléklet Önkormányzat kiadás'!Z44</f>
        <v>0</v>
      </c>
    </row>
    <row r="14" spans="1:16" x14ac:dyDescent="0.25">
      <c r="A14" s="184"/>
      <c r="B14" s="193"/>
      <c r="C14" s="193"/>
      <c r="D14" s="193">
        <v>2</v>
      </c>
      <c r="E14" s="193"/>
      <c r="F14" s="193" t="s">
        <v>439</v>
      </c>
      <c r="G14" s="195">
        <f>'4mell-Önkormányzat Bevétel'!J33</f>
        <v>15500000</v>
      </c>
      <c r="H14" s="188"/>
      <c r="I14" s="184"/>
      <c r="J14" s="193"/>
      <c r="K14" s="193"/>
      <c r="L14" s="193">
        <v>4</v>
      </c>
      <c r="M14" s="193"/>
      <c r="N14" s="193" t="s">
        <v>440</v>
      </c>
      <c r="O14" s="175">
        <f>'8melléklet Önkormányzat kiadás'!S62</f>
        <v>10165200</v>
      </c>
      <c r="P14" s="48">
        <f>O14-'8melléklet Önkormányzat kiadás'!Z62</f>
        <v>0</v>
      </c>
    </row>
    <row r="15" spans="1:16" x14ac:dyDescent="0.25">
      <c r="A15" s="184"/>
      <c r="B15" s="193"/>
      <c r="C15" s="193"/>
      <c r="D15" s="193">
        <v>3</v>
      </c>
      <c r="E15" s="193"/>
      <c r="F15" s="193" t="s">
        <v>441</v>
      </c>
      <c r="G15" s="195">
        <f>'4mell-Önkormányzat Bevétel'!J35</f>
        <v>3131000</v>
      </c>
      <c r="H15" s="188"/>
      <c r="I15" s="184"/>
      <c r="J15" s="193"/>
      <c r="K15" s="193"/>
      <c r="L15" s="193">
        <v>5</v>
      </c>
      <c r="M15" s="193"/>
      <c r="N15" s="193" t="s">
        <v>442</v>
      </c>
      <c r="O15" s="175">
        <f>'8melléklet Önkormányzat kiadás'!S75</f>
        <v>6556100</v>
      </c>
      <c r="P15" s="48">
        <f>O15-'8melléklet Önkormányzat kiadás'!Z75</f>
        <v>0</v>
      </c>
    </row>
    <row r="16" spans="1:16" x14ac:dyDescent="0.25">
      <c r="A16" s="184"/>
      <c r="B16" s="193"/>
      <c r="C16" s="185"/>
      <c r="D16" s="193">
        <v>4</v>
      </c>
      <c r="E16" s="193"/>
      <c r="F16" s="193" t="s">
        <v>443</v>
      </c>
      <c r="G16" s="195">
        <f>'4mell-Önkormányzat Bevétel'!J36</f>
        <v>0</v>
      </c>
      <c r="H16" s="188"/>
      <c r="I16" s="184"/>
      <c r="J16" s="193"/>
      <c r="K16" s="193"/>
      <c r="L16" s="193">
        <v>6</v>
      </c>
      <c r="M16" s="193"/>
      <c r="N16" s="198" t="s">
        <v>605</v>
      </c>
      <c r="O16" s="175">
        <f>'8melléklet Önkormányzat kiadás'!S82</f>
        <v>4556200</v>
      </c>
      <c r="P16" s="48">
        <f>'8melléklet Önkormányzat kiadás'!Z82-O16</f>
        <v>0</v>
      </c>
    </row>
    <row r="17" spans="1:16" x14ac:dyDescent="0.25">
      <c r="A17" s="184"/>
      <c r="B17" s="193"/>
      <c r="C17" s="193"/>
      <c r="D17" s="193">
        <v>5</v>
      </c>
      <c r="E17" s="193"/>
      <c r="F17" s="193" t="s">
        <v>445</v>
      </c>
      <c r="G17" s="195">
        <f>'4mell-Önkormányzat Bevétel'!J38</f>
        <v>0</v>
      </c>
      <c r="H17" s="188"/>
      <c r="I17" s="184"/>
      <c r="J17" s="193"/>
      <c r="K17" s="186"/>
      <c r="L17" s="185">
        <v>7</v>
      </c>
      <c r="M17" s="185"/>
      <c r="N17" s="193" t="s">
        <v>596</v>
      </c>
      <c r="O17" s="175">
        <f>'8melléklet Önkormányzat kiadás'!S89</f>
        <v>375000</v>
      </c>
      <c r="P17" s="48">
        <f>O17-'8melléklet Önkormányzat kiadás'!Z90</f>
        <v>0</v>
      </c>
    </row>
    <row r="18" spans="1:16" x14ac:dyDescent="0.25">
      <c r="A18" s="184"/>
      <c r="B18" s="193"/>
      <c r="C18" s="193">
        <v>4</v>
      </c>
      <c r="D18" s="193"/>
      <c r="E18" s="193"/>
      <c r="F18" s="193" t="s">
        <v>446</v>
      </c>
      <c r="G18" s="195">
        <f>'4mell-Önkormányzat Bevétel'!J47</f>
        <v>2510000</v>
      </c>
      <c r="H18" s="188"/>
      <c r="I18" s="184"/>
      <c r="J18" s="193"/>
      <c r="K18" s="193"/>
      <c r="L18" s="193">
        <v>8</v>
      </c>
      <c r="M18" s="193"/>
      <c r="N18" s="204" t="s">
        <v>554</v>
      </c>
      <c r="O18" s="175">
        <f>'8melléklet Önkormányzat kiadás'!S94</f>
        <v>1946973.6</v>
      </c>
      <c r="P18" s="48">
        <f>'3mell-Önkormányzat bev és kiadá'!O18-'8melléklet Önkormányzat kiadás'!Z94</f>
        <v>0</v>
      </c>
    </row>
    <row r="19" spans="1:16" x14ac:dyDescent="0.25">
      <c r="A19" s="184"/>
      <c r="B19" s="193"/>
      <c r="C19" s="193"/>
      <c r="D19" s="193">
        <v>1</v>
      </c>
      <c r="E19" s="193"/>
      <c r="F19" s="193" t="s">
        <v>591</v>
      </c>
      <c r="G19" s="195">
        <f>'4mell-Önkormányzat Bevétel'!J41</f>
        <v>500000</v>
      </c>
      <c r="H19" s="188"/>
      <c r="I19" s="184"/>
      <c r="J19" s="193"/>
      <c r="K19" s="193"/>
      <c r="L19" s="193">
        <v>9</v>
      </c>
      <c r="M19" s="193"/>
      <c r="N19" s="193" t="s">
        <v>447</v>
      </c>
      <c r="O19" s="175">
        <f>'8melléklet Önkormányzat kiadás'!S103</f>
        <v>700000</v>
      </c>
      <c r="P19" s="48"/>
    </row>
    <row r="20" spans="1:16" x14ac:dyDescent="0.25">
      <c r="A20" s="184"/>
      <c r="B20" s="193"/>
      <c r="C20" s="193"/>
      <c r="D20" s="193">
        <v>2</v>
      </c>
      <c r="E20" s="193"/>
      <c r="F20" s="199" t="s">
        <v>448</v>
      </c>
      <c r="G20" s="200">
        <f>'4mell-Önkormányzat Bevétel'!J42</f>
        <v>1210000</v>
      </c>
      <c r="H20" s="188"/>
      <c r="I20" s="184"/>
      <c r="J20" s="185">
        <v>4</v>
      </c>
      <c r="K20" s="185"/>
      <c r="L20" s="185"/>
      <c r="M20" s="185"/>
      <c r="N20" s="185" t="s">
        <v>449</v>
      </c>
      <c r="O20" s="175">
        <f>'13mellBeruházások felújítások'!C24</f>
        <v>0</v>
      </c>
      <c r="P20" s="48"/>
    </row>
    <row r="21" spans="1:16" x14ac:dyDescent="0.25">
      <c r="A21" s="184"/>
      <c r="B21" s="193"/>
      <c r="C21" s="193"/>
      <c r="D21" s="193">
        <v>3</v>
      </c>
      <c r="E21" s="193"/>
      <c r="F21" s="199" t="s">
        <v>314</v>
      </c>
      <c r="G21" s="200">
        <f>'4mell-Önkormányzat Bevétel'!J43</f>
        <v>800000</v>
      </c>
      <c r="H21" s="188"/>
      <c r="I21" s="184"/>
      <c r="J21" s="185"/>
      <c r="K21" s="185"/>
      <c r="L21" s="185"/>
      <c r="M21" s="185"/>
      <c r="N21" s="185" t="s">
        <v>557</v>
      </c>
      <c r="O21" s="175">
        <f>'8melléklet Önkormányzat kiadás'!R117</f>
        <v>21582947</v>
      </c>
    </row>
    <row r="22" spans="1:16" x14ac:dyDescent="0.25">
      <c r="A22" s="184"/>
      <c r="B22" s="193"/>
      <c r="C22" s="193"/>
      <c r="D22" s="193">
        <v>4</v>
      </c>
      <c r="E22" s="193"/>
      <c r="F22" s="199" t="s">
        <v>450</v>
      </c>
      <c r="G22" s="200">
        <f>'4mell-Önkormányzat Bevétel'!J44</f>
        <v>0</v>
      </c>
      <c r="H22" s="188"/>
      <c r="I22" s="184"/>
      <c r="J22" s="185"/>
      <c r="K22" s="185"/>
      <c r="L22" s="185"/>
      <c r="M22" s="185"/>
      <c r="N22" s="185"/>
      <c r="O22" s="175"/>
    </row>
    <row r="23" spans="1:16" x14ac:dyDescent="0.25">
      <c r="A23" s="184"/>
      <c r="B23" s="193"/>
      <c r="C23" s="193"/>
      <c r="D23" s="193">
        <v>5</v>
      </c>
      <c r="E23" s="193"/>
      <c r="F23" s="199" t="s">
        <v>451</v>
      </c>
      <c r="G23" s="200">
        <f>'4mell-Önkormányzat Bevétel'!J45</f>
        <v>0</v>
      </c>
      <c r="H23" s="188"/>
      <c r="I23" s="184"/>
      <c r="J23" s="185"/>
      <c r="K23" s="185"/>
      <c r="L23" s="185"/>
      <c r="M23" s="185"/>
      <c r="N23" s="185"/>
      <c r="O23" s="175"/>
      <c r="P23" s="135" t="s">
        <v>240</v>
      </c>
    </row>
    <row r="24" spans="1:16" x14ac:dyDescent="0.25">
      <c r="A24" s="184"/>
      <c r="B24" s="193"/>
      <c r="C24" s="193"/>
      <c r="D24" s="193">
        <v>6</v>
      </c>
      <c r="E24" s="193"/>
      <c r="F24" s="235" t="s">
        <v>590</v>
      </c>
      <c r="G24" s="200">
        <f>'4mell-Önkormányzat Bevétel'!J46</f>
        <v>0</v>
      </c>
      <c r="H24" s="188"/>
      <c r="I24" s="184"/>
      <c r="J24" s="185"/>
      <c r="K24" s="185"/>
      <c r="L24" s="185"/>
      <c r="M24" s="185"/>
      <c r="N24" s="185"/>
      <c r="O24" s="175"/>
    </row>
    <row r="25" spans="1:16" x14ac:dyDescent="0.25">
      <c r="A25" s="184"/>
      <c r="B25" s="193"/>
      <c r="C25" s="193">
        <v>5</v>
      </c>
      <c r="D25" s="193"/>
      <c r="E25" s="193"/>
      <c r="F25" s="193" t="s">
        <v>452</v>
      </c>
      <c r="G25" s="195">
        <f>'[1]4.mell-ÖNK_Bevétel'!J45</f>
        <v>0</v>
      </c>
      <c r="H25" s="188"/>
      <c r="I25" s="184"/>
      <c r="J25" s="185">
        <v>5</v>
      </c>
      <c r="K25" s="185"/>
      <c r="L25" s="185"/>
      <c r="M25" s="185"/>
      <c r="N25" s="185" t="s">
        <v>453</v>
      </c>
      <c r="O25" s="175">
        <f>'13mellBeruházások felújítások'!C33</f>
        <v>0</v>
      </c>
      <c r="P25" s="48">
        <f>O25-'8melléklet Önkormányzat kiadás'!Z113</f>
        <v>0</v>
      </c>
    </row>
    <row r="26" spans="1:16" x14ac:dyDescent="0.25">
      <c r="A26" s="184"/>
      <c r="B26" s="193"/>
      <c r="C26" s="193">
        <v>6</v>
      </c>
      <c r="D26" s="193"/>
      <c r="E26" s="193"/>
      <c r="F26" s="193" t="s">
        <v>454</v>
      </c>
      <c r="G26" s="195">
        <f>'4mell-Önkormányzat Bevétel'!I50</f>
        <v>0</v>
      </c>
      <c r="H26" s="188"/>
      <c r="I26" s="184"/>
      <c r="J26" s="193"/>
      <c r="K26" s="186"/>
      <c r="L26" s="185"/>
      <c r="M26" s="185"/>
      <c r="N26" s="186"/>
      <c r="O26" s="175"/>
      <c r="P26" s="48"/>
    </row>
    <row r="27" spans="1:16" x14ac:dyDescent="0.25">
      <c r="A27" s="184"/>
      <c r="B27" s="193"/>
      <c r="C27" s="193">
        <v>7</v>
      </c>
      <c r="D27" s="193"/>
      <c r="E27" s="193"/>
      <c r="F27" s="199" t="s">
        <v>455</v>
      </c>
      <c r="G27" s="195">
        <f>'4mell-Önkormányzat Bevétel'!I50</f>
        <v>0</v>
      </c>
      <c r="H27" s="188"/>
      <c r="I27" s="184"/>
      <c r="J27" s="185">
        <v>6</v>
      </c>
      <c r="K27" s="193"/>
      <c r="L27" s="193"/>
      <c r="M27" s="193"/>
      <c r="N27" s="185" t="s">
        <v>343</v>
      </c>
      <c r="O27" s="175">
        <f>'14mellIntézményi összesített'!D18</f>
        <v>36986988.600000001</v>
      </c>
    </row>
    <row r="28" spans="1:16" x14ac:dyDescent="0.25">
      <c r="A28" s="184"/>
      <c r="B28" s="193">
        <v>2</v>
      </c>
      <c r="C28" s="185"/>
      <c r="D28" s="185"/>
      <c r="E28" s="185"/>
      <c r="F28" s="185" t="s">
        <v>456</v>
      </c>
      <c r="G28" s="192">
        <f>SUM(G29:G30)</f>
        <v>12351500</v>
      </c>
      <c r="H28" s="188"/>
      <c r="I28" s="184"/>
      <c r="J28" s="193"/>
      <c r="K28" s="193"/>
      <c r="L28" s="193"/>
      <c r="M28" s="193"/>
      <c r="N28" s="185"/>
      <c r="O28" s="175"/>
    </row>
    <row r="29" spans="1:16" ht="26.25" x14ac:dyDescent="0.25">
      <c r="A29" s="184"/>
      <c r="B29" s="193"/>
      <c r="C29" s="193">
        <v>8</v>
      </c>
      <c r="D29" s="193"/>
      <c r="E29" s="193"/>
      <c r="F29" s="194" t="s">
        <v>210</v>
      </c>
      <c r="G29" s="195">
        <f>'4mell-Önkormányzat Bevétel'!J53</f>
        <v>2351500</v>
      </c>
      <c r="H29" s="188"/>
      <c r="I29" s="184"/>
      <c r="J29" s="185">
        <v>7</v>
      </c>
      <c r="K29" s="193"/>
      <c r="L29" s="193"/>
      <c r="M29" s="193"/>
      <c r="N29" s="201" t="s">
        <v>457</v>
      </c>
      <c r="O29" s="175">
        <v>2383620</v>
      </c>
    </row>
    <row r="30" spans="1:16" s="402" customFormat="1" x14ac:dyDescent="0.25">
      <c r="A30" s="462"/>
      <c r="B30" s="463"/>
      <c r="C30" s="463">
        <v>9</v>
      </c>
      <c r="D30" s="463"/>
      <c r="E30" s="463"/>
      <c r="F30" s="464" t="s">
        <v>822</v>
      </c>
      <c r="G30" s="465">
        <f>'4mell-Önkormányzat Bevétel'!I56</f>
        <v>10000000</v>
      </c>
      <c r="H30" s="188"/>
      <c r="I30" s="462"/>
      <c r="J30" s="466">
        <v>8</v>
      </c>
      <c r="K30" s="463"/>
      <c r="L30" s="463"/>
      <c r="M30" s="463"/>
      <c r="N30" s="467" t="s">
        <v>823</v>
      </c>
      <c r="O30" s="468">
        <v>10000000</v>
      </c>
    </row>
    <row r="31" spans="1:16" ht="15.75" thickBot="1" x14ac:dyDescent="0.3">
      <c r="A31" s="724" t="s">
        <v>458</v>
      </c>
      <c r="B31" s="725"/>
      <c r="C31" s="725"/>
      <c r="D31" s="725"/>
      <c r="E31" s="725"/>
      <c r="F31" s="725"/>
      <c r="G31" s="202">
        <f>G9+G28</f>
        <v>128971973</v>
      </c>
      <c r="H31" s="179"/>
      <c r="I31" s="724" t="s">
        <v>459</v>
      </c>
      <c r="J31" s="725"/>
      <c r="K31" s="725"/>
      <c r="L31" s="725"/>
      <c r="M31" s="725"/>
      <c r="N31" s="725"/>
      <c r="O31" s="202">
        <f>SUM(O9,O20,O25,O27,O29,O30,O21)</f>
        <v>128971973.40000001</v>
      </c>
    </row>
    <row r="32" spans="1:16" x14ac:dyDescent="0.25">
      <c r="A32" s="203"/>
      <c r="B32" s="203"/>
      <c r="C32" s="203"/>
      <c r="D32" s="203"/>
      <c r="E32" s="203"/>
      <c r="F32" s="203" t="s">
        <v>240</v>
      </c>
      <c r="G32" s="164">
        <f>G31-'4mell-Önkormányzat Bevétel'!J58</f>
        <v>0</v>
      </c>
      <c r="H32" s="203"/>
      <c r="I32" s="203"/>
      <c r="J32" s="203"/>
      <c r="K32" s="203"/>
      <c r="L32" s="203"/>
      <c r="M32" s="203"/>
      <c r="N32" s="203"/>
      <c r="O32" s="164">
        <f>G31-O31</f>
        <v>-0.40000000596046448</v>
      </c>
    </row>
  </sheetData>
  <mergeCells count="13">
    <mergeCell ref="E8:F8"/>
    <mergeCell ref="M8:N8"/>
    <mergeCell ref="A31:F31"/>
    <mergeCell ref="I31:N31"/>
    <mergeCell ref="A1:F1"/>
    <mergeCell ref="A3:O3"/>
    <mergeCell ref="A4:O4"/>
    <mergeCell ref="E6:E7"/>
    <mergeCell ref="F6:F7"/>
    <mergeCell ref="M6:M7"/>
    <mergeCell ref="N6:N7"/>
    <mergeCell ref="A7:D7"/>
    <mergeCell ref="I7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79" workbookViewId="0">
      <selection activeCell="I23" sqref="I23"/>
    </sheetView>
  </sheetViews>
  <sheetFormatPr defaultRowHeight="15" x14ac:dyDescent="0.25"/>
  <cols>
    <col min="1" max="1" width="5.85546875" style="204" customWidth="1"/>
    <col min="2" max="2" width="7.5703125" style="204" customWidth="1"/>
    <col min="3" max="4" width="9.140625" style="204"/>
    <col min="5" max="5" width="17.42578125" style="204" customWidth="1"/>
    <col min="6" max="7" width="9.140625" style="204"/>
    <col min="8" max="8" width="36.28515625" style="204" customWidth="1"/>
    <col min="9" max="9" width="17.5703125" style="204" customWidth="1"/>
    <col min="10" max="10" width="18.140625" style="204" customWidth="1"/>
    <col min="11" max="16384" width="9.140625" style="135"/>
  </cols>
  <sheetData>
    <row r="1" spans="1:10" x14ac:dyDescent="0.25">
      <c r="A1" s="726" t="s">
        <v>731</v>
      </c>
      <c r="B1" s="726"/>
      <c r="C1" s="726"/>
      <c r="D1" s="726"/>
      <c r="E1" s="726"/>
      <c r="F1" s="726"/>
      <c r="G1" s="726"/>
      <c r="H1" s="206"/>
      <c r="I1" s="206"/>
      <c r="J1" s="203"/>
    </row>
    <row r="2" spans="1:10" x14ac:dyDescent="0.25">
      <c r="A2" s="207"/>
      <c r="B2" s="208"/>
      <c r="C2" s="209"/>
      <c r="D2" s="210"/>
      <c r="E2" s="211"/>
      <c r="F2" s="211"/>
      <c r="G2" s="211"/>
      <c r="H2" s="211"/>
      <c r="I2" s="211"/>
      <c r="J2" s="203"/>
    </row>
    <row r="3" spans="1:10" x14ac:dyDescent="0.25">
      <c r="A3" s="739" t="s">
        <v>732</v>
      </c>
      <c r="B3" s="739"/>
      <c r="C3" s="739"/>
      <c r="D3" s="739"/>
      <c r="E3" s="739"/>
      <c r="F3" s="739"/>
      <c r="G3" s="739"/>
      <c r="H3" s="739"/>
      <c r="I3" s="739"/>
      <c r="J3" s="739"/>
    </row>
    <row r="4" spans="1:10" x14ac:dyDescent="0.25">
      <c r="A4" s="209"/>
      <c r="B4" s="208"/>
      <c r="C4" s="209"/>
      <c r="D4" s="210"/>
      <c r="E4" s="211"/>
      <c r="F4" s="211"/>
      <c r="G4" s="211"/>
      <c r="H4" s="211"/>
      <c r="I4" s="211"/>
      <c r="J4" s="203"/>
    </row>
    <row r="5" spans="1:10" ht="15.75" thickBot="1" x14ac:dyDescent="0.3">
      <c r="A5" s="209"/>
      <c r="B5" s="208"/>
      <c r="C5" s="209"/>
      <c r="D5" s="210"/>
      <c r="E5" s="211"/>
      <c r="F5" s="211"/>
      <c r="G5" s="211"/>
      <c r="H5" s="740" t="s">
        <v>362</v>
      </c>
      <c r="I5" s="740"/>
      <c r="J5" s="203"/>
    </row>
    <row r="6" spans="1:10" s="228" customFormat="1" ht="30" customHeight="1" x14ac:dyDescent="0.25">
      <c r="A6" s="648" t="s">
        <v>420</v>
      </c>
      <c r="B6" s="649" t="s">
        <v>421</v>
      </c>
      <c r="C6" s="650" t="s">
        <v>422</v>
      </c>
      <c r="D6" s="651" t="s">
        <v>461</v>
      </c>
      <c r="E6" s="741" t="s">
        <v>424</v>
      </c>
      <c r="F6" s="741" t="s">
        <v>462</v>
      </c>
      <c r="G6" s="741"/>
      <c r="H6" s="741"/>
      <c r="I6" s="652" t="s">
        <v>463</v>
      </c>
      <c r="J6" s="743" t="s">
        <v>736</v>
      </c>
    </row>
    <row r="7" spans="1:10" s="228" customFormat="1" ht="45" customHeight="1" x14ac:dyDescent="0.25">
      <c r="A7" s="745" t="s">
        <v>429</v>
      </c>
      <c r="B7" s="746"/>
      <c r="C7" s="746"/>
      <c r="D7" s="746"/>
      <c r="E7" s="742"/>
      <c r="F7" s="742"/>
      <c r="G7" s="742"/>
      <c r="H7" s="742"/>
      <c r="I7" s="244" t="s">
        <v>464</v>
      </c>
      <c r="J7" s="744"/>
    </row>
    <row r="8" spans="1:10" s="228" customFormat="1" x14ac:dyDescent="0.25">
      <c r="A8" s="653">
        <v>1</v>
      </c>
      <c r="B8" s="654"/>
      <c r="C8" s="655"/>
      <c r="D8" s="654"/>
      <c r="E8" s="747" t="s">
        <v>826</v>
      </c>
      <c r="F8" s="747"/>
      <c r="G8" s="747"/>
      <c r="H8" s="747"/>
      <c r="I8" s="747"/>
      <c r="J8" s="656"/>
    </row>
    <row r="9" spans="1:10" s="228" customFormat="1" x14ac:dyDescent="0.25">
      <c r="A9" s="657"/>
      <c r="B9" s="654">
        <v>1</v>
      </c>
      <c r="C9" s="655"/>
      <c r="D9" s="654"/>
      <c r="E9" s="658"/>
      <c r="F9" s="747" t="s">
        <v>430</v>
      </c>
      <c r="G9" s="747"/>
      <c r="H9" s="747"/>
      <c r="I9" s="747"/>
      <c r="J9" s="656"/>
    </row>
    <row r="10" spans="1:10" s="228" customFormat="1" x14ac:dyDescent="0.25">
      <c r="A10" s="657"/>
      <c r="B10" s="659"/>
      <c r="C10" s="655">
        <v>1</v>
      </c>
      <c r="D10" s="654"/>
      <c r="E10" s="660"/>
      <c r="F10" s="660"/>
      <c r="G10" s="738" t="s">
        <v>431</v>
      </c>
      <c r="H10" s="738"/>
      <c r="I10" s="738"/>
      <c r="J10" s="656"/>
    </row>
    <row r="11" spans="1:10" s="228" customFormat="1" ht="55.5" customHeight="1" x14ac:dyDescent="0.25">
      <c r="A11" s="657"/>
      <c r="B11" s="659"/>
      <c r="C11" s="661"/>
      <c r="D11" s="655">
        <v>1</v>
      </c>
      <c r="E11" s="660"/>
      <c r="F11" s="660"/>
      <c r="G11" s="660"/>
      <c r="H11" s="662" t="s">
        <v>465</v>
      </c>
      <c r="I11" s="663">
        <f>'5mell-Normatíva'!F23</f>
        <v>17046673</v>
      </c>
      <c r="J11" s="664">
        <f>SUM(I11)</f>
        <v>17046673</v>
      </c>
    </row>
    <row r="12" spans="1:10" s="228" customFormat="1" ht="70.5" customHeight="1" x14ac:dyDescent="0.25">
      <c r="A12" s="657"/>
      <c r="B12" s="659"/>
      <c r="C12" s="661"/>
      <c r="D12" s="655">
        <v>2</v>
      </c>
      <c r="E12" s="660"/>
      <c r="F12" s="660"/>
      <c r="G12" s="660"/>
      <c r="H12" s="665" t="s">
        <v>466</v>
      </c>
      <c r="I12" s="663">
        <f>'5mell-Normatíva'!F37</f>
        <v>27917433</v>
      </c>
      <c r="J12" s="664">
        <f t="shared" ref="J12:J16" si="0">SUM(I12)</f>
        <v>27917433</v>
      </c>
    </row>
    <row r="13" spans="1:10" s="228" customFormat="1" ht="68.25" customHeight="1" x14ac:dyDescent="0.25">
      <c r="A13" s="657"/>
      <c r="B13" s="659"/>
      <c r="C13" s="661"/>
      <c r="D13" s="655">
        <v>3</v>
      </c>
      <c r="E13" s="660"/>
      <c r="F13" s="660"/>
      <c r="G13" s="660"/>
      <c r="H13" s="666" t="s">
        <v>467</v>
      </c>
      <c r="I13" s="663">
        <f>'5mell-Normatíva'!F47</f>
        <v>21847240</v>
      </c>
      <c r="J13" s="664">
        <f t="shared" si="0"/>
        <v>21847240</v>
      </c>
    </row>
    <row r="14" spans="1:10" s="228" customFormat="1" ht="54" customHeight="1" x14ac:dyDescent="0.25">
      <c r="A14" s="657"/>
      <c r="B14" s="659"/>
      <c r="C14" s="661"/>
      <c r="D14" s="655">
        <v>4</v>
      </c>
      <c r="E14" s="660"/>
      <c r="F14" s="660"/>
      <c r="G14" s="660"/>
      <c r="H14" s="662" t="s">
        <v>468</v>
      </c>
      <c r="I14" s="663">
        <f>'5mell-Normatíva'!F49</f>
        <v>1885180</v>
      </c>
      <c r="J14" s="664">
        <f t="shared" si="0"/>
        <v>1885180</v>
      </c>
    </row>
    <row r="15" spans="1:10" s="228" customFormat="1" ht="54.75" customHeight="1" x14ac:dyDescent="0.25">
      <c r="A15" s="657"/>
      <c r="B15" s="659"/>
      <c r="C15" s="661"/>
      <c r="D15" s="655" t="s">
        <v>469</v>
      </c>
      <c r="E15" s="660"/>
      <c r="F15" s="660"/>
      <c r="G15" s="660"/>
      <c r="H15" s="667" t="s">
        <v>470</v>
      </c>
      <c r="I15" s="663">
        <v>0</v>
      </c>
      <c r="J15" s="664">
        <f t="shared" si="0"/>
        <v>0</v>
      </c>
    </row>
    <row r="16" spans="1:10" s="228" customFormat="1" ht="42.75" customHeight="1" x14ac:dyDescent="0.25">
      <c r="A16" s="657"/>
      <c r="B16" s="659"/>
      <c r="C16" s="661"/>
      <c r="D16" s="655" t="s">
        <v>471</v>
      </c>
      <c r="E16" s="660"/>
      <c r="F16" s="660"/>
      <c r="G16" s="660"/>
      <c r="H16" s="667" t="s">
        <v>472</v>
      </c>
      <c r="I16" s="663">
        <v>0</v>
      </c>
      <c r="J16" s="664">
        <f t="shared" si="0"/>
        <v>0</v>
      </c>
    </row>
    <row r="17" spans="1:10" s="228" customFormat="1" x14ac:dyDescent="0.25">
      <c r="A17" s="657"/>
      <c r="B17" s="659"/>
      <c r="C17" s="668"/>
      <c r="D17" s="659"/>
      <c r="E17" s="660"/>
      <c r="F17" s="660"/>
      <c r="G17" s="747" t="s">
        <v>473</v>
      </c>
      <c r="H17" s="747"/>
      <c r="I17" s="669">
        <f>SUM(I11:I16)</f>
        <v>68696526</v>
      </c>
      <c r="J17" s="670">
        <f>SUM(J11:J16)</f>
        <v>68696526</v>
      </c>
    </row>
    <row r="18" spans="1:10" s="228" customFormat="1" ht="25.5" x14ac:dyDescent="0.25">
      <c r="A18" s="657"/>
      <c r="B18" s="659"/>
      <c r="C18" s="668"/>
      <c r="D18" s="659" t="s">
        <v>474</v>
      </c>
      <c r="E18" s="660"/>
      <c r="F18" s="660"/>
      <c r="G18" s="660"/>
      <c r="H18" s="671" t="s">
        <v>475</v>
      </c>
      <c r="I18" s="672">
        <f>SUM(I19,I21,I22,I23)</f>
        <v>21582947</v>
      </c>
      <c r="J18" s="672">
        <f>SUM(J19,J21,J22,J23)</f>
        <v>21582947</v>
      </c>
    </row>
    <row r="19" spans="1:10" s="228" customFormat="1" ht="38.25" x14ac:dyDescent="0.25">
      <c r="A19" s="657"/>
      <c r="B19" s="659"/>
      <c r="C19" s="668"/>
      <c r="D19" s="673" t="s">
        <v>476</v>
      </c>
      <c r="E19" s="660"/>
      <c r="F19" s="660"/>
      <c r="G19" s="660"/>
      <c r="H19" s="671" t="s">
        <v>477</v>
      </c>
      <c r="I19" s="674">
        <f>'5mell-Normatíva'!E58</f>
        <v>0</v>
      </c>
      <c r="J19" s="675">
        <f>SUM(I19)</f>
        <v>0</v>
      </c>
    </row>
    <row r="20" spans="1:10" s="228" customFormat="1" x14ac:dyDescent="0.25">
      <c r="A20" s="657"/>
      <c r="B20" s="659"/>
      <c r="C20" s="668"/>
      <c r="D20" s="673"/>
      <c r="E20" s="660"/>
      <c r="F20" s="660"/>
      <c r="G20" s="660"/>
      <c r="H20" s="671"/>
      <c r="I20" s="674"/>
      <c r="J20" s="675">
        <f t="shared" ref="J20:J23" si="1">SUM(I20)</f>
        <v>0</v>
      </c>
    </row>
    <row r="21" spans="1:10" s="228" customFormat="1" x14ac:dyDescent="0.25">
      <c r="A21" s="657"/>
      <c r="B21" s="659"/>
      <c r="C21" s="668"/>
      <c r="D21" s="673" t="s">
        <v>478</v>
      </c>
      <c r="E21" s="660"/>
      <c r="F21" s="660"/>
      <c r="G21" s="660"/>
      <c r="H21" s="676" t="s">
        <v>479</v>
      </c>
      <c r="I21" s="674">
        <f>'5mell-Normatíva'!F51</f>
        <v>19636000</v>
      </c>
      <c r="J21" s="675">
        <f t="shared" si="1"/>
        <v>19636000</v>
      </c>
    </row>
    <row r="22" spans="1:10" s="228" customFormat="1" ht="25.5" x14ac:dyDescent="0.25">
      <c r="A22" s="657"/>
      <c r="B22" s="659"/>
      <c r="C22" s="668"/>
      <c r="D22" s="673" t="s">
        <v>480</v>
      </c>
      <c r="E22" s="660"/>
      <c r="F22" s="660"/>
      <c r="G22" s="660"/>
      <c r="H22" s="671" t="s">
        <v>481</v>
      </c>
      <c r="I22" s="674">
        <f>'5mell-Normatíva'!F56</f>
        <v>1946947</v>
      </c>
      <c r="J22" s="675">
        <f t="shared" si="1"/>
        <v>1946947</v>
      </c>
    </row>
    <row r="23" spans="1:10" s="228" customFormat="1" x14ac:dyDescent="0.25">
      <c r="A23" s="657"/>
      <c r="B23" s="659"/>
      <c r="C23" s="668"/>
      <c r="D23" s="673" t="s">
        <v>615</v>
      </c>
      <c r="E23" s="660"/>
      <c r="F23" s="660"/>
      <c r="G23" s="660"/>
      <c r="H23" s="671"/>
      <c r="I23" s="672">
        <f>'5mell-Normatíva'!E57</f>
        <v>0</v>
      </c>
      <c r="J23" s="675">
        <f t="shared" si="1"/>
        <v>0</v>
      </c>
    </row>
    <row r="24" spans="1:10" s="228" customFormat="1" ht="43.5" customHeight="1" x14ac:dyDescent="0.25">
      <c r="A24" s="677"/>
      <c r="B24" s="212"/>
      <c r="C24" s="748" t="s">
        <v>482</v>
      </c>
      <c r="D24" s="749"/>
      <c r="E24" s="749"/>
      <c r="F24" s="749"/>
      <c r="G24" s="749"/>
      <c r="H24" s="750"/>
      <c r="I24" s="678">
        <f>SUM(I17,I18)</f>
        <v>90279473</v>
      </c>
      <c r="J24" s="679">
        <f>SUM(J17,J18)</f>
        <v>90279473</v>
      </c>
    </row>
    <row r="25" spans="1:10" s="228" customFormat="1" x14ac:dyDescent="0.25">
      <c r="A25" s="657"/>
      <c r="B25" s="659"/>
      <c r="C25" s="661"/>
      <c r="D25" s="659"/>
      <c r="E25" s="660"/>
      <c r="F25" s="660"/>
      <c r="G25" s="660"/>
      <c r="H25" s="660"/>
      <c r="I25" s="660"/>
      <c r="J25" s="656"/>
    </row>
    <row r="26" spans="1:10" s="228" customFormat="1" ht="30" customHeight="1" x14ac:dyDescent="0.25">
      <c r="A26" s="657"/>
      <c r="B26" s="659"/>
      <c r="C26" s="680">
        <v>2</v>
      </c>
      <c r="D26" s="654"/>
      <c r="E26" s="660"/>
      <c r="F26" s="660"/>
      <c r="G26" s="738" t="s">
        <v>483</v>
      </c>
      <c r="H26" s="738"/>
      <c r="I26" s="738"/>
      <c r="J26" s="656"/>
    </row>
    <row r="27" spans="1:10" s="228" customFormat="1" x14ac:dyDescent="0.25">
      <c r="A27" s="657"/>
      <c r="B27" s="659"/>
      <c r="C27" s="680"/>
      <c r="D27" s="654"/>
      <c r="E27" s="660"/>
      <c r="F27" s="660"/>
      <c r="G27" s="681"/>
      <c r="H27" s="681"/>
      <c r="I27" s="681">
        <v>0</v>
      </c>
      <c r="J27" s="656">
        <v>0</v>
      </c>
    </row>
    <row r="28" spans="1:10" s="228" customFormat="1" x14ac:dyDescent="0.25">
      <c r="A28" s="657"/>
      <c r="B28" s="659"/>
      <c r="C28" s="680">
        <v>3</v>
      </c>
      <c r="D28" s="654"/>
      <c r="E28" s="660"/>
      <c r="F28" s="660"/>
      <c r="G28" s="738" t="s">
        <v>435</v>
      </c>
      <c r="H28" s="738"/>
      <c r="I28" s="738"/>
      <c r="J28" s="656"/>
    </row>
    <row r="29" spans="1:10" s="228" customFormat="1" x14ac:dyDescent="0.25">
      <c r="A29" s="657"/>
      <c r="B29" s="659"/>
      <c r="C29" s="661"/>
      <c r="D29" s="680" t="s">
        <v>484</v>
      </c>
      <c r="E29" s="660"/>
      <c r="F29" s="660"/>
      <c r="G29" s="532"/>
      <c r="H29" s="547" t="s">
        <v>485</v>
      </c>
      <c r="I29" s="682">
        <f>SUM(I30:I32)</f>
        <v>5200000</v>
      </c>
      <c r="J29" s="682">
        <f>SUM(J30:J32)</f>
        <v>5200000</v>
      </c>
    </row>
    <row r="30" spans="1:10" s="228" customFormat="1" x14ac:dyDescent="0.25">
      <c r="A30" s="657"/>
      <c r="B30" s="659"/>
      <c r="C30" s="661"/>
      <c r="D30" s="661" t="s">
        <v>486</v>
      </c>
      <c r="E30" s="660"/>
      <c r="F30" s="660"/>
      <c r="G30" s="532"/>
      <c r="H30" s="683" t="s">
        <v>487</v>
      </c>
      <c r="I30" s="684">
        <f>'6mellékletKözhatalmi bevételek'!C8</f>
        <v>5200000</v>
      </c>
      <c r="J30" s="675">
        <f>SUM(I30)</f>
        <v>5200000</v>
      </c>
    </row>
    <row r="31" spans="1:10" s="228" customFormat="1" x14ac:dyDescent="0.25">
      <c r="A31" s="657"/>
      <c r="B31" s="659"/>
      <c r="C31" s="661"/>
      <c r="D31" s="685" t="s">
        <v>548</v>
      </c>
      <c r="E31" s="660"/>
      <c r="F31" s="660"/>
      <c r="G31" s="532"/>
      <c r="H31" s="683" t="s">
        <v>587</v>
      </c>
      <c r="I31" s="684">
        <f>'6mellékletKözhatalmi bevételek'!C7</f>
        <v>0</v>
      </c>
      <c r="J31" s="675">
        <f t="shared" ref="J31:J32" si="2">SUM(I31)</f>
        <v>0</v>
      </c>
    </row>
    <row r="32" spans="1:10" s="228" customFormat="1" x14ac:dyDescent="0.25">
      <c r="A32" s="657"/>
      <c r="B32" s="659"/>
      <c r="C32" s="661"/>
      <c r="D32" s="685" t="s">
        <v>586</v>
      </c>
      <c r="E32" s="660"/>
      <c r="F32" s="660"/>
      <c r="G32" s="532"/>
      <c r="H32" s="683" t="s">
        <v>588</v>
      </c>
      <c r="I32" s="684">
        <f>'6mellékletKözhatalmi bevételek'!C9</f>
        <v>0</v>
      </c>
      <c r="J32" s="675">
        <f t="shared" si="2"/>
        <v>0</v>
      </c>
    </row>
    <row r="33" spans="1:10" s="228" customFormat="1" x14ac:dyDescent="0.25">
      <c r="A33" s="657"/>
      <c r="B33" s="659"/>
      <c r="C33" s="661"/>
      <c r="D33" s="680" t="s">
        <v>488</v>
      </c>
      <c r="E33" s="660"/>
      <c r="F33" s="660"/>
      <c r="G33" s="532"/>
      <c r="H33" s="547" t="s">
        <v>489</v>
      </c>
      <c r="I33" s="682">
        <f>SUM(I34)</f>
        <v>15500000</v>
      </c>
      <c r="J33" s="686">
        <f>SUM(J34)</f>
        <v>15500000</v>
      </c>
    </row>
    <row r="34" spans="1:10" s="228" customFormat="1" x14ac:dyDescent="0.25">
      <c r="A34" s="657"/>
      <c r="B34" s="659"/>
      <c r="C34" s="661"/>
      <c r="D34" s="687" t="s">
        <v>490</v>
      </c>
      <c r="E34" s="688"/>
      <c r="F34" s="688"/>
      <c r="G34" s="662"/>
      <c r="H34" s="683" t="s">
        <v>491</v>
      </c>
      <c r="I34" s="684">
        <f>'6mellékletKözhatalmi bevételek'!C11</f>
        <v>15500000</v>
      </c>
      <c r="J34" s="675">
        <f>SUM(I34)</f>
        <v>15500000</v>
      </c>
    </row>
    <row r="35" spans="1:10" s="228" customFormat="1" x14ac:dyDescent="0.25">
      <c r="A35" s="657"/>
      <c r="B35" s="659"/>
      <c r="C35" s="661"/>
      <c r="D35" s="680" t="s">
        <v>492</v>
      </c>
      <c r="E35" s="660"/>
      <c r="F35" s="660"/>
      <c r="G35" s="532"/>
      <c r="H35" s="547" t="s">
        <v>493</v>
      </c>
      <c r="I35" s="682">
        <f>'6mellékletKözhatalmi bevételek'!C12</f>
        <v>3131000</v>
      </c>
      <c r="J35" s="675">
        <f>SUM(I35)</f>
        <v>3131000</v>
      </c>
    </row>
    <row r="36" spans="1:10" s="228" customFormat="1" ht="26.25" x14ac:dyDescent="0.25">
      <c r="A36" s="657"/>
      <c r="B36" s="659"/>
      <c r="C36" s="661"/>
      <c r="D36" s="680" t="s">
        <v>494</v>
      </c>
      <c r="E36" s="660"/>
      <c r="F36" s="660"/>
      <c r="G36" s="532"/>
      <c r="H36" s="547" t="s">
        <v>495</v>
      </c>
      <c r="I36" s="682">
        <f>SUM(I37)</f>
        <v>0</v>
      </c>
      <c r="J36" s="686">
        <f>SUM(J37)</f>
        <v>0</v>
      </c>
    </row>
    <row r="37" spans="1:10" s="228" customFormat="1" x14ac:dyDescent="0.25">
      <c r="A37" s="657"/>
      <c r="B37" s="659"/>
      <c r="C37" s="661"/>
      <c r="D37" s="689" t="s">
        <v>496</v>
      </c>
      <c r="E37" s="660"/>
      <c r="F37" s="660"/>
      <c r="G37" s="532"/>
      <c r="H37" s="683" t="s">
        <v>497</v>
      </c>
      <c r="I37" s="684"/>
      <c r="J37" s="675">
        <f>SUM(I37)</f>
        <v>0</v>
      </c>
    </row>
    <row r="38" spans="1:10" s="228" customFormat="1" x14ac:dyDescent="0.25">
      <c r="A38" s="657"/>
      <c r="B38" s="659"/>
      <c r="C38" s="661"/>
      <c r="D38" s="680" t="s">
        <v>469</v>
      </c>
      <c r="E38" s="660"/>
      <c r="F38" s="660"/>
      <c r="G38" s="532"/>
      <c r="H38" s="547" t="s">
        <v>498</v>
      </c>
      <c r="I38" s="682">
        <f>'6mellékletKözhatalmi bevételek'!C15</f>
        <v>0</v>
      </c>
      <c r="J38" s="675">
        <f>SUM(I38)</f>
        <v>0</v>
      </c>
    </row>
    <row r="39" spans="1:10" s="228" customFormat="1" ht="29.25" customHeight="1" x14ac:dyDescent="0.25">
      <c r="A39" s="677"/>
      <c r="B39" s="213"/>
      <c r="C39" s="690" t="s">
        <v>499</v>
      </c>
      <c r="D39" s="691"/>
      <c r="E39" s="691"/>
      <c r="F39" s="691"/>
      <c r="G39" s="691"/>
      <c r="H39" s="692"/>
      <c r="I39" s="693">
        <f>SUM(I29,I33,I35:I36,I38)</f>
        <v>23831000</v>
      </c>
      <c r="J39" s="694">
        <f>SUM(J29,J33,J35:J36,J38)</f>
        <v>23831000</v>
      </c>
    </row>
    <row r="40" spans="1:10" s="228" customFormat="1" x14ac:dyDescent="0.25">
      <c r="A40" s="657"/>
      <c r="B40" s="659"/>
      <c r="C40" s="680">
        <v>4</v>
      </c>
      <c r="D40" s="695"/>
      <c r="E40" s="660"/>
      <c r="F40" s="660"/>
      <c r="G40" s="747" t="s">
        <v>446</v>
      </c>
      <c r="H40" s="747"/>
      <c r="I40" s="747"/>
      <c r="J40" s="656"/>
    </row>
    <row r="41" spans="1:10" s="228" customFormat="1" x14ac:dyDescent="0.25">
      <c r="A41" s="657"/>
      <c r="B41" s="659"/>
      <c r="C41" s="680"/>
      <c r="D41" s="695" t="s">
        <v>484</v>
      </c>
      <c r="E41" s="660"/>
      <c r="F41" s="660"/>
      <c r="G41" s="233"/>
      <c r="H41" s="234" t="s">
        <v>589</v>
      </c>
      <c r="I41" s="236">
        <f>'7melléklet Működési bevétel'!C7</f>
        <v>500000</v>
      </c>
      <c r="J41" s="675">
        <f>SUM(I41)</f>
        <v>500000</v>
      </c>
    </row>
    <row r="42" spans="1:10" s="228" customFormat="1" x14ac:dyDescent="0.25">
      <c r="A42" s="657"/>
      <c r="B42" s="659"/>
      <c r="C42" s="661"/>
      <c r="D42" s="680" t="s">
        <v>488</v>
      </c>
      <c r="E42" s="660"/>
      <c r="F42" s="660"/>
      <c r="G42" s="660"/>
      <c r="H42" s="683" t="s">
        <v>500</v>
      </c>
      <c r="I42" s="236">
        <f>'7melléklet Működési bevétel'!C8</f>
        <v>1210000</v>
      </c>
      <c r="J42" s="675">
        <f>SUM(I42)</f>
        <v>1210000</v>
      </c>
    </row>
    <row r="43" spans="1:10" s="228" customFormat="1" x14ac:dyDescent="0.25">
      <c r="A43" s="657"/>
      <c r="B43" s="659"/>
      <c r="C43" s="661"/>
      <c r="D43" s="680" t="s">
        <v>492</v>
      </c>
      <c r="E43" s="660"/>
      <c r="F43" s="660"/>
      <c r="G43" s="660"/>
      <c r="H43" s="683" t="s">
        <v>501</v>
      </c>
      <c r="I43" s="236">
        <f>'7melléklet Működési bevétel'!C11</f>
        <v>800000</v>
      </c>
      <c r="J43" s="675">
        <f>SUM(I43)</f>
        <v>800000</v>
      </c>
    </row>
    <row r="44" spans="1:10" s="228" customFormat="1" x14ac:dyDescent="0.25">
      <c r="A44" s="657"/>
      <c r="B44" s="659"/>
      <c r="C44" s="661"/>
      <c r="D44" s="680" t="s">
        <v>494</v>
      </c>
      <c r="E44" s="660"/>
      <c r="F44" s="660"/>
      <c r="G44" s="660"/>
      <c r="H44" s="683" t="s">
        <v>502</v>
      </c>
      <c r="I44" s="696">
        <v>0</v>
      </c>
      <c r="J44" s="675">
        <f t="shared" ref="J44:J46" si="3">SUM(I44)</f>
        <v>0</v>
      </c>
    </row>
    <row r="45" spans="1:10" s="228" customFormat="1" x14ac:dyDescent="0.25">
      <c r="A45" s="657"/>
      <c r="B45" s="659"/>
      <c r="C45" s="661"/>
      <c r="D45" s="680" t="s">
        <v>469</v>
      </c>
      <c r="E45" s="688"/>
      <c r="F45" s="688"/>
      <c r="G45" s="688"/>
      <c r="H45" s="683" t="s">
        <v>503</v>
      </c>
      <c r="I45" s="696">
        <f>'7melléklet Működési bevétel'!C12</f>
        <v>0</v>
      </c>
      <c r="J45" s="675">
        <f t="shared" si="3"/>
        <v>0</v>
      </c>
    </row>
    <row r="46" spans="1:10" s="228" customFormat="1" x14ac:dyDescent="0.25">
      <c r="A46" s="657"/>
      <c r="B46" s="659"/>
      <c r="C46" s="661"/>
      <c r="D46" s="680" t="s">
        <v>471</v>
      </c>
      <c r="E46" s="660"/>
      <c r="F46" s="660"/>
      <c r="G46" s="660"/>
      <c r="H46" s="697" t="s">
        <v>590</v>
      </c>
      <c r="I46" s="696">
        <v>0</v>
      </c>
      <c r="J46" s="675">
        <f t="shared" si="3"/>
        <v>0</v>
      </c>
    </row>
    <row r="47" spans="1:10" s="228" customFormat="1" ht="15" customHeight="1" x14ac:dyDescent="0.25">
      <c r="A47" s="657"/>
      <c r="B47" s="659"/>
      <c r="C47" s="692" t="s">
        <v>504</v>
      </c>
      <c r="D47" s="692"/>
      <c r="E47" s="692"/>
      <c r="F47" s="692"/>
      <c r="G47" s="692"/>
      <c r="H47" s="692"/>
      <c r="I47" s="698">
        <f>SUM(I41:I46)</f>
        <v>2510000</v>
      </c>
      <c r="J47" s="698">
        <f>SUM(J41:J46)</f>
        <v>2510000</v>
      </c>
    </row>
    <row r="48" spans="1:10" s="228" customFormat="1" x14ac:dyDescent="0.25">
      <c r="A48" s="657"/>
      <c r="B48" s="659"/>
      <c r="C48" s="680">
        <v>5</v>
      </c>
      <c r="D48" s="654"/>
      <c r="E48" s="660"/>
      <c r="F48" s="660"/>
      <c r="G48" s="738" t="s">
        <v>452</v>
      </c>
      <c r="H48" s="738"/>
      <c r="I48" s="699"/>
      <c r="J48" s="656"/>
    </row>
    <row r="49" spans="1:10" s="228" customFormat="1" ht="33" customHeight="1" x14ac:dyDescent="0.25">
      <c r="A49" s="657"/>
      <c r="B49" s="659"/>
      <c r="C49" s="680">
        <v>6</v>
      </c>
      <c r="D49" s="695"/>
      <c r="E49" s="660"/>
      <c r="F49" s="660"/>
      <c r="G49" s="738" t="s">
        <v>454</v>
      </c>
      <c r="H49" s="738"/>
      <c r="I49" s="699">
        <v>0</v>
      </c>
      <c r="J49" s="675">
        <f>SUM(I49)</f>
        <v>0</v>
      </c>
    </row>
    <row r="50" spans="1:10" s="228" customFormat="1" ht="39" customHeight="1" x14ac:dyDescent="0.25">
      <c r="A50" s="657"/>
      <c r="B50" s="659"/>
      <c r="C50" s="680">
        <v>7</v>
      </c>
      <c r="D50" s="695"/>
      <c r="E50" s="660"/>
      <c r="F50" s="660"/>
      <c r="G50" s="748" t="s">
        <v>455</v>
      </c>
      <c r="H50" s="750"/>
      <c r="I50" s="699">
        <v>0</v>
      </c>
      <c r="J50" s="675">
        <f>SUM(I50)</f>
        <v>0</v>
      </c>
    </row>
    <row r="51" spans="1:10" s="228" customFormat="1" ht="15" customHeight="1" x14ac:dyDescent="0.25">
      <c r="A51" s="752" t="s">
        <v>505</v>
      </c>
      <c r="B51" s="749"/>
      <c r="C51" s="749"/>
      <c r="D51" s="749"/>
      <c r="E51" s="749"/>
      <c r="F51" s="749"/>
      <c r="G51" s="749"/>
      <c r="H51" s="750"/>
      <c r="I51" s="693">
        <f>SUM(I50,I49,I48,I47,I39,I27,I24)</f>
        <v>116620473</v>
      </c>
      <c r="J51" s="694">
        <f>SUM(J50,J49,J48,J47,J39,J27,J24)</f>
        <v>116620473</v>
      </c>
    </row>
    <row r="52" spans="1:10" s="228" customFormat="1" x14ac:dyDescent="0.25">
      <c r="A52" s="657"/>
      <c r="B52" s="695">
        <v>2</v>
      </c>
      <c r="C52" s="680"/>
      <c r="D52" s="695"/>
      <c r="E52" s="658"/>
      <c r="F52" s="747" t="s">
        <v>506</v>
      </c>
      <c r="G52" s="747"/>
      <c r="H52" s="747"/>
      <c r="I52" s="747"/>
      <c r="J52" s="656"/>
    </row>
    <row r="53" spans="1:10" s="228" customFormat="1" x14ac:dyDescent="0.25">
      <c r="A53" s="657"/>
      <c r="B53" s="700"/>
      <c r="C53" s="680">
        <v>8</v>
      </c>
      <c r="D53" s="695"/>
      <c r="E53" s="658"/>
      <c r="F53" s="658"/>
      <c r="G53" s="753" t="s">
        <v>210</v>
      </c>
      <c r="H53" s="753"/>
      <c r="I53" s="701">
        <f>SUM(I54:I55)</f>
        <v>2351500</v>
      </c>
      <c r="J53" s="702">
        <f>SUM(J54:J55)</f>
        <v>2351500</v>
      </c>
    </row>
    <row r="54" spans="1:10" s="228" customFormat="1" x14ac:dyDescent="0.25">
      <c r="A54" s="657"/>
      <c r="B54" s="700"/>
      <c r="C54" s="658"/>
      <c r="D54" s="680" t="s">
        <v>507</v>
      </c>
      <c r="E54" s="658"/>
      <c r="F54" s="658"/>
      <c r="G54" s="754" t="s">
        <v>508</v>
      </c>
      <c r="H54" s="754"/>
      <c r="I54" s="684">
        <v>2351500</v>
      </c>
      <c r="J54" s="675">
        <f>I54</f>
        <v>2351500</v>
      </c>
    </row>
    <row r="55" spans="1:10" s="228" customFormat="1" x14ac:dyDescent="0.25">
      <c r="A55" s="657"/>
      <c r="B55" s="700"/>
      <c r="C55" s="658"/>
      <c r="D55" s="680" t="s">
        <v>509</v>
      </c>
      <c r="E55" s="658"/>
      <c r="F55" s="540"/>
      <c r="G55" s="754" t="s">
        <v>510</v>
      </c>
      <c r="H55" s="754"/>
      <c r="I55" s="683"/>
      <c r="J55" s="675">
        <f>I55</f>
        <v>0</v>
      </c>
    </row>
    <row r="56" spans="1:10" s="228" customFormat="1" x14ac:dyDescent="0.25">
      <c r="A56" s="703"/>
      <c r="B56" s="704"/>
      <c r="C56" s="705">
        <v>9</v>
      </c>
      <c r="D56" s="706"/>
      <c r="E56" s="707"/>
      <c r="F56" s="755" t="s">
        <v>821</v>
      </c>
      <c r="G56" s="756"/>
      <c r="H56" s="757"/>
      <c r="I56" s="708">
        <v>10000000</v>
      </c>
      <c r="J56" s="709">
        <f>I56</f>
        <v>10000000</v>
      </c>
    </row>
    <row r="57" spans="1:10" s="228" customFormat="1" x14ac:dyDescent="0.25">
      <c r="A57" s="657"/>
      <c r="B57" s="700"/>
      <c r="C57" s="680"/>
      <c r="D57" s="695"/>
      <c r="E57" s="658"/>
      <c r="F57" s="747" t="s">
        <v>511</v>
      </c>
      <c r="G57" s="747"/>
      <c r="H57" s="747"/>
      <c r="I57" s="699">
        <f>SUM(I53,I56)</f>
        <v>12351500</v>
      </c>
      <c r="J57" s="699">
        <f>SUM(J53,J56)</f>
        <v>12351500</v>
      </c>
    </row>
    <row r="58" spans="1:10" s="228" customFormat="1" ht="15.75" thickBot="1" x14ac:dyDescent="0.3">
      <c r="A58" s="710"/>
      <c r="B58" s="711"/>
      <c r="C58" s="712"/>
      <c r="D58" s="711"/>
      <c r="E58" s="751" t="s">
        <v>512</v>
      </c>
      <c r="F58" s="751"/>
      <c r="G58" s="751"/>
      <c r="H58" s="751"/>
      <c r="I58" s="713">
        <f>I57+I51</f>
        <v>128971973</v>
      </c>
      <c r="J58" s="714">
        <f>J57+J51</f>
        <v>128971973</v>
      </c>
    </row>
  </sheetData>
  <mergeCells count="26">
    <mergeCell ref="E58:H58"/>
    <mergeCell ref="G28:I28"/>
    <mergeCell ref="G40:I40"/>
    <mergeCell ref="G48:H48"/>
    <mergeCell ref="G49:H49"/>
    <mergeCell ref="G50:H50"/>
    <mergeCell ref="A51:H51"/>
    <mergeCell ref="F52:I52"/>
    <mergeCell ref="G53:H53"/>
    <mergeCell ref="G54:H54"/>
    <mergeCell ref="G55:H55"/>
    <mergeCell ref="F57:H57"/>
    <mergeCell ref="F56:H56"/>
    <mergeCell ref="G26:I26"/>
    <mergeCell ref="A1:G1"/>
    <mergeCell ref="A3:J3"/>
    <mergeCell ref="H5:I5"/>
    <mergeCell ref="E6:E7"/>
    <mergeCell ref="F6:H7"/>
    <mergeCell ref="J6:J7"/>
    <mergeCell ref="A7:D7"/>
    <mergeCell ref="E8:I8"/>
    <mergeCell ref="F9:I9"/>
    <mergeCell ref="G10:I10"/>
    <mergeCell ref="G17:H17"/>
    <mergeCell ref="C24:H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58"/>
  <sheetViews>
    <sheetView topLeftCell="A70" zoomScale="80" zoomScaleNormal="80" workbookViewId="0">
      <selection activeCell="F52" sqref="F52"/>
    </sheetView>
  </sheetViews>
  <sheetFormatPr defaultRowHeight="15" x14ac:dyDescent="0.25"/>
  <cols>
    <col min="1" max="1" width="13.140625" customWidth="1"/>
    <col min="2" max="2" width="71.85546875" bestFit="1" customWidth="1"/>
    <col min="3" max="3" width="7.140625" bestFit="1" customWidth="1"/>
    <col min="4" max="4" width="16.7109375" bestFit="1" customWidth="1"/>
    <col min="5" max="5" width="23.7109375" bestFit="1" customWidth="1"/>
    <col min="6" max="6" width="26.28515625" customWidth="1"/>
  </cols>
  <sheetData>
    <row r="1" spans="1:7" s="92" customFormat="1" x14ac:dyDescent="0.25">
      <c r="A1" s="726" t="s">
        <v>733</v>
      </c>
      <c r="B1" s="726"/>
      <c r="C1" s="726"/>
      <c r="D1" s="726"/>
      <c r="E1" s="726"/>
      <c r="F1" s="726"/>
      <c r="G1" s="726"/>
    </row>
    <row r="2" spans="1:7" s="92" customFormat="1" x14ac:dyDescent="0.25">
      <c r="A2" s="88"/>
      <c r="B2" s="88"/>
    </row>
    <row r="3" spans="1:7" s="92" customFormat="1" x14ac:dyDescent="0.25"/>
    <row r="4" spans="1:7" ht="17.25" customHeight="1" x14ac:dyDescent="0.25">
      <c r="A4" s="761" t="s">
        <v>775</v>
      </c>
      <c r="B4" s="762"/>
      <c r="C4" s="762"/>
      <c r="D4" s="762"/>
      <c r="E4" s="762"/>
    </row>
    <row r="5" spans="1:7" ht="18" customHeight="1" thickBot="1" x14ac:dyDescent="0.3">
      <c r="A5" s="763"/>
      <c r="B5" s="764"/>
      <c r="C5" s="764"/>
      <c r="D5" s="764"/>
      <c r="E5" s="764"/>
    </row>
    <row r="6" spans="1:7" x14ac:dyDescent="0.25">
      <c r="A6" s="10"/>
      <c r="B6" s="10"/>
      <c r="C6" s="10"/>
      <c r="D6" s="10"/>
      <c r="E6" s="10"/>
    </row>
    <row r="7" spans="1:7" ht="15" customHeight="1" x14ac:dyDescent="0.25">
      <c r="A7" s="768" t="s">
        <v>0</v>
      </c>
      <c r="B7" s="769" t="s">
        <v>1</v>
      </c>
      <c r="C7" s="769" t="s">
        <v>2</v>
      </c>
      <c r="D7" s="769"/>
      <c r="E7" s="769"/>
      <c r="F7" s="771" t="s">
        <v>736</v>
      </c>
    </row>
    <row r="8" spans="1:7" x14ac:dyDescent="0.25">
      <c r="A8" s="768"/>
      <c r="B8" s="769"/>
      <c r="C8" s="585" t="s">
        <v>3</v>
      </c>
      <c r="D8" s="585" t="s">
        <v>4</v>
      </c>
      <c r="E8" s="585" t="s">
        <v>5</v>
      </c>
      <c r="F8" s="771"/>
    </row>
    <row r="9" spans="1:7" x14ac:dyDescent="0.25">
      <c r="A9" s="768"/>
      <c r="B9" s="769"/>
      <c r="C9" s="770" t="s">
        <v>6</v>
      </c>
      <c r="D9" s="770"/>
      <c r="E9" s="770"/>
      <c r="F9" s="771"/>
    </row>
    <row r="10" spans="1:7" x14ac:dyDescent="0.25">
      <c r="A10" s="768"/>
      <c r="B10" s="769"/>
      <c r="C10" s="770">
        <v>2018</v>
      </c>
      <c r="D10" s="770"/>
      <c r="E10" s="770"/>
      <c r="F10" s="771"/>
    </row>
    <row r="11" spans="1:7" x14ac:dyDescent="0.25">
      <c r="A11" s="768"/>
      <c r="B11" s="769"/>
      <c r="C11" s="770"/>
      <c r="D11" s="770"/>
      <c r="E11" s="770"/>
      <c r="F11" s="771"/>
    </row>
    <row r="12" spans="1:7" x14ac:dyDescent="0.25">
      <c r="A12" s="586" t="s">
        <v>7</v>
      </c>
      <c r="B12" s="587" t="s">
        <v>8</v>
      </c>
      <c r="C12" s="588">
        <v>7.87</v>
      </c>
      <c r="D12" s="589" t="s">
        <v>9</v>
      </c>
      <c r="E12" s="590"/>
      <c r="F12" s="590"/>
    </row>
    <row r="13" spans="1:7" x14ac:dyDescent="0.25">
      <c r="A13" s="587" t="s">
        <v>10</v>
      </c>
      <c r="B13" s="587" t="s">
        <v>11</v>
      </c>
      <c r="C13" s="258"/>
      <c r="D13" s="258"/>
      <c r="E13" s="591">
        <f>SUM(E14:E17)</f>
        <v>0</v>
      </c>
      <c r="F13" s="591">
        <f>SUM(F14:F17)</f>
        <v>10722473</v>
      </c>
    </row>
    <row r="14" spans="1:7" x14ac:dyDescent="0.25">
      <c r="A14" s="592" t="s">
        <v>12</v>
      </c>
      <c r="B14" s="593" t="s">
        <v>13</v>
      </c>
      <c r="C14" s="258"/>
      <c r="D14" s="258"/>
      <c r="E14" s="594"/>
      <c r="F14" s="594">
        <v>3012730</v>
      </c>
    </row>
    <row r="15" spans="1:7" x14ac:dyDescent="0.25">
      <c r="A15" s="595" t="s">
        <v>14</v>
      </c>
      <c r="B15" s="593" t="s">
        <v>15</v>
      </c>
      <c r="C15" s="258"/>
      <c r="D15" s="258"/>
      <c r="E15" s="596"/>
      <c r="F15" s="596">
        <v>4352000</v>
      </c>
    </row>
    <row r="16" spans="1:7" x14ac:dyDescent="0.25">
      <c r="A16" s="595" t="s">
        <v>16</v>
      </c>
      <c r="B16" s="593" t="s">
        <v>17</v>
      </c>
      <c r="C16" s="258"/>
      <c r="D16" s="258"/>
      <c r="E16" s="597"/>
      <c r="F16" s="597">
        <v>604233</v>
      </c>
    </row>
    <row r="17" spans="1:6" x14ac:dyDescent="0.25">
      <c r="A17" s="595" t="s">
        <v>18</v>
      </c>
      <c r="B17" s="593" t="s">
        <v>19</v>
      </c>
      <c r="C17" s="258"/>
      <c r="D17" s="258"/>
      <c r="E17" s="596"/>
      <c r="F17" s="596">
        <v>2753510</v>
      </c>
    </row>
    <row r="18" spans="1:6" x14ac:dyDescent="0.25">
      <c r="A18" s="587" t="s">
        <v>20</v>
      </c>
      <c r="B18" s="598" t="s">
        <v>21</v>
      </c>
      <c r="C18" s="258"/>
      <c r="D18" s="258"/>
      <c r="E18" s="591"/>
      <c r="F18" s="591">
        <v>6000000</v>
      </c>
    </row>
    <row r="19" spans="1:6" x14ac:dyDescent="0.25">
      <c r="A19" s="587" t="s">
        <v>22</v>
      </c>
      <c r="B19" s="598" t="s">
        <v>23</v>
      </c>
      <c r="C19" s="258"/>
      <c r="D19" s="258"/>
      <c r="E19" s="591"/>
      <c r="F19" s="591"/>
    </row>
    <row r="20" spans="1:6" x14ac:dyDescent="0.25">
      <c r="A20" s="587" t="s">
        <v>24</v>
      </c>
      <c r="B20" s="598" t="s">
        <v>25</v>
      </c>
      <c r="C20" s="258"/>
      <c r="D20" s="258"/>
      <c r="E20" s="591">
        <v>0</v>
      </c>
      <c r="F20" s="591"/>
    </row>
    <row r="21" spans="1:6" x14ac:dyDescent="0.25">
      <c r="A21" s="587"/>
      <c r="B21" s="598" t="s">
        <v>56</v>
      </c>
      <c r="C21" s="258"/>
      <c r="D21" s="258"/>
      <c r="E21" s="591"/>
      <c r="F21" s="591"/>
    </row>
    <row r="22" spans="1:6" s="402" customFormat="1" x14ac:dyDescent="0.25">
      <c r="A22" s="587"/>
      <c r="B22" s="598" t="s">
        <v>742</v>
      </c>
      <c r="C22" s="258"/>
      <c r="D22" s="258"/>
      <c r="E22" s="591"/>
      <c r="F22" s="591">
        <v>324200</v>
      </c>
    </row>
    <row r="23" spans="1:6" x14ac:dyDescent="0.25">
      <c r="A23" s="599" t="s">
        <v>26</v>
      </c>
      <c r="B23" s="600" t="s">
        <v>27</v>
      </c>
      <c r="C23" s="258"/>
      <c r="D23" s="258"/>
      <c r="E23" s="601">
        <f>SUM(E12,E13,E18,E19,E20,E21)</f>
        <v>0</v>
      </c>
      <c r="F23" s="601">
        <f>SUM(F12,F13,F18,F19,F20,F21,F22)</f>
        <v>17046673</v>
      </c>
    </row>
    <row r="24" spans="1:6" x14ac:dyDescent="0.25">
      <c r="A24" s="765" t="s">
        <v>28</v>
      </c>
      <c r="B24" s="602" t="s">
        <v>29</v>
      </c>
      <c r="C24" s="603">
        <v>4.5</v>
      </c>
      <c r="D24" s="604">
        <v>4419000</v>
      </c>
      <c r="E24" s="605"/>
      <c r="F24" s="605">
        <v>13257000</v>
      </c>
    </row>
    <row r="25" spans="1:6" x14ac:dyDescent="0.25">
      <c r="A25" s="766"/>
      <c r="B25" s="606" t="s">
        <v>30</v>
      </c>
      <c r="C25" s="607">
        <v>3.9</v>
      </c>
      <c r="D25" s="608">
        <v>4419000</v>
      </c>
      <c r="E25" s="609"/>
      <c r="F25" s="609">
        <v>5744700</v>
      </c>
    </row>
    <row r="26" spans="1:6" x14ac:dyDescent="0.25">
      <c r="A26" s="766"/>
      <c r="B26" s="606" t="s">
        <v>31</v>
      </c>
      <c r="C26" s="610"/>
      <c r="D26" s="610"/>
      <c r="E26" s="609"/>
      <c r="F26" s="609"/>
    </row>
    <row r="27" spans="1:6" x14ac:dyDescent="0.25">
      <c r="A27" s="766"/>
      <c r="B27" s="606" t="s">
        <v>32</v>
      </c>
      <c r="C27" s="607">
        <v>2</v>
      </c>
      <c r="D27" s="608">
        <v>2205000</v>
      </c>
      <c r="E27" s="609"/>
      <c r="F27" s="609">
        <v>2940000</v>
      </c>
    </row>
    <row r="28" spans="1:6" x14ac:dyDescent="0.25">
      <c r="A28" s="766"/>
      <c r="B28" s="606" t="s">
        <v>33</v>
      </c>
      <c r="C28" s="607">
        <v>2</v>
      </c>
      <c r="D28" s="608">
        <v>2205000</v>
      </c>
      <c r="E28" s="609"/>
      <c r="F28" s="609">
        <v>1470000</v>
      </c>
    </row>
    <row r="29" spans="1:6" ht="45.75" customHeight="1" x14ac:dyDescent="0.25">
      <c r="A29" s="766"/>
      <c r="B29" s="1" t="s">
        <v>34</v>
      </c>
      <c r="C29" s="8"/>
      <c r="D29" s="8"/>
      <c r="E29" s="444">
        <f>SUM(E24:E28)</f>
        <v>0</v>
      </c>
      <c r="F29" s="444">
        <f>SUM(F24:F28)</f>
        <v>23411700</v>
      </c>
    </row>
    <row r="30" spans="1:6" x14ac:dyDescent="0.25">
      <c r="A30" s="766" t="s">
        <v>35</v>
      </c>
      <c r="B30" s="606" t="s">
        <v>36</v>
      </c>
      <c r="C30" s="607">
        <v>82</v>
      </c>
      <c r="D30" s="608">
        <v>81700</v>
      </c>
      <c r="E30" s="609"/>
      <c r="F30" s="609">
        <v>2614400</v>
      </c>
    </row>
    <row r="31" spans="1:6" x14ac:dyDescent="0.25">
      <c r="A31" s="766"/>
      <c r="B31" s="606" t="s">
        <v>37</v>
      </c>
      <c r="C31" s="607">
        <v>77</v>
      </c>
      <c r="D31" s="608">
        <v>81700</v>
      </c>
      <c r="E31" s="609"/>
      <c r="F31" s="609">
        <v>1089333</v>
      </c>
    </row>
    <row r="32" spans="1:6" x14ac:dyDescent="0.25">
      <c r="A32" s="766"/>
      <c r="B32" s="611" t="s">
        <v>38</v>
      </c>
      <c r="C32" s="443"/>
      <c r="D32" s="443"/>
      <c r="E32" s="444">
        <f>SUM(E30:E31)</f>
        <v>0</v>
      </c>
      <c r="F32" s="444">
        <f>SUM(F30:F31)</f>
        <v>3703733</v>
      </c>
    </row>
    <row r="33" spans="1:6" ht="24" x14ac:dyDescent="0.25">
      <c r="A33" s="612" t="s">
        <v>57</v>
      </c>
      <c r="B33" s="1" t="s">
        <v>58</v>
      </c>
      <c r="C33" s="443"/>
      <c r="D33" s="443"/>
      <c r="E33" s="444">
        <f>SUM(E35:E36)</f>
        <v>0</v>
      </c>
      <c r="F33" s="444">
        <f>SUM(F34:F36)</f>
        <v>802000</v>
      </c>
    </row>
    <row r="34" spans="1:6" s="402" customFormat="1" x14ac:dyDescent="0.25">
      <c r="A34" s="612"/>
      <c r="B34" s="1" t="s">
        <v>743</v>
      </c>
      <c r="C34" s="443" t="s">
        <v>59</v>
      </c>
      <c r="D34" s="443">
        <v>401000</v>
      </c>
      <c r="E34" s="444"/>
      <c r="F34" s="444">
        <v>802000</v>
      </c>
    </row>
    <row r="35" spans="1:6" x14ac:dyDescent="0.25">
      <c r="A35" s="612"/>
      <c r="B35" s="1" t="s">
        <v>691</v>
      </c>
      <c r="C35" s="2" t="s">
        <v>59</v>
      </c>
      <c r="D35" s="3">
        <v>1463000</v>
      </c>
      <c r="E35" s="5"/>
      <c r="F35" s="5"/>
    </row>
    <row r="36" spans="1:6" x14ac:dyDescent="0.25">
      <c r="A36" s="612"/>
      <c r="B36" s="1" t="s">
        <v>60</v>
      </c>
      <c r="C36" s="2" t="s">
        <v>61</v>
      </c>
      <c r="D36" s="3">
        <v>1684800</v>
      </c>
      <c r="E36" s="5"/>
      <c r="F36" s="5"/>
    </row>
    <row r="37" spans="1:6" ht="24.75" thickBot="1" x14ac:dyDescent="0.3">
      <c r="A37" s="6" t="s">
        <v>39</v>
      </c>
      <c r="B37" s="7" t="s">
        <v>40</v>
      </c>
      <c r="C37" s="8"/>
      <c r="D37" s="8"/>
      <c r="E37" s="9">
        <f>SUM(E29,E32,E33)</f>
        <v>0</v>
      </c>
      <c r="F37" s="9">
        <f>SUM(F29,F32,F33)</f>
        <v>27917433</v>
      </c>
    </row>
    <row r="38" spans="1:6" ht="15.75" thickBot="1" x14ac:dyDescent="0.3">
      <c r="A38" s="613" t="s">
        <v>41</v>
      </c>
      <c r="B38" s="614" t="s">
        <v>42</v>
      </c>
      <c r="C38" s="615"/>
      <c r="D38" s="616"/>
      <c r="E38" s="617"/>
      <c r="F38" s="617">
        <v>11189000</v>
      </c>
    </row>
    <row r="39" spans="1:6" x14ac:dyDescent="0.25">
      <c r="A39" s="449" t="s">
        <v>43</v>
      </c>
      <c r="B39" s="449" t="s">
        <v>782</v>
      </c>
      <c r="C39" s="450"/>
      <c r="D39" s="451"/>
      <c r="E39" s="452">
        <f>SUM(E41)</f>
        <v>0</v>
      </c>
      <c r="F39" s="452">
        <f>SUM(F40:F42)</f>
        <v>2298240</v>
      </c>
    </row>
    <row r="40" spans="1:6" s="402" customFormat="1" x14ac:dyDescent="0.25">
      <c r="A40" s="449"/>
      <c r="B40" s="449" t="s">
        <v>783</v>
      </c>
      <c r="C40" s="450"/>
      <c r="D40" s="451"/>
      <c r="E40" s="452"/>
      <c r="F40" s="452">
        <v>498240</v>
      </c>
    </row>
    <row r="41" spans="1:6" x14ac:dyDescent="0.25">
      <c r="A41" s="6"/>
      <c r="B41" s="7" t="s">
        <v>784</v>
      </c>
      <c r="C41" s="8">
        <v>5</v>
      </c>
      <c r="D41" s="8">
        <v>360000</v>
      </c>
      <c r="E41" s="9"/>
      <c r="F41" s="9">
        <v>1800000</v>
      </c>
    </row>
    <row r="42" spans="1:6" s="402" customFormat="1" ht="15.75" thickBot="1" x14ac:dyDescent="0.3">
      <c r="A42" s="445"/>
      <c r="B42" s="446" t="s">
        <v>744</v>
      </c>
      <c r="C42" s="447"/>
      <c r="D42" s="447"/>
      <c r="E42" s="448"/>
      <c r="F42" s="448"/>
    </row>
    <row r="43" spans="1:6" ht="15.75" thickBot="1" x14ac:dyDescent="0.3">
      <c r="A43" s="618" t="s">
        <v>44</v>
      </c>
      <c r="B43" s="618" t="s">
        <v>45</v>
      </c>
      <c r="C43" s="615"/>
      <c r="D43" s="616"/>
      <c r="E43" s="617">
        <f>SUM(E44:E45)</f>
        <v>0</v>
      </c>
      <c r="F43" s="617">
        <f>SUM(F44:F45)</f>
        <v>8360000</v>
      </c>
    </row>
    <row r="44" spans="1:6" ht="15.75" thickBot="1" x14ac:dyDescent="0.3">
      <c r="A44" s="619" t="s">
        <v>46</v>
      </c>
      <c r="B44" s="620" t="s">
        <v>47</v>
      </c>
      <c r="C44" s="620">
        <v>4.4000000000000004</v>
      </c>
      <c r="D44" s="621">
        <v>1900000</v>
      </c>
      <c r="E44" s="622"/>
      <c r="F44" s="622">
        <v>8360000</v>
      </c>
    </row>
    <row r="45" spans="1:6" ht="15.75" thickBot="1" x14ac:dyDescent="0.3">
      <c r="A45" s="619" t="s">
        <v>48</v>
      </c>
      <c r="B45" s="620" t="s">
        <v>49</v>
      </c>
      <c r="C45" s="615"/>
      <c r="D45" s="616"/>
      <c r="E45" s="622"/>
      <c r="F45" s="622"/>
    </row>
    <row r="46" spans="1:6" ht="15.75" thickBot="1" x14ac:dyDescent="0.3">
      <c r="A46" s="618" t="s">
        <v>63</v>
      </c>
      <c r="B46" s="618" t="s">
        <v>64</v>
      </c>
      <c r="C46" s="450"/>
      <c r="D46" s="451"/>
      <c r="E46" s="452"/>
      <c r="F46" s="452"/>
    </row>
    <row r="47" spans="1:6" ht="53.25" customHeight="1" thickBot="1" x14ac:dyDescent="0.3">
      <c r="A47" s="623" t="s">
        <v>50</v>
      </c>
      <c r="B47" s="624" t="s">
        <v>51</v>
      </c>
      <c r="C47" s="615"/>
      <c r="D47" s="616"/>
      <c r="E47" s="625">
        <f>SUM(E38,E39,E43,E46)</f>
        <v>0</v>
      </c>
      <c r="F47" s="625">
        <f>SUM(F38,F39,F43,F46)</f>
        <v>21847240</v>
      </c>
    </row>
    <row r="48" spans="1:6" ht="15.75" thickBot="1" x14ac:dyDescent="0.3">
      <c r="A48" s="615"/>
      <c r="B48" s="626" t="s">
        <v>52</v>
      </c>
      <c r="C48" s="627" t="s">
        <v>746</v>
      </c>
      <c r="D48" s="628" t="s">
        <v>745</v>
      </c>
      <c r="E48" s="617"/>
      <c r="F48" s="617">
        <v>1885180</v>
      </c>
    </row>
    <row r="49" spans="1:6" x14ac:dyDescent="0.25">
      <c r="A49" s="629" t="s">
        <v>53</v>
      </c>
      <c r="B49" s="630" t="s">
        <v>54</v>
      </c>
      <c r="C49" s="631"/>
      <c r="D49" s="632"/>
      <c r="E49" s="633">
        <f>E48</f>
        <v>0</v>
      </c>
      <c r="F49" s="633">
        <f>F48</f>
        <v>1885180</v>
      </c>
    </row>
    <row r="50" spans="1:6" ht="57" customHeight="1" x14ac:dyDescent="0.25">
      <c r="A50" s="767" t="s">
        <v>55</v>
      </c>
      <c r="B50" s="767"/>
      <c r="C50" s="258"/>
      <c r="D50" s="258"/>
      <c r="E50" s="634">
        <f t="shared" ref="E50:F50" si="0">SUM(E49,E47,E37,E23)</f>
        <v>0</v>
      </c>
      <c r="F50" s="634">
        <f t="shared" si="0"/>
        <v>68696526</v>
      </c>
    </row>
    <row r="51" spans="1:6" x14ac:dyDescent="0.25">
      <c r="A51" s="758" t="s">
        <v>86</v>
      </c>
      <c r="B51" s="635" t="s">
        <v>560</v>
      </c>
      <c r="C51" s="636"/>
      <c r="D51" s="636"/>
      <c r="E51" s="637">
        <f>SUM(E52:E54)</f>
        <v>0</v>
      </c>
      <c r="F51" s="637">
        <v>19636000</v>
      </c>
    </row>
    <row r="52" spans="1:6" x14ac:dyDescent="0.25">
      <c r="A52" s="759"/>
      <c r="B52" s="258" t="s">
        <v>561</v>
      </c>
      <c r="C52" s="638"/>
      <c r="D52" s="638"/>
      <c r="E52" s="639"/>
      <c r="F52" s="639"/>
    </row>
    <row r="53" spans="1:6" x14ac:dyDescent="0.25">
      <c r="A53" s="759"/>
      <c r="B53" s="258" t="s">
        <v>564</v>
      </c>
      <c r="C53" s="638"/>
      <c r="D53" s="638"/>
      <c r="E53" s="259"/>
      <c r="F53" s="259"/>
    </row>
    <row r="54" spans="1:6" x14ac:dyDescent="0.25">
      <c r="A54" s="759"/>
      <c r="B54" s="258" t="s">
        <v>562</v>
      </c>
      <c r="C54" s="638"/>
      <c r="D54" s="638"/>
      <c r="E54" s="639"/>
      <c r="F54" s="639"/>
    </row>
    <row r="55" spans="1:6" x14ac:dyDescent="0.25">
      <c r="A55" s="759"/>
      <c r="B55" s="635" t="s">
        <v>481</v>
      </c>
      <c r="C55" s="635"/>
      <c r="D55" s="635"/>
      <c r="E55" s="640">
        <f>E56</f>
        <v>0</v>
      </c>
      <c r="F55" s="640">
        <f>F56</f>
        <v>1946947</v>
      </c>
    </row>
    <row r="56" spans="1:6" ht="15.75" thickBot="1" x14ac:dyDescent="0.3">
      <c r="A56" s="759"/>
      <c r="B56" s="641" t="s">
        <v>563</v>
      </c>
      <c r="C56" s="642"/>
      <c r="D56" s="642"/>
      <c r="E56" s="643"/>
      <c r="F56" s="643">
        <v>1946947</v>
      </c>
    </row>
    <row r="57" spans="1:6" ht="33" customHeight="1" x14ac:dyDescent="0.25">
      <c r="A57" s="760"/>
      <c r="B57" s="644"/>
      <c r="C57" s="645"/>
      <c r="D57" s="645"/>
      <c r="E57" s="646">
        <v>0</v>
      </c>
      <c r="F57" s="646">
        <v>0</v>
      </c>
    </row>
    <row r="58" spans="1:6" ht="15.75" thickBot="1" x14ac:dyDescent="0.3">
      <c r="A58" s="760"/>
      <c r="B58" s="647" t="s">
        <v>616</v>
      </c>
      <c r="C58" s="570"/>
      <c r="D58" s="570"/>
      <c r="E58" s="572"/>
      <c r="F58" s="572"/>
    </row>
  </sheetData>
  <mergeCells count="12">
    <mergeCell ref="A51:A58"/>
    <mergeCell ref="A4:E5"/>
    <mergeCell ref="A1:G1"/>
    <mergeCell ref="A24:A29"/>
    <mergeCell ref="A30:A32"/>
    <mergeCell ref="A50:B50"/>
    <mergeCell ref="A7:A11"/>
    <mergeCell ref="B7:B11"/>
    <mergeCell ref="C7:E7"/>
    <mergeCell ref="C9:E9"/>
    <mergeCell ref="C10:E11"/>
    <mergeCell ref="F7:F11"/>
  </mergeCells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19"/>
  <sheetViews>
    <sheetView topLeftCell="A10" zoomScale="150" zoomScaleNormal="150" workbookViewId="0">
      <selection activeCell="I17" sqref="I17"/>
    </sheetView>
  </sheetViews>
  <sheetFormatPr defaultRowHeight="15" x14ac:dyDescent="0.25"/>
  <cols>
    <col min="1" max="1" width="25.7109375" customWidth="1"/>
    <col min="2" max="3" width="17.5703125" customWidth="1"/>
    <col min="4" max="4" width="17" style="11" customWidth="1"/>
  </cols>
  <sheetData>
    <row r="1" spans="1:4" x14ac:dyDescent="0.25">
      <c r="A1" s="726" t="s">
        <v>734</v>
      </c>
      <c r="B1" s="726"/>
      <c r="C1" s="726"/>
      <c r="D1" s="726"/>
    </row>
    <row r="2" spans="1:4" s="92" customFormat="1" x14ac:dyDescent="0.25">
      <c r="A2" s="88"/>
      <c r="B2" s="88"/>
      <c r="D2" s="11"/>
    </row>
    <row r="3" spans="1:4" s="92" customFormat="1" ht="36.75" customHeight="1" x14ac:dyDescent="0.25">
      <c r="A3" s="772" t="s">
        <v>779</v>
      </c>
      <c r="B3" s="772"/>
      <c r="C3" s="772"/>
      <c r="D3" s="11"/>
    </row>
    <row r="4" spans="1:4" s="92" customFormat="1" x14ac:dyDescent="0.25">
      <c r="A4" s="88"/>
      <c r="B4" s="88"/>
      <c r="D4" s="11"/>
    </row>
    <row r="5" spans="1:4" ht="51" x14ac:dyDescent="0.25">
      <c r="A5" s="12" t="s">
        <v>67</v>
      </c>
      <c r="B5" s="12" t="s">
        <v>68</v>
      </c>
      <c r="C5" s="29" t="s">
        <v>737</v>
      </c>
      <c r="D5" s="439" t="s">
        <v>735</v>
      </c>
    </row>
    <row r="6" spans="1:4" x14ac:dyDescent="0.25">
      <c r="A6" s="19" t="s">
        <v>105</v>
      </c>
      <c r="B6" s="20" t="s">
        <v>106</v>
      </c>
      <c r="C6" s="216">
        <f>SUM(C7:C9)</f>
        <v>5200000</v>
      </c>
      <c r="D6" s="216">
        <f t="shared" ref="D6" si="0">SUM(D7:D9)</f>
        <v>5101137</v>
      </c>
    </row>
    <row r="7" spans="1:4" x14ac:dyDescent="0.25">
      <c r="A7" s="773" t="s">
        <v>109</v>
      </c>
      <c r="B7" s="773"/>
      <c r="C7" s="136"/>
      <c r="D7" s="30"/>
    </row>
    <row r="8" spans="1:4" x14ac:dyDescent="0.25">
      <c r="A8" s="773" t="s">
        <v>112</v>
      </c>
      <c r="B8" s="773"/>
      <c r="C8" s="136">
        <v>5200000</v>
      </c>
      <c r="D8" s="30">
        <v>5101137</v>
      </c>
    </row>
    <row r="9" spans="1:4" x14ac:dyDescent="0.25">
      <c r="A9" s="773" t="s">
        <v>115</v>
      </c>
      <c r="B9" s="773"/>
      <c r="C9" s="136"/>
      <c r="D9" s="30"/>
    </row>
    <row r="10" spans="1:4" x14ac:dyDescent="0.25">
      <c r="A10" s="19" t="s">
        <v>118</v>
      </c>
      <c r="B10" s="20" t="s">
        <v>119</v>
      </c>
      <c r="C10" s="216">
        <f>SUM(C11)</f>
        <v>15500000</v>
      </c>
      <c r="D10" s="216">
        <f t="shared" ref="D10" si="1">SUM(D11)</f>
        <v>15534818</v>
      </c>
    </row>
    <row r="11" spans="1:4" x14ac:dyDescent="0.25">
      <c r="A11" s="773" t="s">
        <v>122</v>
      </c>
      <c r="B11" s="773"/>
      <c r="C11" s="216">
        <v>15500000</v>
      </c>
      <c r="D11" s="30">
        <v>15534818</v>
      </c>
    </row>
    <row r="12" spans="1:4" x14ac:dyDescent="0.25">
      <c r="A12" s="19" t="s">
        <v>125</v>
      </c>
      <c r="B12" s="20" t="s">
        <v>126</v>
      </c>
      <c r="C12" s="216">
        <v>3131000</v>
      </c>
      <c r="D12" s="216">
        <v>3130799</v>
      </c>
    </row>
    <row r="13" spans="1:4" ht="25.5" x14ac:dyDescent="0.25">
      <c r="A13" s="16" t="s">
        <v>129</v>
      </c>
      <c r="B13" s="17" t="s">
        <v>690</v>
      </c>
      <c r="C13" s="216">
        <v>0</v>
      </c>
      <c r="D13" s="30"/>
    </row>
    <row r="14" spans="1:4" ht="25.5" x14ac:dyDescent="0.25">
      <c r="A14" s="13" t="s">
        <v>134</v>
      </c>
      <c r="B14" s="14" t="s">
        <v>135</v>
      </c>
      <c r="C14" s="15">
        <f>SUM(C10,C12,C13)</f>
        <v>18631000</v>
      </c>
      <c r="D14" s="26">
        <f>SUM(D10,D12,D13)</f>
        <v>18665617</v>
      </c>
    </row>
    <row r="15" spans="1:4" x14ac:dyDescent="0.25">
      <c r="A15" s="13" t="s">
        <v>138</v>
      </c>
      <c r="B15" s="14" t="s">
        <v>139</v>
      </c>
      <c r="C15" s="26">
        <f>SUM(C16:C18)</f>
        <v>0</v>
      </c>
      <c r="D15" s="26">
        <f t="shared" ref="D15" si="2">SUM(D16:D18)</f>
        <v>0</v>
      </c>
    </row>
    <row r="16" spans="1:4" x14ac:dyDescent="0.25">
      <c r="A16" s="773" t="s">
        <v>142</v>
      </c>
      <c r="B16" s="773"/>
      <c r="C16" s="216">
        <v>0</v>
      </c>
      <c r="D16" s="30"/>
    </row>
    <row r="17" spans="1:4" x14ac:dyDescent="0.25">
      <c r="A17" s="773" t="s">
        <v>748</v>
      </c>
      <c r="B17" s="773"/>
      <c r="C17" s="216">
        <v>0</v>
      </c>
      <c r="D17" s="30"/>
    </row>
    <row r="18" spans="1:4" x14ac:dyDescent="0.25">
      <c r="A18" s="773" t="s">
        <v>749</v>
      </c>
      <c r="B18" s="773"/>
      <c r="C18" s="216">
        <v>0</v>
      </c>
      <c r="D18" s="30"/>
    </row>
    <row r="19" spans="1:4" ht="25.5" x14ac:dyDescent="0.25">
      <c r="A19" s="13" t="s">
        <v>147</v>
      </c>
      <c r="B19" s="14" t="s">
        <v>148</v>
      </c>
      <c r="C19" s="216">
        <f>SUM(C6,C14,C15)</f>
        <v>23831000</v>
      </c>
      <c r="D19" s="216">
        <f>SUM(D6,D14,D15)</f>
        <v>23766754</v>
      </c>
    </row>
  </sheetData>
  <mergeCells count="9">
    <mergeCell ref="A1:D1"/>
    <mergeCell ref="A3:C3"/>
    <mergeCell ref="A17:B17"/>
    <mergeCell ref="A18:B18"/>
    <mergeCell ref="A7:B7"/>
    <mergeCell ref="A8:B8"/>
    <mergeCell ref="A9:B9"/>
    <mergeCell ref="A11:B11"/>
    <mergeCell ref="A16:B16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Q15"/>
  <sheetViews>
    <sheetView view="pageBreakPreview" zoomScale="110" zoomScaleNormal="100" zoomScaleSheetLayoutView="110" workbookViewId="0">
      <selection activeCell="E15" sqref="E15"/>
    </sheetView>
  </sheetViews>
  <sheetFormatPr defaultRowHeight="15" x14ac:dyDescent="0.25"/>
  <cols>
    <col min="1" max="1" width="48" customWidth="1"/>
    <col min="2" max="2" width="26.5703125" bestFit="1" customWidth="1"/>
    <col min="3" max="3" width="30" bestFit="1" customWidth="1"/>
  </cols>
  <sheetData>
    <row r="1" spans="1:17" s="92" customFormat="1" ht="15" customHeight="1" x14ac:dyDescent="0.25">
      <c r="A1" s="726" t="s">
        <v>747</v>
      </c>
      <c r="B1" s="726"/>
      <c r="C1" s="726"/>
      <c r="D1" s="219"/>
      <c r="E1" s="219"/>
    </row>
    <row r="2" spans="1:17" s="92" customFormat="1" x14ac:dyDescent="0.25">
      <c r="A2" s="88"/>
      <c r="B2" s="88"/>
    </row>
    <row r="3" spans="1:17" s="92" customFormat="1" x14ac:dyDescent="0.25">
      <c r="A3" s="88"/>
      <c r="B3" s="88"/>
    </row>
    <row r="4" spans="1:17" s="92" customFormat="1" x14ac:dyDescent="0.25">
      <c r="A4" s="722" t="s">
        <v>780</v>
      </c>
      <c r="B4" s="722"/>
      <c r="C4" s="722"/>
      <c r="D4" s="106"/>
      <c r="E4" s="106"/>
    </row>
    <row r="5" spans="1:17" s="92" customFormat="1" x14ac:dyDescent="0.25">
      <c r="B5" s="27"/>
      <c r="C5" s="27" t="s">
        <v>362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25.5" x14ac:dyDescent="0.25">
      <c r="A6" s="12" t="s">
        <v>67</v>
      </c>
      <c r="B6" s="12" t="s">
        <v>68</v>
      </c>
      <c r="C6" s="25" t="s">
        <v>737</v>
      </c>
    </row>
    <row r="7" spans="1:17" x14ac:dyDescent="0.25">
      <c r="A7" s="35" t="s">
        <v>151</v>
      </c>
      <c r="B7" s="20" t="s">
        <v>152</v>
      </c>
      <c r="C7" s="440">
        <v>500000</v>
      </c>
    </row>
    <row r="8" spans="1:17" x14ac:dyDescent="0.25">
      <c r="A8" s="35" t="s">
        <v>155</v>
      </c>
      <c r="B8" s="17" t="s">
        <v>156</v>
      </c>
      <c r="C8" s="440">
        <f>SUM(C9:C10)</f>
        <v>1210000</v>
      </c>
    </row>
    <row r="9" spans="1:17" s="336" customFormat="1" x14ac:dyDescent="0.25">
      <c r="A9" s="105" t="s">
        <v>689</v>
      </c>
      <c r="B9" s="17"/>
      <c r="C9" s="441">
        <v>210000</v>
      </c>
    </row>
    <row r="10" spans="1:17" s="402" customFormat="1" x14ac:dyDescent="0.25">
      <c r="A10" s="105" t="s">
        <v>786</v>
      </c>
      <c r="B10" s="17"/>
      <c r="C10" s="441">
        <v>1000000</v>
      </c>
    </row>
    <row r="11" spans="1:17" ht="25.5" x14ac:dyDescent="0.25">
      <c r="A11" s="35" t="s">
        <v>785</v>
      </c>
      <c r="B11" s="17" t="s">
        <v>161</v>
      </c>
      <c r="C11" s="440">
        <v>800000</v>
      </c>
    </row>
    <row r="12" spans="1:17" x14ac:dyDescent="0.25">
      <c r="A12" s="35" t="s">
        <v>167</v>
      </c>
      <c r="B12" s="17" t="s">
        <v>168</v>
      </c>
      <c r="C12" s="440"/>
    </row>
    <row r="13" spans="1:17" x14ac:dyDescent="0.25">
      <c r="A13" s="35" t="s">
        <v>171</v>
      </c>
      <c r="B13" s="17" t="s">
        <v>172</v>
      </c>
      <c r="C13" s="441">
        <v>0</v>
      </c>
    </row>
    <row r="14" spans="1:17" x14ac:dyDescent="0.25">
      <c r="A14" s="35" t="s">
        <v>175</v>
      </c>
      <c r="B14" s="17" t="s">
        <v>176</v>
      </c>
      <c r="C14" s="441">
        <v>0</v>
      </c>
    </row>
    <row r="15" spans="1:17" x14ac:dyDescent="0.25">
      <c r="A15" s="22" t="s">
        <v>181</v>
      </c>
      <c r="B15" s="23" t="s">
        <v>182</v>
      </c>
      <c r="C15" s="442">
        <f>SUM(C7,C8,C11,C12)</f>
        <v>2510000</v>
      </c>
    </row>
  </sheetData>
  <mergeCells count="2">
    <mergeCell ref="A4:C4"/>
    <mergeCell ref="A1:C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view="pageBreakPreview" zoomScale="60" zoomScaleNormal="80" workbookViewId="0">
      <pane xSplit="10" ySplit="9" topLeftCell="K10" activePane="bottomRight" state="frozen"/>
      <selection pane="topRight" activeCell="K1" sqref="K1"/>
      <selection pane="bottomLeft" activeCell="A10" sqref="A10"/>
      <selection pane="bottomRight" activeCell="R112" sqref="R112"/>
    </sheetView>
  </sheetViews>
  <sheetFormatPr defaultRowHeight="15" x14ac:dyDescent="0.25"/>
  <cols>
    <col min="1" max="9" width="9.140625" style="552"/>
    <col min="10" max="10" width="22.5703125" style="552" customWidth="1"/>
    <col min="11" max="11" width="21.28515625" style="553" customWidth="1"/>
    <col min="12" max="12" width="19.28515625" style="553" customWidth="1"/>
    <col min="13" max="13" width="22" style="553" customWidth="1"/>
    <col min="14" max="14" width="20.5703125" style="553" customWidth="1"/>
    <col min="15" max="15" width="17" style="553" customWidth="1"/>
    <col min="16" max="16" width="21" style="553" customWidth="1"/>
    <col min="17" max="17" width="19.7109375" style="553" customWidth="1"/>
    <col min="18" max="18" width="20" style="553" customWidth="1"/>
    <col min="19" max="19" width="21.7109375" style="553" customWidth="1"/>
    <col min="20" max="20" width="25" style="553" customWidth="1"/>
    <col min="21" max="21" width="23.85546875" style="553" customWidth="1"/>
    <col min="22" max="22" width="13.85546875" style="553" customWidth="1"/>
    <col min="23" max="23" width="17.5703125" style="553" customWidth="1"/>
    <col min="24" max="25" width="21" style="553" customWidth="1"/>
    <col min="26" max="26" width="26.7109375" style="553" customWidth="1"/>
    <col min="27" max="27" width="16" style="135" hidden="1" customWidth="1"/>
    <col min="28" max="16384" width="9.140625" style="135"/>
  </cols>
  <sheetData>
    <row r="1" spans="1:27" ht="15" customHeight="1" x14ac:dyDescent="0.25">
      <c r="A1" s="774" t="s">
        <v>761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517"/>
      <c r="N1" s="518"/>
      <c r="O1" s="518"/>
      <c r="P1" s="518"/>
      <c r="Q1" s="518"/>
      <c r="R1" s="518"/>
      <c r="S1" s="518"/>
      <c r="T1" s="518"/>
      <c r="U1" s="518"/>
      <c r="V1" s="775"/>
      <c r="W1" s="775"/>
      <c r="X1" s="775"/>
      <c r="Y1" s="775"/>
      <c r="Z1" s="775"/>
    </row>
    <row r="2" spans="1:27" x14ac:dyDescent="0.25">
      <c r="A2" s="519"/>
      <c r="B2" s="520"/>
      <c r="C2" s="520"/>
      <c r="D2" s="521"/>
      <c r="E2" s="521"/>
      <c r="F2" s="522"/>
      <c r="G2" s="522"/>
      <c r="H2" s="522"/>
      <c r="I2" s="522"/>
      <c r="J2" s="522"/>
      <c r="K2" s="523"/>
      <c r="L2" s="523"/>
      <c r="M2" s="517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</row>
    <row r="3" spans="1:27" ht="15.75" x14ac:dyDescent="0.25">
      <c r="A3" s="776" t="s">
        <v>760</v>
      </c>
      <c r="B3" s="776"/>
      <c r="C3" s="776"/>
      <c r="D3" s="776"/>
      <c r="E3" s="776"/>
      <c r="F3" s="776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U3" s="776"/>
      <c r="V3" s="776"/>
      <c r="W3" s="776"/>
      <c r="X3" s="776"/>
      <c r="Y3" s="776"/>
      <c r="Z3" s="776"/>
    </row>
    <row r="4" spans="1:27" x14ac:dyDescent="0.25">
      <c r="A4" s="519"/>
      <c r="B4" s="520"/>
      <c r="C4" s="520"/>
      <c r="D4" s="521"/>
      <c r="E4" s="521"/>
      <c r="F4" s="522"/>
      <c r="G4" s="522"/>
      <c r="H4" s="522"/>
      <c r="I4" s="522"/>
      <c r="J4" s="522"/>
      <c r="K4" s="523"/>
      <c r="L4" s="523"/>
      <c r="M4" s="517"/>
      <c r="N4" s="518"/>
      <c r="O4" s="518"/>
      <c r="P4" s="518"/>
      <c r="Q4" s="518"/>
      <c r="R4" s="518"/>
      <c r="S4" s="518"/>
      <c r="T4" s="518"/>
      <c r="U4" s="518"/>
      <c r="V4" s="518"/>
      <c r="W4" s="777" t="s">
        <v>460</v>
      </c>
      <c r="X4" s="777"/>
      <c r="Y4" s="777"/>
      <c r="Z4" s="777"/>
    </row>
    <row r="5" spans="1:27" x14ac:dyDescent="0.25">
      <c r="A5" s="778" t="s">
        <v>420</v>
      </c>
      <c r="B5" s="778" t="s">
        <v>421</v>
      </c>
      <c r="C5" s="779" t="s">
        <v>513</v>
      </c>
      <c r="D5" s="779" t="s">
        <v>422</v>
      </c>
      <c r="E5" s="779" t="s">
        <v>514</v>
      </c>
      <c r="F5" s="780" t="s">
        <v>424</v>
      </c>
      <c r="G5" s="780" t="s">
        <v>421</v>
      </c>
      <c r="H5" s="780" t="s">
        <v>515</v>
      </c>
      <c r="I5" s="780" t="s">
        <v>422</v>
      </c>
      <c r="J5" s="780" t="s">
        <v>428</v>
      </c>
      <c r="K5" s="784" t="s">
        <v>516</v>
      </c>
      <c r="L5" s="784"/>
      <c r="M5" s="784"/>
      <c r="N5" s="784"/>
      <c r="O5" s="784"/>
      <c r="P5" s="784"/>
      <c r="Q5" s="784"/>
      <c r="R5" s="784"/>
      <c r="S5" s="784"/>
      <c r="T5" s="785" t="s">
        <v>517</v>
      </c>
      <c r="U5" s="785"/>
      <c r="V5" s="785"/>
      <c r="W5" s="785"/>
      <c r="X5" s="785"/>
      <c r="Y5" s="785"/>
      <c r="Z5" s="786" t="s">
        <v>518</v>
      </c>
    </row>
    <row r="6" spans="1:27" ht="24.75" customHeight="1" x14ac:dyDescent="0.25">
      <c r="A6" s="778"/>
      <c r="B6" s="778"/>
      <c r="C6" s="778"/>
      <c r="D6" s="778"/>
      <c r="E6" s="778"/>
      <c r="F6" s="780"/>
      <c r="G6" s="780"/>
      <c r="H6" s="780"/>
      <c r="I6" s="780"/>
      <c r="J6" s="780"/>
      <c r="K6" s="790" t="s">
        <v>519</v>
      </c>
      <c r="L6" s="790" t="s">
        <v>520</v>
      </c>
      <c r="M6" s="790" t="s">
        <v>371</v>
      </c>
      <c r="N6" s="791" t="s">
        <v>521</v>
      </c>
      <c r="O6" s="792" t="s">
        <v>522</v>
      </c>
      <c r="P6" s="793"/>
      <c r="Q6" s="793"/>
      <c r="R6" s="794"/>
      <c r="S6" s="784" t="s">
        <v>523</v>
      </c>
      <c r="T6" s="784" t="s">
        <v>524</v>
      </c>
      <c r="U6" s="784" t="s">
        <v>525</v>
      </c>
      <c r="V6" s="795" t="s">
        <v>526</v>
      </c>
      <c r="W6" s="796"/>
      <c r="X6" s="786" t="s">
        <v>824</v>
      </c>
      <c r="Y6" s="784" t="s">
        <v>523</v>
      </c>
      <c r="Z6" s="787"/>
    </row>
    <row r="7" spans="1:27" ht="26.25" x14ac:dyDescent="0.25">
      <c r="A7" s="778" t="s">
        <v>429</v>
      </c>
      <c r="B7" s="778"/>
      <c r="C7" s="778"/>
      <c r="D7" s="778"/>
      <c r="E7" s="778"/>
      <c r="F7" s="780"/>
      <c r="G7" s="780"/>
      <c r="H7" s="780"/>
      <c r="I7" s="780"/>
      <c r="J7" s="780"/>
      <c r="K7" s="790"/>
      <c r="L7" s="790"/>
      <c r="M7" s="790"/>
      <c r="N7" s="791"/>
      <c r="O7" s="524" t="s">
        <v>527</v>
      </c>
      <c r="P7" s="525" t="s">
        <v>528</v>
      </c>
      <c r="Q7" s="525" t="s">
        <v>529</v>
      </c>
      <c r="R7" s="525" t="s">
        <v>702</v>
      </c>
      <c r="S7" s="784"/>
      <c r="T7" s="784"/>
      <c r="U7" s="784"/>
      <c r="V7" s="526" t="s">
        <v>530</v>
      </c>
      <c r="W7" s="526" t="s">
        <v>531</v>
      </c>
      <c r="X7" s="787"/>
      <c r="Y7" s="784"/>
      <c r="Z7" s="788"/>
    </row>
    <row r="8" spans="1:27" x14ac:dyDescent="0.25">
      <c r="A8" s="778"/>
      <c r="B8" s="778"/>
      <c r="C8" s="778"/>
      <c r="D8" s="778"/>
      <c r="E8" s="778"/>
      <c r="F8" s="780"/>
      <c r="G8" s="780"/>
      <c r="H8" s="780"/>
      <c r="I8" s="780"/>
      <c r="J8" s="780"/>
      <c r="K8" s="525"/>
      <c r="L8" s="525"/>
      <c r="M8" s="525"/>
      <c r="N8" s="525"/>
      <c r="O8" s="525"/>
      <c r="P8" s="525"/>
      <c r="Q8" s="525"/>
      <c r="R8" s="525"/>
      <c r="S8" s="784"/>
      <c r="T8" s="247"/>
      <c r="U8" s="247"/>
      <c r="V8" s="527"/>
      <c r="W8" s="527"/>
      <c r="X8" s="797"/>
      <c r="Y8" s="784"/>
      <c r="Z8" s="788"/>
    </row>
    <row r="9" spans="1:27" x14ac:dyDescent="0.25">
      <c r="A9" s="778"/>
      <c r="B9" s="778"/>
      <c r="C9" s="778"/>
      <c r="D9" s="778"/>
      <c r="E9" s="778"/>
      <c r="F9" s="780"/>
      <c r="G9" s="780"/>
      <c r="H9" s="780"/>
      <c r="I9" s="780"/>
      <c r="J9" s="780"/>
      <c r="K9" s="247" t="s">
        <v>100</v>
      </c>
      <c r="L9" s="247" t="s">
        <v>102</v>
      </c>
      <c r="M9" s="247" t="s">
        <v>180</v>
      </c>
      <c r="N9" s="247" t="s">
        <v>186</v>
      </c>
      <c r="O9" s="528"/>
      <c r="P9" s="781" t="s">
        <v>191</v>
      </c>
      <c r="Q9" s="782"/>
      <c r="R9" s="783"/>
      <c r="S9" s="784"/>
      <c r="T9" s="247" t="s">
        <v>203</v>
      </c>
      <c r="U9" s="247" t="s">
        <v>209</v>
      </c>
      <c r="V9" s="781" t="s">
        <v>532</v>
      </c>
      <c r="W9" s="783"/>
      <c r="X9" s="529"/>
      <c r="Y9" s="784"/>
      <c r="Z9" s="789"/>
    </row>
    <row r="10" spans="1:27" x14ac:dyDescent="0.25">
      <c r="A10" s="241">
        <v>1</v>
      </c>
      <c r="B10" s="242"/>
      <c r="C10" s="242"/>
      <c r="D10" s="243"/>
      <c r="E10" s="243"/>
      <c r="F10" s="798" t="s">
        <v>781</v>
      </c>
      <c r="G10" s="798"/>
      <c r="H10" s="798"/>
      <c r="I10" s="798"/>
      <c r="J10" s="798"/>
      <c r="K10" s="530"/>
      <c r="L10" s="530"/>
      <c r="M10" s="531"/>
      <c r="N10" s="530"/>
      <c r="O10" s="530"/>
      <c r="P10" s="530"/>
      <c r="Q10" s="530"/>
      <c r="R10" s="530"/>
      <c r="S10" s="247"/>
      <c r="T10" s="530"/>
      <c r="U10" s="530"/>
      <c r="V10" s="530"/>
      <c r="W10" s="530"/>
      <c r="X10" s="530"/>
      <c r="Y10" s="247"/>
      <c r="Z10" s="247"/>
    </row>
    <row r="11" spans="1:27" x14ac:dyDescent="0.25">
      <c r="A11" s="241"/>
      <c r="B11" s="242">
        <v>3</v>
      </c>
      <c r="C11" s="242"/>
      <c r="D11" s="243"/>
      <c r="E11" s="243"/>
      <c r="F11" s="244"/>
      <c r="G11" s="798" t="s">
        <v>368</v>
      </c>
      <c r="H11" s="798"/>
      <c r="I11" s="798"/>
      <c r="J11" s="798"/>
      <c r="K11" s="530"/>
      <c r="L11" s="530"/>
      <c r="M11" s="531"/>
      <c r="N11" s="530"/>
      <c r="O11" s="530"/>
      <c r="P11" s="530"/>
      <c r="Q11" s="530"/>
      <c r="R11" s="530"/>
      <c r="S11" s="247"/>
      <c r="T11" s="530"/>
      <c r="U11" s="530"/>
      <c r="V11" s="530"/>
      <c r="W11" s="530"/>
      <c r="X11" s="530"/>
      <c r="Y11" s="247"/>
      <c r="Z11" s="247"/>
    </row>
    <row r="12" spans="1:27" x14ac:dyDescent="0.25">
      <c r="A12" s="241"/>
      <c r="B12" s="242"/>
      <c r="C12" s="242">
        <v>1</v>
      </c>
      <c r="D12" s="243"/>
      <c r="E12" s="243"/>
      <c r="F12" s="244"/>
      <c r="G12" s="244"/>
      <c r="H12" s="798" t="s">
        <v>432</v>
      </c>
      <c r="I12" s="798"/>
      <c r="J12" s="798"/>
      <c r="K12" s="530"/>
      <c r="L12" s="530"/>
      <c r="M12" s="531"/>
      <c r="N12" s="530"/>
      <c r="O12" s="530"/>
      <c r="P12" s="530"/>
      <c r="Q12" s="530"/>
      <c r="R12" s="530"/>
      <c r="S12" s="247"/>
      <c r="T12" s="530"/>
      <c r="U12" s="530"/>
      <c r="V12" s="530"/>
      <c r="W12" s="530"/>
      <c r="X12" s="530"/>
      <c r="Y12" s="247"/>
      <c r="Z12" s="247"/>
    </row>
    <row r="13" spans="1:27" ht="35.25" customHeight="1" x14ac:dyDescent="0.25">
      <c r="A13" s="241"/>
      <c r="B13" s="242"/>
      <c r="C13" s="242"/>
      <c r="D13" s="243">
        <v>1</v>
      </c>
      <c r="E13" s="243"/>
      <c r="F13" s="244"/>
      <c r="G13" s="244"/>
      <c r="H13" s="244"/>
      <c r="I13" s="798" t="s">
        <v>577</v>
      </c>
      <c r="J13" s="798"/>
      <c r="K13" s="530"/>
      <c r="L13" s="530"/>
      <c r="M13" s="531"/>
      <c r="N13" s="530"/>
      <c r="O13" s="530"/>
      <c r="P13" s="530"/>
      <c r="Q13" s="530"/>
      <c r="R13" s="530"/>
      <c r="S13" s="247"/>
      <c r="T13" s="530"/>
      <c r="U13" s="530"/>
      <c r="V13" s="530"/>
      <c r="W13" s="530"/>
      <c r="X13" s="530"/>
      <c r="Y13" s="247"/>
      <c r="Z13" s="247"/>
      <c r="AA13" s="135" t="s">
        <v>607</v>
      </c>
    </row>
    <row r="14" spans="1:27" x14ac:dyDescent="0.25">
      <c r="A14" s="241"/>
      <c r="B14" s="242"/>
      <c r="C14" s="242"/>
      <c r="D14" s="243"/>
      <c r="E14" s="243">
        <v>1</v>
      </c>
      <c r="F14" s="244"/>
      <c r="G14" s="244"/>
      <c r="H14" s="244"/>
      <c r="I14" s="244"/>
      <c r="J14" s="532" t="s">
        <v>533</v>
      </c>
      <c r="K14" s="533">
        <f t="shared" ref="K14:R14" si="0">SUM(K15:K15)</f>
        <v>6823086</v>
      </c>
      <c r="L14" s="533">
        <f t="shared" si="0"/>
        <v>1364617.2000000002</v>
      </c>
      <c r="M14" s="533">
        <f t="shared" si="0"/>
        <v>2097500</v>
      </c>
      <c r="N14" s="533">
        <f t="shared" si="0"/>
        <v>0</v>
      </c>
      <c r="O14" s="533">
        <f t="shared" si="0"/>
        <v>0</v>
      </c>
      <c r="P14" s="533">
        <f t="shared" si="0"/>
        <v>0</v>
      </c>
      <c r="Q14" s="533">
        <f t="shared" si="0"/>
        <v>0</v>
      </c>
      <c r="R14" s="533">
        <f t="shared" si="0"/>
        <v>0</v>
      </c>
      <c r="S14" s="247">
        <f>SUM(K14:R14)</f>
        <v>10285203.199999999</v>
      </c>
      <c r="T14" s="533">
        <f>SUM(T15:T15)</f>
        <v>0</v>
      </c>
      <c r="U14" s="533">
        <f>SUM(U15:U15)</f>
        <v>0</v>
      </c>
      <c r="V14" s="533">
        <f>SUM(V15:V15)</f>
        <v>0</v>
      </c>
      <c r="W14" s="533">
        <f>SUM(W15:W15)</f>
        <v>0</v>
      </c>
      <c r="X14" s="533"/>
      <c r="Y14" s="247">
        <f>SUM(T14:W14)</f>
        <v>0</v>
      </c>
      <c r="Z14" s="247">
        <f>S14+Y14</f>
        <v>10285203.199999999</v>
      </c>
      <c r="AA14" s="285">
        <f>Z14-Y14-S14</f>
        <v>0</v>
      </c>
    </row>
    <row r="15" spans="1:27" x14ac:dyDescent="0.25">
      <c r="A15" s="241"/>
      <c r="B15" s="242"/>
      <c r="C15" s="242"/>
      <c r="D15" s="243"/>
      <c r="E15" s="243"/>
      <c r="F15" s="244"/>
      <c r="G15" s="244"/>
      <c r="H15" s="244"/>
      <c r="I15" s="244"/>
      <c r="J15" s="534" t="s">
        <v>534</v>
      </c>
      <c r="K15" s="530">
        <f>'9melléklet Személyi jell.'!C21</f>
        <v>6823086</v>
      </c>
      <c r="L15" s="530">
        <f>'9melléklet Személyi jell.'!C22</f>
        <v>1364617.2000000002</v>
      </c>
      <c r="M15" s="531">
        <f>'10mell. Dologi kiadások'!D64</f>
        <v>2097500</v>
      </c>
      <c r="N15" s="530"/>
      <c r="O15" s="530"/>
      <c r="P15" s="530"/>
      <c r="Q15" s="530"/>
      <c r="R15" s="530"/>
      <c r="S15" s="247">
        <f>SUM(K15:R15)</f>
        <v>10285203.199999999</v>
      </c>
      <c r="T15" s="530"/>
      <c r="U15" s="530"/>
      <c r="V15" s="530"/>
      <c r="W15" s="530"/>
      <c r="X15" s="530"/>
      <c r="Y15" s="247">
        <f>SUM(T15:W15)</f>
        <v>0</v>
      </c>
      <c r="Z15" s="247">
        <f>S15+Y15</f>
        <v>10285203.199999999</v>
      </c>
      <c r="AA15" s="285">
        <f t="shared" ref="AA15:AA78" si="1">Z15-Y15-S15</f>
        <v>0</v>
      </c>
    </row>
    <row r="16" spans="1:27" ht="26.25" customHeight="1" x14ac:dyDescent="0.25">
      <c r="A16" s="241"/>
      <c r="B16" s="242"/>
      <c r="C16" s="242"/>
      <c r="D16" s="243"/>
      <c r="E16" s="243"/>
      <c r="F16" s="244"/>
      <c r="G16" s="244"/>
      <c r="H16" s="244"/>
      <c r="I16" s="799" t="s">
        <v>535</v>
      </c>
      <c r="J16" s="799"/>
      <c r="K16" s="247">
        <f>SUM(K17)</f>
        <v>6823086</v>
      </c>
      <c r="L16" s="247">
        <f t="shared" ref="L16:Z16" si="2">SUM(L17)</f>
        <v>1364617.2000000002</v>
      </c>
      <c r="M16" s="247">
        <f>SUM(M17)</f>
        <v>2097500</v>
      </c>
      <c r="N16" s="247">
        <f t="shared" si="2"/>
        <v>0</v>
      </c>
      <c r="O16" s="247">
        <f t="shared" si="2"/>
        <v>0</v>
      </c>
      <c r="P16" s="247">
        <f t="shared" si="2"/>
        <v>0</v>
      </c>
      <c r="Q16" s="247">
        <f t="shared" si="2"/>
        <v>0</v>
      </c>
      <c r="R16" s="247">
        <f t="shared" si="2"/>
        <v>0</v>
      </c>
      <c r="S16" s="247">
        <f t="shared" si="2"/>
        <v>10285203.199999999</v>
      </c>
      <c r="T16" s="247">
        <f t="shared" si="2"/>
        <v>0</v>
      </c>
      <c r="U16" s="247">
        <f t="shared" si="2"/>
        <v>0</v>
      </c>
      <c r="V16" s="247">
        <f t="shared" si="2"/>
        <v>0</v>
      </c>
      <c r="W16" s="247">
        <f t="shared" si="2"/>
        <v>0</v>
      </c>
      <c r="X16" s="247"/>
      <c r="Y16" s="247">
        <f t="shared" si="2"/>
        <v>0</v>
      </c>
      <c r="Z16" s="247">
        <f t="shared" si="2"/>
        <v>10285203.199999999</v>
      </c>
      <c r="AA16" s="285">
        <f t="shared" si="1"/>
        <v>0</v>
      </c>
    </row>
    <row r="17" spans="1:27" x14ac:dyDescent="0.25">
      <c r="A17" s="241"/>
      <c r="B17" s="242"/>
      <c r="C17" s="242"/>
      <c r="D17" s="243"/>
      <c r="E17" s="243"/>
      <c r="F17" s="244"/>
      <c r="G17" s="244"/>
      <c r="H17" s="244"/>
      <c r="I17" s="245"/>
      <c r="J17" s="246" t="s">
        <v>534</v>
      </c>
      <c r="K17" s="247">
        <f>SUM(K15,)</f>
        <v>6823086</v>
      </c>
      <c r="L17" s="247">
        <f t="shared" ref="L17:Y17" si="3">SUM(L15,)</f>
        <v>1364617.2000000002</v>
      </c>
      <c r="M17" s="247">
        <f t="shared" si="3"/>
        <v>2097500</v>
      </c>
      <c r="N17" s="247">
        <f t="shared" si="3"/>
        <v>0</v>
      </c>
      <c r="O17" s="247">
        <f>SUM(O15,)</f>
        <v>0</v>
      </c>
      <c r="P17" s="247">
        <f t="shared" si="3"/>
        <v>0</v>
      </c>
      <c r="Q17" s="247">
        <f t="shared" si="3"/>
        <v>0</v>
      </c>
      <c r="R17" s="247">
        <f t="shared" si="3"/>
        <v>0</v>
      </c>
      <c r="S17" s="247">
        <f t="shared" si="3"/>
        <v>10285203.199999999</v>
      </c>
      <c r="T17" s="247">
        <f t="shared" si="3"/>
        <v>0</v>
      </c>
      <c r="U17" s="247">
        <f t="shared" si="3"/>
        <v>0</v>
      </c>
      <c r="V17" s="247">
        <f t="shared" si="3"/>
        <v>0</v>
      </c>
      <c r="W17" s="247">
        <f t="shared" si="3"/>
        <v>0</v>
      </c>
      <c r="X17" s="247"/>
      <c r="Y17" s="247">
        <f t="shared" si="3"/>
        <v>0</v>
      </c>
      <c r="Z17" s="247">
        <f>SUM(Z15)</f>
        <v>10285203.199999999</v>
      </c>
      <c r="AA17" s="285">
        <f t="shared" si="1"/>
        <v>0</v>
      </c>
    </row>
    <row r="18" spans="1:27" x14ac:dyDescent="0.25">
      <c r="A18" s="241"/>
      <c r="B18" s="242"/>
      <c r="C18" s="242"/>
      <c r="D18" s="243"/>
      <c r="E18" s="243"/>
      <c r="F18" s="244"/>
      <c r="G18" s="244"/>
      <c r="H18" s="244"/>
      <c r="I18" s="244"/>
      <c r="J18" s="534"/>
      <c r="K18" s="530"/>
      <c r="L18" s="530"/>
      <c r="M18" s="531"/>
      <c r="N18" s="530"/>
      <c r="O18" s="530"/>
      <c r="P18" s="530"/>
      <c r="Q18" s="530"/>
      <c r="R18" s="530"/>
      <c r="S18" s="247"/>
      <c r="T18" s="530"/>
      <c r="U18" s="530"/>
      <c r="V18" s="530"/>
      <c r="W18" s="530"/>
      <c r="X18" s="530"/>
      <c r="Y18" s="247"/>
      <c r="Z18" s="247"/>
      <c r="AA18" s="285">
        <f t="shared" si="1"/>
        <v>0</v>
      </c>
    </row>
    <row r="19" spans="1:27" ht="27.75" customHeight="1" x14ac:dyDescent="0.25">
      <c r="A19" s="241"/>
      <c r="B19" s="242"/>
      <c r="C19" s="242"/>
      <c r="D19" s="243">
        <v>2</v>
      </c>
      <c r="E19" s="243"/>
      <c r="F19" s="244"/>
      <c r="G19" s="244"/>
      <c r="H19" s="244"/>
      <c r="I19" s="798" t="s">
        <v>536</v>
      </c>
      <c r="J19" s="798"/>
      <c r="K19" s="530"/>
      <c r="L19" s="530"/>
      <c r="M19" s="531"/>
      <c r="N19" s="530"/>
      <c r="O19" s="530"/>
      <c r="P19" s="530"/>
      <c r="Q19" s="530"/>
      <c r="R19" s="530"/>
      <c r="S19" s="247"/>
      <c r="T19" s="530"/>
      <c r="U19" s="530"/>
      <c r="V19" s="530"/>
      <c r="W19" s="530"/>
      <c r="X19" s="530"/>
      <c r="Y19" s="247"/>
      <c r="Z19" s="247"/>
      <c r="AA19" s="285">
        <f t="shared" si="1"/>
        <v>0</v>
      </c>
    </row>
    <row r="20" spans="1:27" ht="25.5" x14ac:dyDescent="0.25">
      <c r="A20" s="241"/>
      <c r="B20" s="242"/>
      <c r="C20" s="242"/>
      <c r="D20" s="243"/>
      <c r="E20" s="535">
        <v>1</v>
      </c>
      <c r="F20" s="244"/>
      <c r="G20" s="244"/>
      <c r="H20" s="244"/>
      <c r="I20" s="244"/>
      <c r="J20" s="532" t="s">
        <v>537</v>
      </c>
      <c r="K20" s="533">
        <f t="shared" ref="K20:Y20" si="4">SUM(K21:K21)</f>
        <v>8711500</v>
      </c>
      <c r="L20" s="533">
        <f t="shared" si="4"/>
        <v>1742300</v>
      </c>
      <c r="M20" s="533">
        <f t="shared" si="4"/>
        <v>5346700</v>
      </c>
      <c r="N20" s="533">
        <f t="shared" si="4"/>
        <v>0</v>
      </c>
      <c r="O20" s="533">
        <f t="shared" si="4"/>
        <v>0</v>
      </c>
      <c r="P20" s="533">
        <f t="shared" si="4"/>
        <v>0</v>
      </c>
      <c r="Q20" s="533">
        <f t="shared" si="4"/>
        <v>0</v>
      </c>
      <c r="R20" s="533">
        <f t="shared" si="4"/>
        <v>0</v>
      </c>
      <c r="S20" s="247">
        <f t="shared" si="4"/>
        <v>15800500</v>
      </c>
      <c r="T20" s="533">
        <f t="shared" si="4"/>
        <v>0</v>
      </c>
      <c r="U20" s="533">
        <f t="shared" si="4"/>
        <v>0</v>
      </c>
      <c r="V20" s="533">
        <f t="shared" si="4"/>
        <v>0</v>
      </c>
      <c r="W20" s="533">
        <f t="shared" si="4"/>
        <v>0</v>
      </c>
      <c r="X20" s="533"/>
      <c r="Y20" s="247">
        <f t="shared" si="4"/>
        <v>0</v>
      </c>
      <c r="Z20" s="247">
        <f>S20+Y20</f>
        <v>15800500</v>
      </c>
      <c r="AA20" s="285">
        <f t="shared" si="1"/>
        <v>0</v>
      </c>
    </row>
    <row r="21" spans="1:27" x14ac:dyDescent="0.25">
      <c r="A21" s="241"/>
      <c r="B21" s="242"/>
      <c r="C21" s="242"/>
      <c r="D21" s="243"/>
      <c r="E21" s="243"/>
      <c r="F21" s="244"/>
      <c r="G21" s="244"/>
      <c r="H21" s="244"/>
      <c r="I21" s="244"/>
      <c r="J21" s="534" t="s">
        <v>534</v>
      </c>
      <c r="K21" s="530">
        <f>'9melléklet Személyi jell.'!D21</f>
        <v>8711500</v>
      </c>
      <c r="L21" s="530">
        <f>'9melléklet Személyi jell.'!D22</f>
        <v>1742300</v>
      </c>
      <c r="M21" s="531">
        <f>'10mell. Dologi kiadások'!E64</f>
        <v>5346700</v>
      </c>
      <c r="N21" s="530"/>
      <c r="O21" s="530"/>
      <c r="P21" s="530"/>
      <c r="Q21" s="530"/>
      <c r="R21" s="530"/>
      <c r="S21" s="247">
        <f>SUM(K21:R21)</f>
        <v>15800500</v>
      </c>
      <c r="T21" s="530">
        <v>0</v>
      </c>
      <c r="U21" s="530"/>
      <c r="V21" s="530"/>
      <c r="W21" s="530"/>
      <c r="X21" s="530"/>
      <c r="Y21" s="247">
        <f>SUM(T21:W21)</f>
        <v>0</v>
      </c>
      <c r="Z21" s="247">
        <f>S21+Y21</f>
        <v>15800500</v>
      </c>
      <c r="AA21" s="285">
        <f t="shared" si="1"/>
        <v>0</v>
      </c>
    </row>
    <row r="22" spans="1:27" ht="56.25" customHeight="1" x14ac:dyDescent="0.25">
      <c r="A22" s="241"/>
      <c r="B22" s="242"/>
      <c r="C22" s="242"/>
      <c r="D22" s="243"/>
      <c r="E22" s="243">
        <v>2</v>
      </c>
      <c r="F22" s="244"/>
      <c r="G22" s="244"/>
      <c r="H22" s="244"/>
      <c r="I22" s="244"/>
      <c r="J22" s="536" t="s">
        <v>538</v>
      </c>
      <c r="K22" s="537">
        <f>SUM(K23)</f>
        <v>0</v>
      </c>
      <c r="L22" s="537">
        <f t="shared" ref="L22:Z22" si="5">SUM(L23)</f>
        <v>0</v>
      </c>
      <c r="M22" s="537">
        <f t="shared" si="5"/>
        <v>1587500</v>
      </c>
      <c r="N22" s="537">
        <f t="shared" si="5"/>
        <v>0</v>
      </c>
      <c r="O22" s="537">
        <f t="shared" si="5"/>
        <v>0</v>
      </c>
      <c r="P22" s="537">
        <f t="shared" si="5"/>
        <v>0</v>
      </c>
      <c r="Q22" s="537">
        <f t="shared" si="5"/>
        <v>0</v>
      </c>
      <c r="R22" s="537">
        <f t="shared" si="5"/>
        <v>0</v>
      </c>
      <c r="S22" s="247">
        <f t="shared" si="5"/>
        <v>1587500</v>
      </c>
      <c r="T22" s="537">
        <f t="shared" si="5"/>
        <v>0</v>
      </c>
      <c r="U22" s="537">
        <f t="shared" si="5"/>
        <v>0</v>
      </c>
      <c r="V22" s="537">
        <f t="shared" si="5"/>
        <v>0</v>
      </c>
      <c r="W22" s="537">
        <f t="shared" si="5"/>
        <v>0</v>
      </c>
      <c r="X22" s="537"/>
      <c r="Y22" s="247">
        <f t="shared" si="5"/>
        <v>0</v>
      </c>
      <c r="Z22" s="247">
        <f t="shared" si="5"/>
        <v>1587500</v>
      </c>
      <c r="AA22" s="285">
        <f t="shared" si="1"/>
        <v>0</v>
      </c>
    </row>
    <row r="23" spans="1:27" x14ac:dyDescent="0.25">
      <c r="A23" s="241"/>
      <c r="B23" s="242"/>
      <c r="C23" s="242"/>
      <c r="D23" s="243"/>
      <c r="E23" s="243"/>
      <c r="F23" s="244"/>
      <c r="G23" s="244"/>
      <c r="H23" s="244"/>
      <c r="I23" s="244"/>
      <c r="J23" s="534" t="s">
        <v>534</v>
      </c>
      <c r="K23" s="530"/>
      <c r="L23" s="530"/>
      <c r="M23" s="531">
        <f>'10mell. Dologi kiadások'!F64</f>
        <v>1587500</v>
      </c>
      <c r="N23" s="530"/>
      <c r="O23" s="530"/>
      <c r="P23" s="530"/>
      <c r="Q23" s="530"/>
      <c r="R23" s="530"/>
      <c r="S23" s="247">
        <f>SUM(M23:R23)</f>
        <v>1587500</v>
      </c>
      <c r="T23" s="530"/>
      <c r="U23" s="530"/>
      <c r="V23" s="530"/>
      <c r="W23" s="530"/>
      <c r="X23" s="530"/>
      <c r="Y23" s="247">
        <f>SUM(T23:W23)</f>
        <v>0</v>
      </c>
      <c r="Z23" s="247">
        <f>S23+Y23</f>
        <v>1587500</v>
      </c>
      <c r="AA23" s="285">
        <f t="shared" si="1"/>
        <v>0</v>
      </c>
    </row>
    <row r="24" spans="1:27" x14ac:dyDescent="0.25">
      <c r="A24" s="241"/>
      <c r="B24" s="242"/>
      <c r="C24" s="242"/>
      <c r="D24" s="243"/>
      <c r="E24" s="243">
        <v>3</v>
      </c>
      <c r="F24" s="244"/>
      <c r="G24" s="244"/>
      <c r="H24" s="244"/>
      <c r="I24" s="244"/>
      <c r="J24" s="536" t="s">
        <v>539</v>
      </c>
      <c r="K24" s="537">
        <f>K25</f>
        <v>0</v>
      </c>
      <c r="L24" s="537">
        <f t="shared" ref="L24:Z24" si="6">L25</f>
        <v>0</v>
      </c>
      <c r="M24" s="537">
        <f t="shared" si="6"/>
        <v>5056141</v>
      </c>
      <c r="N24" s="537">
        <f t="shared" si="6"/>
        <v>0</v>
      </c>
      <c r="O24" s="537">
        <f t="shared" si="6"/>
        <v>0</v>
      </c>
      <c r="P24" s="537">
        <f t="shared" si="6"/>
        <v>0</v>
      </c>
      <c r="Q24" s="537">
        <f t="shared" si="6"/>
        <v>0</v>
      </c>
      <c r="R24" s="537">
        <f t="shared" si="6"/>
        <v>0</v>
      </c>
      <c r="S24" s="247">
        <f t="shared" si="6"/>
        <v>5056141</v>
      </c>
      <c r="T24" s="537">
        <f t="shared" si="6"/>
        <v>0</v>
      </c>
      <c r="U24" s="537">
        <f t="shared" si="6"/>
        <v>0</v>
      </c>
      <c r="V24" s="537">
        <f t="shared" si="6"/>
        <v>0</v>
      </c>
      <c r="W24" s="537">
        <f t="shared" si="6"/>
        <v>0</v>
      </c>
      <c r="X24" s="537"/>
      <c r="Y24" s="247">
        <f t="shared" si="6"/>
        <v>0</v>
      </c>
      <c r="Z24" s="247">
        <f t="shared" si="6"/>
        <v>5056141</v>
      </c>
      <c r="AA24" s="285">
        <f t="shared" si="1"/>
        <v>0</v>
      </c>
    </row>
    <row r="25" spans="1:27" x14ac:dyDescent="0.25">
      <c r="A25" s="241"/>
      <c r="B25" s="242"/>
      <c r="C25" s="242"/>
      <c r="D25" s="243"/>
      <c r="E25" s="243"/>
      <c r="F25" s="244"/>
      <c r="G25" s="244"/>
      <c r="H25" s="244"/>
      <c r="I25" s="244"/>
      <c r="J25" s="534" t="s">
        <v>534</v>
      </c>
      <c r="K25" s="530"/>
      <c r="L25" s="530"/>
      <c r="M25" s="531">
        <f>'10mell. Dologi kiadások'!G64</f>
        <v>5056141</v>
      </c>
      <c r="N25" s="530"/>
      <c r="O25" s="530"/>
      <c r="P25" s="530"/>
      <c r="Q25" s="530"/>
      <c r="R25" s="530"/>
      <c r="S25" s="247">
        <f>SUM(K25:R25)</f>
        <v>5056141</v>
      </c>
      <c r="T25" s="530"/>
      <c r="U25" s="530"/>
      <c r="V25" s="530"/>
      <c r="W25" s="530"/>
      <c r="X25" s="530"/>
      <c r="Y25" s="247">
        <f>SUM(T25:W25)</f>
        <v>0</v>
      </c>
      <c r="Z25" s="247">
        <f>S25+Y25</f>
        <v>5056141</v>
      </c>
      <c r="AA25" s="285">
        <f t="shared" si="1"/>
        <v>0</v>
      </c>
    </row>
    <row r="26" spans="1:27" ht="30" x14ac:dyDescent="0.25">
      <c r="A26" s="241"/>
      <c r="B26" s="242"/>
      <c r="C26" s="242"/>
      <c r="D26" s="243"/>
      <c r="E26" s="243">
        <v>4</v>
      </c>
      <c r="F26" s="244"/>
      <c r="G26" s="244"/>
      <c r="H26" s="244"/>
      <c r="I26" s="244"/>
      <c r="J26" s="536" t="s">
        <v>540</v>
      </c>
      <c r="K26" s="537">
        <f>K27</f>
        <v>0</v>
      </c>
      <c r="L26" s="537">
        <f t="shared" ref="L26:Z26" si="7">L27</f>
        <v>0</v>
      </c>
      <c r="M26" s="537">
        <f t="shared" si="7"/>
        <v>609600</v>
      </c>
      <c r="N26" s="537">
        <f t="shared" si="7"/>
        <v>0</v>
      </c>
      <c r="O26" s="537">
        <f t="shared" si="7"/>
        <v>0</v>
      </c>
      <c r="P26" s="537">
        <f t="shared" si="7"/>
        <v>0</v>
      </c>
      <c r="Q26" s="537">
        <f t="shared" si="7"/>
        <v>0</v>
      </c>
      <c r="R26" s="537">
        <f t="shared" si="7"/>
        <v>0</v>
      </c>
      <c r="S26" s="247">
        <f t="shared" si="7"/>
        <v>609600</v>
      </c>
      <c r="T26" s="537">
        <f t="shared" si="7"/>
        <v>0</v>
      </c>
      <c r="U26" s="537">
        <f t="shared" si="7"/>
        <v>0</v>
      </c>
      <c r="V26" s="537">
        <f t="shared" si="7"/>
        <v>0</v>
      </c>
      <c r="W26" s="537">
        <f t="shared" si="7"/>
        <v>0</v>
      </c>
      <c r="X26" s="537"/>
      <c r="Y26" s="247">
        <f t="shared" si="7"/>
        <v>0</v>
      </c>
      <c r="Z26" s="247">
        <f t="shared" si="7"/>
        <v>609600</v>
      </c>
      <c r="AA26" s="285">
        <f t="shared" si="1"/>
        <v>0</v>
      </c>
    </row>
    <row r="27" spans="1:27" x14ac:dyDescent="0.25">
      <c r="A27" s="241"/>
      <c r="B27" s="242"/>
      <c r="C27" s="242"/>
      <c r="D27" s="243"/>
      <c r="E27" s="243"/>
      <c r="F27" s="244"/>
      <c r="G27" s="244"/>
      <c r="H27" s="244"/>
      <c r="I27" s="244"/>
      <c r="J27" s="534" t="s">
        <v>534</v>
      </c>
      <c r="K27" s="530"/>
      <c r="L27" s="530"/>
      <c r="M27" s="531">
        <f>'10mell. Dologi kiadások'!H64</f>
        <v>609600</v>
      </c>
      <c r="N27" s="530"/>
      <c r="O27" s="530"/>
      <c r="P27" s="530"/>
      <c r="Q27" s="530"/>
      <c r="R27" s="530"/>
      <c r="S27" s="247">
        <f>SUM(K27:R27)</f>
        <v>609600</v>
      </c>
      <c r="T27" s="530"/>
      <c r="U27" s="530"/>
      <c r="V27" s="530"/>
      <c r="W27" s="530"/>
      <c r="X27" s="530"/>
      <c r="Y27" s="247">
        <f>SUM(T27:W27)</f>
        <v>0</v>
      </c>
      <c r="Z27" s="247">
        <f>S27+Y27</f>
        <v>609600</v>
      </c>
      <c r="AA27" s="285">
        <f t="shared" si="1"/>
        <v>0</v>
      </c>
    </row>
    <row r="28" spans="1:27" x14ac:dyDescent="0.25">
      <c r="A28" s="241"/>
      <c r="B28" s="242"/>
      <c r="C28" s="242"/>
      <c r="D28" s="243"/>
      <c r="E28" s="243">
        <v>5</v>
      </c>
      <c r="F28" s="244"/>
      <c r="G28" s="244"/>
      <c r="H28" s="244"/>
      <c r="I28" s="244"/>
      <c r="J28" s="536" t="s">
        <v>541</v>
      </c>
      <c r="K28" s="537">
        <f>K29</f>
        <v>0</v>
      </c>
      <c r="L28" s="537">
        <f t="shared" ref="L28:Z32" si="8">L29</f>
        <v>0</v>
      </c>
      <c r="M28" s="537">
        <f t="shared" si="8"/>
        <v>260000</v>
      </c>
      <c r="N28" s="537">
        <f t="shared" si="8"/>
        <v>0</v>
      </c>
      <c r="O28" s="537">
        <f t="shared" si="8"/>
        <v>0</v>
      </c>
      <c r="P28" s="537">
        <f t="shared" si="8"/>
        <v>0</v>
      </c>
      <c r="Q28" s="537">
        <f t="shared" si="8"/>
        <v>0</v>
      </c>
      <c r="R28" s="537">
        <f t="shared" si="8"/>
        <v>0</v>
      </c>
      <c r="S28" s="247">
        <f t="shared" si="8"/>
        <v>260000</v>
      </c>
      <c r="T28" s="537">
        <f t="shared" si="8"/>
        <v>0</v>
      </c>
      <c r="U28" s="537">
        <f t="shared" si="8"/>
        <v>0</v>
      </c>
      <c r="V28" s="537">
        <f t="shared" si="8"/>
        <v>0</v>
      </c>
      <c r="W28" s="537">
        <f t="shared" si="8"/>
        <v>0</v>
      </c>
      <c r="X28" s="537"/>
      <c r="Y28" s="247">
        <f t="shared" si="8"/>
        <v>0</v>
      </c>
      <c r="Z28" s="247">
        <f t="shared" si="8"/>
        <v>260000</v>
      </c>
      <c r="AA28" s="285">
        <f t="shared" si="1"/>
        <v>0</v>
      </c>
    </row>
    <row r="29" spans="1:27" x14ac:dyDescent="0.25">
      <c r="A29" s="241"/>
      <c r="B29" s="242"/>
      <c r="C29" s="242"/>
      <c r="D29" s="243"/>
      <c r="E29" s="243"/>
      <c r="F29" s="244"/>
      <c r="G29" s="244"/>
      <c r="H29" s="244"/>
      <c r="I29" s="244"/>
      <c r="J29" s="534" t="s">
        <v>534</v>
      </c>
      <c r="K29" s="530"/>
      <c r="L29" s="530"/>
      <c r="M29" s="531">
        <f>'10mell. Dologi kiadások'!I64</f>
        <v>260000</v>
      </c>
      <c r="N29" s="530"/>
      <c r="O29" s="530"/>
      <c r="P29" s="530"/>
      <c r="Q29" s="530"/>
      <c r="R29" s="530"/>
      <c r="S29" s="247">
        <f>SUM(K29:R29)</f>
        <v>260000</v>
      </c>
      <c r="T29" s="530"/>
      <c r="U29" s="530"/>
      <c r="V29" s="530"/>
      <c r="W29" s="530"/>
      <c r="X29" s="530"/>
      <c r="Y29" s="247">
        <f>SUM(T29:W29)</f>
        <v>0</v>
      </c>
      <c r="Z29" s="247">
        <f>S29+Y29</f>
        <v>260000</v>
      </c>
      <c r="AA29" s="285">
        <f t="shared" si="1"/>
        <v>0</v>
      </c>
    </row>
    <row r="30" spans="1:27" s="88" customFormat="1" ht="45" x14ac:dyDescent="0.25">
      <c r="A30" s="241"/>
      <c r="B30" s="242"/>
      <c r="C30" s="242"/>
      <c r="D30" s="243"/>
      <c r="E30" s="243">
        <v>6</v>
      </c>
      <c r="F30" s="244"/>
      <c r="G30" s="244"/>
      <c r="H30" s="244"/>
      <c r="I30" s="244"/>
      <c r="J30" s="536" t="s">
        <v>820</v>
      </c>
      <c r="K30" s="537">
        <f>SUM(K31)</f>
        <v>0</v>
      </c>
      <c r="L30" s="537">
        <f t="shared" ref="L30:R30" si="9">SUM(L31)</f>
        <v>0</v>
      </c>
      <c r="M30" s="537">
        <f t="shared" si="9"/>
        <v>120000</v>
      </c>
      <c r="N30" s="537">
        <f t="shared" si="9"/>
        <v>0</v>
      </c>
      <c r="O30" s="537">
        <f t="shared" si="9"/>
        <v>0</v>
      </c>
      <c r="P30" s="537">
        <f t="shared" si="9"/>
        <v>0</v>
      </c>
      <c r="Q30" s="537">
        <f t="shared" si="9"/>
        <v>0</v>
      </c>
      <c r="R30" s="537">
        <f t="shared" si="9"/>
        <v>0</v>
      </c>
      <c r="S30" s="247">
        <f t="shared" si="8"/>
        <v>120000</v>
      </c>
      <c r="T30" s="537">
        <f t="shared" si="8"/>
        <v>0</v>
      </c>
      <c r="U30" s="537">
        <f t="shared" si="8"/>
        <v>0</v>
      </c>
      <c r="V30" s="537">
        <f t="shared" si="8"/>
        <v>0</v>
      </c>
      <c r="W30" s="537">
        <f t="shared" si="8"/>
        <v>0</v>
      </c>
      <c r="X30" s="537"/>
      <c r="Y30" s="247">
        <f t="shared" si="8"/>
        <v>0</v>
      </c>
      <c r="Z30" s="247">
        <f t="shared" si="8"/>
        <v>120000</v>
      </c>
      <c r="AA30" s="285">
        <f t="shared" si="1"/>
        <v>0</v>
      </c>
    </row>
    <row r="31" spans="1:27" x14ac:dyDescent="0.25">
      <c r="A31" s="241"/>
      <c r="B31" s="242"/>
      <c r="C31" s="242"/>
      <c r="D31" s="243"/>
      <c r="E31" s="243"/>
      <c r="F31" s="244"/>
      <c r="G31" s="244"/>
      <c r="H31" s="244"/>
      <c r="I31" s="244"/>
      <c r="J31" s="534" t="s">
        <v>534</v>
      </c>
      <c r="K31" s="530"/>
      <c r="L31" s="530"/>
      <c r="M31" s="531">
        <f>'10mell. Dologi kiadások'!J64</f>
        <v>120000</v>
      </c>
      <c r="N31" s="530"/>
      <c r="O31" s="530"/>
      <c r="P31" s="530"/>
      <c r="Q31" s="530"/>
      <c r="R31" s="530"/>
      <c r="S31" s="247">
        <f>SUM(K31:R31)</f>
        <v>120000</v>
      </c>
      <c r="T31" s="530"/>
      <c r="U31" s="530"/>
      <c r="V31" s="530"/>
      <c r="W31" s="530"/>
      <c r="X31" s="530"/>
      <c r="Y31" s="247">
        <f>SUM(T31:W31)</f>
        <v>0</v>
      </c>
      <c r="Z31" s="247">
        <f>S31+Y31</f>
        <v>120000</v>
      </c>
      <c r="AA31" s="285">
        <f t="shared" si="1"/>
        <v>0</v>
      </c>
    </row>
    <row r="32" spans="1:27" s="88" customFormat="1" x14ac:dyDescent="0.25">
      <c r="A32" s="241"/>
      <c r="B32" s="242"/>
      <c r="C32" s="242"/>
      <c r="D32" s="243"/>
      <c r="E32" s="243">
        <v>7</v>
      </c>
      <c r="F32" s="244"/>
      <c r="G32" s="244"/>
      <c r="H32" s="244"/>
      <c r="I32" s="244"/>
      <c r="J32" s="536"/>
      <c r="K32" s="537">
        <f>SUM(K33)</f>
        <v>0</v>
      </c>
      <c r="L32" s="537">
        <f t="shared" ref="L32" si="10">SUM(L33)</f>
        <v>0</v>
      </c>
      <c r="M32" s="537">
        <f t="shared" ref="M32" si="11">SUM(M33)</f>
        <v>0</v>
      </c>
      <c r="N32" s="537">
        <f t="shared" ref="N32" si="12">SUM(N33)</f>
        <v>0</v>
      </c>
      <c r="O32" s="537">
        <f t="shared" ref="O32" si="13">SUM(O33)</f>
        <v>0</v>
      </c>
      <c r="P32" s="537">
        <f t="shared" ref="P32" si="14">SUM(P33)</f>
        <v>0</v>
      </c>
      <c r="Q32" s="537">
        <f t="shared" ref="Q32" si="15">SUM(Q33)</f>
        <v>0</v>
      </c>
      <c r="R32" s="537">
        <f t="shared" ref="R32" si="16">SUM(R33)</f>
        <v>0</v>
      </c>
      <c r="S32" s="247">
        <f t="shared" si="8"/>
        <v>0</v>
      </c>
      <c r="T32" s="537">
        <f t="shared" si="8"/>
        <v>0</v>
      </c>
      <c r="U32" s="537">
        <f t="shared" si="8"/>
        <v>0</v>
      </c>
      <c r="V32" s="537">
        <f t="shared" si="8"/>
        <v>0</v>
      </c>
      <c r="W32" s="537">
        <f t="shared" si="8"/>
        <v>0</v>
      </c>
      <c r="X32" s="537"/>
      <c r="Y32" s="247">
        <f t="shared" si="8"/>
        <v>0</v>
      </c>
      <c r="Z32" s="247">
        <f t="shared" si="8"/>
        <v>0</v>
      </c>
      <c r="AA32" s="285">
        <f t="shared" si="1"/>
        <v>0</v>
      </c>
    </row>
    <row r="33" spans="1:27" x14ac:dyDescent="0.25">
      <c r="A33" s="241"/>
      <c r="B33" s="242"/>
      <c r="C33" s="242"/>
      <c r="D33" s="243"/>
      <c r="E33" s="243"/>
      <c r="F33" s="244"/>
      <c r="G33" s="244"/>
      <c r="H33" s="244"/>
      <c r="I33" s="244"/>
      <c r="J33" s="534" t="s">
        <v>534</v>
      </c>
      <c r="K33" s="530"/>
      <c r="L33" s="530"/>
      <c r="M33" s="531">
        <f>'10mell. Dologi kiadások'!K64</f>
        <v>0</v>
      </c>
      <c r="N33" s="530"/>
      <c r="O33" s="530"/>
      <c r="P33" s="530"/>
      <c r="Q33" s="530"/>
      <c r="R33" s="530"/>
      <c r="S33" s="247">
        <f>SUM(K33:R33)</f>
        <v>0</v>
      </c>
      <c r="T33" s="530"/>
      <c r="U33" s="530"/>
      <c r="V33" s="530"/>
      <c r="W33" s="530"/>
      <c r="X33" s="530"/>
      <c r="Y33" s="247">
        <f>SUM(T33:W33)</f>
        <v>0</v>
      </c>
      <c r="Z33" s="247">
        <f>S33+Y33</f>
        <v>0</v>
      </c>
      <c r="AA33" s="285">
        <f t="shared" si="1"/>
        <v>0</v>
      </c>
    </row>
    <row r="34" spans="1:27" s="88" customFormat="1" x14ac:dyDescent="0.25">
      <c r="A34" s="241"/>
      <c r="B34" s="242"/>
      <c r="C34" s="242"/>
      <c r="D34" s="243"/>
      <c r="E34" s="243">
        <v>6</v>
      </c>
      <c r="F34" s="244"/>
      <c r="G34" s="244"/>
      <c r="H34" s="244"/>
      <c r="I34" s="244"/>
      <c r="J34" s="536"/>
      <c r="K34" s="537">
        <f>K35</f>
        <v>0</v>
      </c>
      <c r="L34" s="537">
        <f t="shared" ref="L34:Y34" si="17">L35</f>
        <v>0</v>
      </c>
      <c r="M34" s="537">
        <f t="shared" si="17"/>
        <v>0</v>
      </c>
      <c r="N34" s="537">
        <f t="shared" si="17"/>
        <v>0</v>
      </c>
      <c r="O34" s="537">
        <f t="shared" si="17"/>
        <v>0</v>
      </c>
      <c r="P34" s="537">
        <f t="shared" si="17"/>
        <v>0</v>
      </c>
      <c r="Q34" s="537">
        <f t="shared" si="17"/>
        <v>0</v>
      </c>
      <c r="R34" s="537">
        <f t="shared" si="17"/>
        <v>0</v>
      </c>
      <c r="S34" s="537">
        <f t="shared" si="17"/>
        <v>0</v>
      </c>
      <c r="T34" s="537">
        <f t="shared" si="17"/>
        <v>0</v>
      </c>
      <c r="U34" s="537">
        <f t="shared" si="17"/>
        <v>0</v>
      </c>
      <c r="V34" s="537">
        <f t="shared" si="17"/>
        <v>0</v>
      </c>
      <c r="W34" s="537">
        <f t="shared" si="17"/>
        <v>0</v>
      </c>
      <c r="X34" s="537"/>
      <c r="Y34" s="537">
        <f t="shared" si="17"/>
        <v>0</v>
      </c>
      <c r="Z34" s="247">
        <f t="shared" ref="Z34:Z35" si="18">S34+Y34</f>
        <v>0</v>
      </c>
      <c r="AA34" s="285">
        <f t="shared" si="1"/>
        <v>0</v>
      </c>
    </row>
    <row r="35" spans="1:27" x14ac:dyDescent="0.25">
      <c r="A35" s="241"/>
      <c r="B35" s="242"/>
      <c r="C35" s="242"/>
      <c r="D35" s="243"/>
      <c r="E35" s="243"/>
      <c r="F35" s="244"/>
      <c r="G35" s="244"/>
      <c r="H35" s="244"/>
      <c r="I35" s="244"/>
      <c r="J35" s="534" t="s">
        <v>534</v>
      </c>
      <c r="K35" s="530"/>
      <c r="L35" s="530"/>
      <c r="M35" s="531">
        <f>'10mell. Dologi kiadások'!L64</f>
        <v>0</v>
      </c>
      <c r="N35" s="530"/>
      <c r="O35" s="530"/>
      <c r="P35" s="530"/>
      <c r="Q35" s="530"/>
      <c r="R35" s="530"/>
      <c r="S35" s="247">
        <f>SUM(K35:R35)</f>
        <v>0</v>
      </c>
      <c r="T35" s="530"/>
      <c r="U35" s="530"/>
      <c r="V35" s="530"/>
      <c r="W35" s="530"/>
      <c r="X35" s="530"/>
      <c r="Y35" s="247"/>
      <c r="Z35" s="247">
        <f t="shared" si="18"/>
        <v>0</v>
      </c>
      <c r="AA35" s="285">
        <f t="shared" si="1"/>
        <v>0</v>
      </c>
    </row>
    <row r="36" spans="1:27" x14ac:dyDescent="0.25">
      <c r="A36" s="241"/>
      <c r="B36" s="242"/>
      <c r="C36" s="242"/>
      <c r="D36" s="243"/>
      <c r="E36" s="243"/>
      <c r="F36" s="244"/>
      <c r="G36" s="244"/>
      <c r="H36" s="244"/>
      <c r="I36" s="799" t="s">
        <v>542</v>
      </c>
      <c r="J36" s="799"/>
      <c r="K36" s="538">
        <f>SUM(K37)</f>
        <v>8711500</v>
      </c>
      <c r="L36" s="538">
        <f t="shared" ref="L36:Z36" si="19">SUM(L37)</f>
        <v>1742300</v>
      </c>
      <c r="M36" s="538">
        <f t="shared" si="19"/>
        <v>12979941</v>
      </c>
      <c r="N36" s="538">
        <f t="shared" si="19"/>
        <v>0</v>
      </c>
      <c r="O36" s="538">
        <f t="shared" si="19"/>
        <v>0</v>
      </c>
      <c r="P36" s="538">
        <f t="shared" si="19"/>
        <v>0</v>
      </c>
      <c r="Q36" s="538">
        <f t="shared" si="19"/>
        <v>0</v>
      </c>
      <c r="R36" s="538">
        <f t="shared" si="19"/>
        <v>0</v>
      </c>
      <c r="S36" s="538">
        <f t="shared" si="19"/>
        <v>23433741</v>
      </c>
      <c r="T36" s="538">
        <f t="shared" si="19"/>
        <v>0</v>
      </c>
      <c r="U36" s="538">
        <f>SUM(U37)</f>
        <v>0</v>
      </c>
      <c r="V36" s="538">
        <f t="shared" si="19"/>
        <v>0</v>
      </c>
      <c r="W36" s="538">
        <f t="shared" si="19"/>
        <v>0</v>
      </c>
      <c r="X36" s="538"/>
      <c r="Y36" s="538">
        <f t="shared" si="19"/>
        <v>0</v>
      </c>
      <c r="Z36" s="538">
        <f t="shared" si="19"/>
        <v>23433741</v>
      </c>
      <c r="AA36" s="285">
        <f t="shared" si="1"/>
        <v>0</v>
      </c>
    </row>
    <row r="37" spans="1:27" x14ac:dyDescent="0.25">
      <c r="A37" s="241"/>
      <c r="B37" s="242"/>
      <c r="C37" s="242"/>
      <c r="D37" s="243"/>
      <c r="E37" s="243"/>
      <c r="F37" s="244"/>
      <c r="G37" s="244"/>
      <c r="H37" s="244"/>
      <c r="I37" s="245"/>
      <c r="J37" s="539" t="s">
        <v>534</v>
      </c>
      <c r="K37" s="538">
        <f>SUM(K21,K23,K25,K27,K29,K31,K33,K35)</f>
        <v>8711500</v>
      </c>
      <c r="L37" s="538">
        <f t="shared" ref="L37:Z37" si="20">SUM(L21,L23,L25,L27,L29,L31,L33,L35)</f>
        <v>1742300</v>
      </c>
      <c r="M37" s="538">
        <f t="shared" si="20"/>
        <v>12979941</v>
      </c>
      <c r="N37" s="538">
        <f t="shared" si="20"/>
        <v>0</v>
      </c>
      <c r="O37" s="538">
        <f t="shared" si="20"/>
        <v>0</v>
      </c>
      <c r="P37" s="538">
        <f t="shared" si="20"/>
        <v>0</v>
      </c>
      <c r="Q37" s="538">
        <f t="shared" si="20"/>
        <v>0</v>
      </c>
      <c r="R37" s="538">
        <f t="shared" si="20"/>
        <v>0</v>
      </c>
      <c r="S37" s="538">
        <f t="shared" si="20"/>
        <v>23433741</v>
      </c>
      <c r="T37" s="538">
        <f t="shared" si="20"/>
        <v>0</v>
      </c>
      <c r="U37" s="538">
        <f t="shared" si="20"/>
        <v>0</v>
      </c>
      <c r="V37" s="538">
        <f t="shared" si="20"/>
        <v>0</v>
      </c>
      <c r="W37" s="538">
        <f t="shared" si="20"/>
        <v>0</v>
      </c>
      <c r="X37" s="538"/>
      <c r="Y37" s="538">
        <f t="shared" si="20"/>
        <v>0</v>
      </c>
      <c r="Z37" s="538">
        <f t="shared" si="20"/>
        <v>23433741</v>
      </c>
      <c r="AA37" s="285">
        <f t="shared" si="1"/>
        <v>0</v>
      </c>
    </row>
    <row r="38" spans="1:27" x14ac:dyDescent="0.25">
      <c r="A38" s="241"/>
      <c r="B38" s="242"/>
      <c r="C38" s="242"/>
      <c r="D38" s="243"/>
      <c r="E38" s="243"/>
      <c r="F38" s="244"/>
      <c r="G38" s="244"/>
      <c r="H38" s="244"/>
      <c r="I38" s="244"/>
      <c r="J38" s="534"/>
      <c r="K38" s="530"/>
      <c r="L38" s="530"/>
      <c r="M38" s="531"/>
      <c r="N38" s="530"/>
      <c r="O38" s="530"/>
      <c r="P38" s="530"/>
      <c r="Q38" s="530"/>
      <c r="R38" s="530"/>
      <c r="S38" s="247"/>
      <c r="T38" s="530"/>
      <c r="U38" s="530"/>
      <c r="V38" s="530"/>
      <c r="W38" s="530"/>
      <c r="X38" s="530"/>
      <c r="Y38" s="247"/>
      <c r="Z38" s="247"/>
      <c r="AA38" s="285">
        <f t="shared" si="1"/>
        <v>0</v>
      </c>
    </row>
    <row r="39" spans="1:27" x14ac:dyDescent="0.25">
      <c r="A39" s="241"/>
      <c r="B39" s="242"/>
      <c r="C39" s="242"/>
      <c r="D39" s="243">
        <v>3</v>
      </c>
      <c r="E39" s="243"/>
      <c r="F39" s="244"/>
      <c r="G39" s="244"/>
      <c r="H39" s="244"/>
      <c r="I39" s="798" t="s">
        <v>438</v>
      </c>
      <c r="J39" s="798"/>
      <c r="K39" s="530"/>
      <c r="L39" s="530"/>
      <c r="M39" s="531"/>
      <c r="N39" s="530"/>
      <c r="O39" s="530"/>
      <c r="P39" s="530"/>
      <c r="Q39" s="530"/>
      <c r="R39" s="530"/>
      <c r="S39" s="247"/>
      <c r="T39" s="530"/>
      <c r="U39" s="530"/>
      <c r="V39" s="530"/>
      <c r="W39" s="530"/>
      <c r="X39" s="530"/>
      <c r="Y39" s="247"/>
      <c r="Z39" s="247"/>
      <c r="AA39" s="285">
        <f t="shared" si="1"/>
        <v>0</v>
      </c>
    </row>
    <row r="40" spans="1:27" ht="43.5" customHeight="1" x14ac:dyDescent="0.25">
      <c r="A40" s="241"/>
      <c r="B40" s="242"/>
      <c r="C40" s="242"/>
      <c r="D40" s="243"/>
      <c r="E40" s="535" t="s">
        <v>484</v>
      </c>
      <c r="F40" s="244"/>
      <c r="G40" s="244"/>
      <c r="H40" s="244"/>
      <c r="I40" s="244"/>
      <c r="J40" s="532" t="s">
        <v>545</v>
      </c>
      <c r="K40" s="533">
        <f>SUM(K41:K41)</f>
        <v>0</v>
      </c>
      <c r="L40" s="533">
        <f>SUM(L41:L41)</f>
        <v>0</v>
      </c>
      <c r="M40" s="533">
        <f>SUM(M41:M41)</f>
        <v>0</v>
      </c>
      <c r="N40" s="533">
        <f>SUM(N41:N41)</f>
        <v>0</v>
      </c>
      <c r="O40" s="533"/>
      <c r="P40" s="533">
        <f t="shared" ref="P40:Y42" si="21">SUM(P41:P41)</f>
        <v>0</v>
      </c>
      <c r="Q40" s="533">
        <f t="shared" si="21"/>
        <v>0</v>
      </c>
      <c r="R40" s="533">
        <f t="shared" si="21"/>
        <v>0</v>
      </c>
      <c r="S40" s="247">
        <f t="shared" si="21"/>
        <v>0</v>
      </c>
      <c r="T40" s="533">
        <f t="shared" si="21"/>
        <v>0</v>
      </c>
      <c r="U40" s="533">
        <f t="shared" si="21"/>
        <v>0</v>
      </c>
      <c r="V40" s="533">
        <f t="shared" si="21"/>
        <v>0</v>
      </c>
      <c r="W40" s="533">
        <f t="shared" si="21"/>
        <v>0</v>
      </c>
      <c r="X40" s="533"/>
      <c r="Y40" s="247">
        <f t="shared" si="21"/>
        <v>0</v>
      </c>
      <c r="Z40" s="247">
        <f>S40+Y40</f>
        <v>0</v>
      </c>
      <c r="AA40" s="285">
        <f t="shared" si="1"/>
        <v>0</v>
      </c>
    </row>
    <row r="41" spans="1:27" ht="48.75" customHeight="1" x14ac:dyDescent="0.25">
      <c r="A41" s="241"/>
      <c r="B41" s="242"/>
      <c r="C41" s="242"/>
      <c r="D41" s="243"/>
      <c r="E41" s="243"/>
      <c r="F41" s="244"/>
      <c r="G41" s="244"/>
      <c r="H41" s="244"/>
      <c r="I41" s="244"/>
      <c r="J41" s="534" t="s">
        <v>543</v>
      </c>
      <c r="K41" s="530"/>
      <c r="L41" s="530"/>
      <c r="M41" s="531">
        <f>'10mell. Dologi kiadások'!N64</f>
        <v>0</v>
      </c>
      <c r="N41" s="530"/>
      <c r="O41" s="530"/>
      <c r="P41" s="530"/>
      <c r="Q41" s="530"/>
      <c r="R41" s="530"/>
      <c r="S41" s="247">
        <f>SUM(K41:R41)</f>
        <v>0</v>
      </c>
      <c r="T41" s="530"/>
      <c r="U41" s="530"/>
      <c r="V41" s="530"/>
      <c r="W41" s="530"/>
      <c r="X41" s="530"/>
      <c r="Y41" s="247">
        <f>SUM(T41:W41)</f>
        <v>0</v>
      </c>
      <c r="Z41" s="247">
        <f>S41+Y41</f>
        <v>0</v>
      </c>
      <c r="AA41" s="285">
        <f t="shared" si="1"/>
        <v>0</v>
      </c>
    </row>
    <row r="42" spans="1:27" s="88" customFormat="1" ht="57.75" customHeight="1" x14ac:dyDescent="0.25">
      <c r="A42" s="241"/>
      <c r="B42" s="242"/>
      <c r="C42" s="242"/>
      <c r="D42" s="243"/>
      <c r="E42" s="243" t="s">
        <v>488</v>
      </c>
      <c r="F42" s="244"/>
      <c r="G42" s="244"/>
      <c r="H42" s="244"/>
      <c r="I42" s="244"/>
      <c r="J42" s="536" t="s">
        <v>544</v>
      </c>
      <c r="K42" s="533">
        <f>SUM(K43:K43)</f>
        <v>0</v>
      </c>
      <c r="L42" s="533">
        <f>SUM(L43:L43)</f>
        <v>0</v>
      </c>
      <c r="M42" s="533">
        <f>SUM(M43:M43)</f>
        <v>0</v>
      </c>
      <c r="N42" s="533">
        <f>SUM(N43:N43)</f>
        <v>0</v>
      </c>
      <c r="O42" s="533"/>
      <c r="P42" s="533">
        <f t="shared" si="21"/>
        <v>0</v>
      </c>
      <c r="Q42" s="533">
        <f t="shared" si="21"/>
        <v>0</v>
      </c>
      <c r="R42" s="533">
        <f t="shared" si="21"/>
        <v>0</v>
      </c>
      <c r="S42" s="247">
        <f t="shared" ref="S42:S43" si="22">SUM(K42:R42)</f>
        <v>0</v>
      </c>
      <c r="T42" s="533">
        <f t="shared" si="21"/>
        <v>0</v>
      </c>
      <c r="U42" s="533">
        <f t="shared" si="21"/>
        <v>0</v>
      </c>
      <c r="V42" s="533">
        <f t="shared" si="21"/>
        <v>0</v>
      </c>
      <c r="W42" s="533">
        <f t="shared" si="21"/>
        <v>0</v>
      </c>
      <c r="X42" s="533"/>
      <c r="Y42" s="247">
        <f t="shared" ref="Y42:Y43" si="23">SUM(T42:W42)</f>
        <v>0</v>
      </c>
      <c r="Z42" s="247">
        <f t="shared" ref="Z42:Z43" si="24">S42+Y42</f>
        <v>0</v>
      </c>
      <c r="AA42" s="285">
        <f t="shared" si="1"/>
        <v>0</v>
      </c>
    </row>
    <row r="43" spans="1:27" s="214" customFormat="1" ht="48.75" customHeight="1" x14ac:dyDescent="0.25">
      <c r="A43" s="540"/>
      <c r="B43" s="541"/>
      <c r="C43" s="541"/>
      <c r="D43" s="542"/>
      <c r="E43" s="542"/>
      <c r="F43" s="543"/>
      <c r="G43" s="543"/>
      <c r="H43" s="543"/>
      <c r="I43" s="543"/>
      <c r="J43" s="534" t="s">
        <v>543</v>
      </c>
      <c r="K43" s="530"/>
      <c r="L43" s="530"/>
      <c r="M43" s="531">
        <f>'10mell. Dologi kiadások'!O64</f>
        <v>0</v>
      </c>
      <c r="N43" s="530"/>
      <c r="O43" s="530"/>
      <c r="P43" s="530"/>
      <c r="Q43" s="530"/>
      <c r="R43" s="530"/>
      <c r="S43" s="250">
        <f t="shared" si="22"/>
        <v>0</v>
      </c>
      <c r="T43" s="530"/>
      <c r="U43" s="530"/>
      <c r="V43" s="530"/>
      <c r="W43" s="530"/>
      <c r="X43" s="530"/>
      <c r="Y43" s="250">
        <f t="shared" si="23"/>
        <v>0</v>
      </c>
      <c r="Z43" s="250">
        <f t="shared" si="24"/>
        <v>0</v>
      </c>
      <c r="AA43" s="285">
        <f t="shared" si="1"/>
        <v>0</v>
      </c>
    </row>
    <row r="44" spans="1:27" x14ac:dyDescent="0.25">
      <c r="A44" s="241"/>
      <c r="B44" s="242"/>
      <c r="C44" s="242"/>
      <c r="D44" s="243"/>
      <c r="E44" s="243"/>
      <c r="F44" s="244"/>
      <c r="G44" s="244"/>
      <c r="H44" s="244"/>
      <c r="I44" s="799" t="s">
        <v>546</v>
      </c>
      <c r="J44" s="799"/>
      <c r="K44" s="247">
        <f>K45</f>
        <v>0</v>
      </c>
      <c r="L44" s="247">
        <f t="shared" ref="L44:Z44" si="25">L45</f>
        <v>0</v>
      </c>
      <c r="M44" s="247">
        <f t="shared" si="25"/>
        <v>0</v>
      </c>
      <c r="N44" s="247">
        <f t="shared" si="25"/>
        <v>0</v>
      </c>
      <c r="O44" s="247">
        <f t="shared" si="25"/>
        <v>0</v>
      </c>
      <c r="P44" s="247">
        <f t="shared" si="25"/>
        <v>0</v>
      </c>
      <c r="Q44" s="247">
        <f t="shared" si="25"/>
        <v>0</v>
      </c>
      <c r="R44" s="247">
        <f t="shared" si="25"/>
        <v>0</v>
      </c>
      <c r="S44" s="247">
        <f t="shared" si="25"/>
        <v>0</v>
      </c>
      <c r="T44" s="247">
        <f t="shared" si="25"/>
        <v>0</v>
      </c>
      <c r="U44" s="247">
        <f t="shared" si="25"/>
        <v>0</v>
      </c>
      <c r="V44" s="247">
        <f t="shared" si="25"/>
        <v>0</v>
      </c>
      <c r="W44" s="247">
        <f t="shared" si="25"/>
        <v>0</v>
      </c>
      <c r="X44" s="247"/>
      <c r="Y44" s="247">
        <f t="shared" si="25"/>
        <v>0</v>
      </c>
      <c r="Z44" s="247">
        <f t="shared" si="25"/>
        <v>0</v>
      </c>
      <c r="AA44" s="285">
        <f t="shared" si="1"/>
        <v>0</v>
      </c>
    </row>
    <row r="45" spans="1:27" ht="36" customHeight="1" x14ac:dyDescent="0.25">
      <c r="A45" s="241"/>
      <c r="B45" s="242"/>
      <c r="C45" s="242"/>
      <c r="D45" s="243"/>
      <c r="E45" s="243"/>
      <c r="F45" s="244"/>
      <c r="G45" s="244"/>
      <c r="H45" s="244"/>
      <c r="I45" s="245"/>
      <c r="J45" s="246" t="s">
        <v>543</v>
      </c>
      <c r="K45" s="247">
        <f>SUM(K41,K43,)</f>
        <v>0</v>
      </c>
      <c r="L45" s="247">
        <f t="shared" ref="L45:R45" si="26">SUM(L41,L43,)</f>
        <v>0</v>
      </c>
      <c r="M45" s="247">
        <f t="shared" si="26"/>
        <v>0</v>
      </c>
      <c r="N45" s="247">
        <f t="shared" si="26"/>
        <v>0</v>
      </c>
      <c r="O45" s="247">
        <f t="shared" si="26"/>
        <v>0</v>
      </c>
      <c r="P45" s="247">
        <f t="shared" si="26"/>
        <v>0</v>
      </c>
      <c r="Q45" s="247">
        <f t="shared" si="26"/>
        <v>0</v>
      </c>
      <c r="R45" s="247">
        <f t="shared" si="26"/>
        <v>0</v>
      </c>
      <c r="S45" s="247">
        <f>SUM(S41,S43,)</f>
        <v>0</v>
      </c>
      <c r="T45" s="247">
        <f>SUM(T41,T43)</f>
        <v>0</v>
      </c>
      <c r="U45" s="247">
        <f t="shared" ref="U45:W45" si="27">SUM(U41,U43)</f>
        <v>0</v>
      </c>
      <c r="V45" s="247">
        <f t="shared" si="27"/>
        <v>0</v>
      </c>
      <c r="W45" s="247">
        <f t="shared" si="27"/>
        <v>0</v>
      </c>
      <c r="X45" s="247"/>
      <c r="Y45" s="247">
        <f>SUM(Y41,Y43,)</f>
        <v>0</v>
      </c>
      <c r="Z45" s="247">
        <f>SUM(Z41,Z43,)</f>
        <v>0</v>
      </c>
      <c r="AA45" s="285">
        <f t="shared" si="1"/>
        <v>0</v>
      </c>
    </row>
    <row r="46" spans="1:27" x14ac:dyDescent="0.25">
      <c r="A46" s="241"/>
      <c r="B46" s="242"/>
      <c r="C46" s="242"/>
      <c r="D46" s="243">
        <v>4</v>
      </c>
      <c r="E46" s="243"/>
      <c r="F46" s="244"/>
      <c r="G46" s="244"/>
      <c r="H46" s="244"/>
      <c r="I46" s="798" t="s">
        <v>440</v>
      </c>
      <c r="J46" s="798"/>
      <c r="K46" s="530"/>
      <c r="L46" s="530"/>
      <c r="M46" s="531"/>
      <c r="N46" s="530"/>
      <c r="O46" s="530"/>
      <c r="P46" s="530"/>
      <c r="Q46" s="530"/>
      <c r="R46" s="530"/>
      <c r="S46" s="247"/>
      <c r="T46" s="530"/>
      <c r="U46" s="530"/>
      <c r="V46" s="530"/>
      <c r="W46" s="530"/>
      <c r="X46" s="530"/>
      <c r="Y46" s="247"/>
      <c r="Z46" s="247"/>
      <c r="AA46" s="285">
        <f t="shared" si="1"/>
        <v>0</v>
      </c>
    </row>
    <row r="47" spans="1:27" ht="23.25" customHeight="1" x14ac:dyDescent="0.25">
      <c r="A47" s="241"/>
      <c r="B47" s="242"/>
      <c r="C47" s="242"/>
      <c r="D47" s="243"/>
      <c r="E47" s="243">
        <v>1</v>
      </c>
      <c r="F47" s="244"/>
      <c r="G47" s="244"/>
      <c r="H47" s="244"/>
      <c r="I47" s="532"/>
      <c r="J47" s="532" t="s">
        <v>547</v>
      </c>
      <c r="K47" s="533">
        <f>K48</f>
        <v>0</v>
      </c>
      <c r="L47" s="533">
        <f t="shared" ref="L47:Z47" si="28">L48</f>
        <v>0</v>
      </c>
      <c r="M47" s="533">
        <f t="shared" si="28"/>
        <v>0</v>
      </c>
      <c r="N47" s="533">
        <f t="shared" si="28"/>
        <v>4250000</v>
      </c>
      <c r="O47" s="533">
        <f t="shared" si="28"/>
        <v>0</v>
      </c>
      <c r="P47" s="533">
        <f t="shared" si="28"/>
        <v>0</v>
      </c>
      <c r="Q47" s="533">
        <f t="shared" si="28"/>
        <v>0</v>
      </c>
      <c r="R47" s="533">
        <f t="shared" si="28"/>
        <v>0</v>
      </c>
      <c r="S47" s="247">
        <f t="shared" si="28"/>
        <v>4250000</v>
      </c>
      <c r="T47" s="533">
        <f t="shared" si="28"/>
        <v>0</v>
      </c>
      <c r="U47" s="533">
        <f t="shared" si="28"/>
        <v>0</v>
      </c>
      <c r="V47" s="533">
        <f t="shared" si="28"/>
        <v>0</v>
      </c>
      <c r="W47" s="533">
        <f t="shared" si="28"/>
        <v>0</v>
      </c>
      <c r="X47" s="533"/>
      <c r="Y47" s="533">
        <f t="shared" si="28"/>
        <v>0</v>
      </c>
      <c r="Z47" s="247">
        <f t="shared" si="28"/>
        <v>4250000</v>
      </c>
      <c r="AA47" s="285">
        <f t="shared" si="1"/>
        <v>0</v>
      </c>
    </row>
    <row r="48" spans="1:27" x14ac:dyDescent="0.25">
      <c r="A48" s="241"/>
      <c r="B48" s="242"/>
      <c r="C48" s="242"/>
      <c r="D48" s="243"/>
      <c r="E48" s="243"/>
      <c r="F48" s="244"/>
      <c r="G48" s="244"/>
      <c r="H48" s="244"/>
      <c r="I48" s="532"/>
      <c r="J48" s="532" t="s">
        <v>534</v>
      </c>
      <c r="K48" s="533">
        <f>K51+K53</f>
        <v>0</v>
      </c>
      <c r="L48" s="533">
        <f t="shared" ref="L48:Z48" si="29">L51+L53</f>
        <v>0</v>
      </c>
      <c r="M48" s="533">
        <f t="shared" si="29"/>
        <v>0</v>
      </c>
      <c r="N48" s="533">
        <f t="shared" si="29"/>
        <v>4250000</v>
      </c>
      <c r="O48" s="533">
        <f t="shared" si="29"/>
        <v>0</v>
      </c>
      <c r="P48" s="533">
        <f t="shared" si="29"/>
        <v>0</v>
      </c>
      <c r="Q48" s="533">
        <f t="shared" si="29"/>
        <v>0</v>
      </c>
      <c r="R48" s="533">
        <f t="shared" si="29"/>
        <v>0</v>
      </c>
      <c r="S48" s="247">
        <f t="shared" si="29"/>
        <v>4250000</v>
      </c>
      <c r="T48" s="533">
        <f t="shared" si="29"/>
        <v>0</v>
      </c>
      <c r="U48" s="533">
        <f t="shared" si="29"/>
        <v>0</v>
      </c>
      <c r="V48" s="533">
        <f t="shared" si="29"/>
        <v>0</v>
      </c>
      <c r="W48" s="533">
        <f t="shared" si="29"/>
        <v>0</v>
      </c>
      <c r="X48" s="533"/>
      <c r="Y48" s="533">
        <f t="shared" si="29"/>
        <v>0</v>
      </c>
      <c r="Z48" s="247">
        <f t="shared" si="29"/>
        <v>4250000</v>
      </c>
      <c r="AA48" s="285">
        <f t="shared" si="1"/>
        <v>0</v>
      </c>
    </row>
    <row r="49" spans="1:27" x14ac:dyDescent="0.25">
      <c r="A49" s="241"/>
      <c r="B49" s="242"/>
      <c r="C49" s="242"/>
      <c r="D49" s="243"/>
      <c r="E49" s="243"/>
      <c r="F49" s="244"/>
      <c r="G49" s="244"/>
      <c r="H49" s="244"/>
      <c r="I49" s="532"/>
      <c r="J49" s="532"/>
      <c r="K49" s="533"/>
      <c r="L49" s="533"/>
      <c r="M49" s="533"/>
      <c r="N49" s="533"/>
      <c r="O49" s="533"/>
      <c r="P49" s="533"/>
      <c r="Q49" s="533"/>
      <c r="R49" s="533"/>
      <c r="S49" s="247"/>
      <c r="T49" s="533"/>
      <c r="U49" s="533"/>
      <c r="V49" s="533"/>
      <c r="W49" s="533"/>
      <c r="X49" s="533"/>
      <c r="Y49" s="247"/>
      <c r="Z49" s="247"/>
      <c r="AA49" s="285">
        <f t="shared" si="1"/>
        <v>0</v>
      </c>
    </row>
    <row r="50" spans="1:27" x14ac:dyDescent="0.25">
      <c r="A50" s="241"/>
      <c r="B50" s="242"/>
      <c r="C50" s="242"/>
      <c r="D50" s="243"/>
      <c r="E50" s="544" t="s">
        <v>486</v>
      </c>
      <c r="F50" s="244"/>
      <c r="G50" s="244"/>
      <c r="H50" s="244"/>
      <c r="I50" s="532"/>
      <c r="J50" s="532" t="s">
        <v>547</v>
      </c>
      <c r="K50" s="533">
        <f t="shared" ref="K50:Y50" si="30">SUM(K51:K51)</f>
        <v>0</v>
      </c>
      <c r="L50" s="533">
        <f t="shared" si="30"/>
        <v>0</v>
      </c>
      <c r="M50" s="533">
        <f t="shared" si="30"/>
        <v>0</v>
      </c>
      <c r="N50" s="533">
        <f>SUM(N51:N51)</f>
        <v>4250000</v>
      </c>
      <c r="O50" s="533">
        <f t="shared" si="30"/>
        <v>0</v>
      </c>
      <c r="P50" s="533">
        <f t="shared" si="30"/>
        <v>0</v>
      </c>
      <c r="Q50" s="533">
        <f t="shared" si="30"/>
        <v>0</v>
      </c>
      <c r="R50" s="533">
        <f t="shared" si="30"/>
        <v>0</v>
      </c>
      <c r="S50" s="247">
        <f t="shared" si="30"/>
        <v>4250000</v>
      </c>
      <c r="T50" s="533">
        <f t="shared" si="30"/>
        <v>0</v>
      </c>
      <c r="U50" s="533">
        <f t="shared" si="30"/>
        <v>0</v>
      </c>
      <c r="V50" s="533">
        <f t="shared" si="30"/>
        <v>0</v>
      </c>
      <c r="W50" s="533">
        <f t="shared" si="30"/>
        <v>0</v>
      </c>
      <c r="X50" s="533"/>
      <c r="Y50" s="247">
        <f t="shared" si="30"/>
        <v>0</v>
      </c>
      <c r="Z50" s="247">
        <f>S50+Y50</f>
        <v>4250000</v>
      </c>
      <c r="AA50" s="285">
        <f t="shared" si="1"/>
        <v>0</v>
      </c>
    </row>
    <row r="51" spans="1:27" x14ac:dyDescent="0.25">
      <c r="A51" s="241"/>
      <c r="B51" s="242"/>
      <c r="C51" s="242"/>
      <c r="D51" s="243"/>
      <c r="E51" s="243"/>
      <c r="F51" s="244"/>
      <c r="G51" s="244"/>
      <c r="H51" s="244"/>
      <c r="I51" s="532"/>
      <c r="J51" s="534" t="s">
        <v>534</v>
      </c>
      <c r="K51" s="530"/>
      <c r="L51" s="530"/>
      <c r="M51" s="531"/>
      <c r="N51" s="530">
        <f>'11melléklet Települési támogatá'!C7</f>
        <v>4250000</v>
      </c>
      <c r="O51" s="530"/>
      <c r="P51" s="530"/>
      <c r="Q51" s="530"/>
      <c r="R51" s="530"/>
      <c r="S51" s="247">
        <f>SUM(K51:R51)</f>
        <v>4250000</v>
      </c>
      <c r="T51" s="530"/>
      <c r="U51" s="530"/>
      <c r="V51" s="530"/>
      <c r="W51" s="530"/>
      <c r="X51" s="530"/>
      <c r="Y51" s="247">
        <f>SUM(T51:W51)</f>
        <v>0</v>
      </c>
      <c r="Z51" s="247">
        <f>S51+Y51</f>
        <v>4250000</v>
      </c>
      <c r="AA51" s="285">
        <f t="shared" si="1"/>
        <v>0</v>
      </c>
    </row>
    <row r="52" spans="1:27" x14ac:dyDescent="0.25">
      <c r="A52" s="241"/>
      <c r="B52" s="242"/>
      <c r="C52" s="242"/>
      <c r="D52" s="243"/>
      <c r="E52" s="545" t="s">
        <v>548</v>
      </c>
      <c r="F52" s="244"/>
      <c r="G52" s="244"/>
      <c r="H52" s="244"/>
      <c r="I52" s="532"/>
      <c r="J52" s="536" t="s">
        <v>549</v>
      </c>
      <c r="K52" s="537">
        <f>K53</f>
        <v>0</v>
      </c>
      <c r="L52" s="537">
        <f t="shared" ref="L52:Z52" si="31">L53</f>
        <v>0</v>
      </c>
      <c r="M52" s="537">
        <f t="shared" si="31"/>
        <v>0</v>
      </c>
      <c r="N52" s="537">
        <f t="shared" si="31"/>
        <v>0</v>
      </c>
      <c r="O52" s="537">
        <f t="shared" si="31"/>
        <v>0</v>
      </c>
      <c r="P52" s="537">
        <f t="shared" si="31"/>
        <v>0</v>
      </c>
      <c r="Q52" s="537">
        <f t="shared" si="31"/>
        <v>0</v>
      </c>
      <c r="R52" s="537">
        <f t="shared" si="31"/>
        <v>0</v>
      </c>
      <c r="S52" s="247">
        <f t="shared" si="31"/>
        <v>0</v>
      </c>
      <c r="T52" s="537">
        <f t="shared" si="31"/>
        <v>0</v>
      </c>
      <c r="U52" s="537">
        <f t="shared" si="31"/>
        <v>0</v>
      </c>
      <c r="V52" s="537">
        <f t="shared" si="31"/>
        <v>0</v>
      </c>
      <c r="W52" s="537">
        <f t="shared" si="31"/>
        <v>0</v>
      </c>
      <c r="X52" s="537"/>
      <c r="Y52" s="537">
        <f t="shared" si="31"/>
        <v>0</v>
      </c>
      <c r="Z52" s="247">
        <f t="shared" si="31"/>
        <v>0</v>
      </c>
      <c r="AA52" s="285">
        <f t="shared" si="1"/>
        <v>0</v>
      </c>
    </row>
    <row r="53" spans="1:27" x14ac:dyDescent="0.25">
      <c r="A53" s="241"/>
      <c r="B53" s="242"/>
      <c r="C53" s="242"/>
      <c r="D53" s="243"/>
      <c r="E53" s="545"/>
      <c r="F53" s="244"/>
      <c r="G53" s="244"/>
      <c r="H53" s="244"/>
      <c r="I53" s="532"/>
      <c r="J53" s="534" t="s">
        <v>534</v>
      </c>
      <c r="K53" s="530"/>
      <c r="L53" s="530"/>
      <c r="M53" s="531"/>
      <c r="N53" s="530">
        <f>'12 melléklet Átadott pénzeszköz'!C17</f>
        <v>0</v>
      </c>
      <c r="O53" s="530">
        <v>0</v>
      </c>
      <c r="P53" s="530">
        <v>0</v>
      </c>
      <c r="Q53" s="530"/>
      <c r="R53" s="530"/>
      <c r="S53" s="247">
        <f>SUM(K53:R53)</f>
        <v>0</v>
      </c>
      <c r="T53" s="530"/>
      <c r="U53" s="530"/>
      <c r="V53" s="530"/>
      <c r="W53" s="530"/>
      <c r="X53" s="530"/>
      <c r="Y53" s="247">
        <f>SUM(T53:W53)</f>
        <v>0</v>
      </c>
      <c r="Z53" s="247">
        <f>S53+Y53</f>
        <v>0</v>
      </c>
      <c r="AA53" s="285">
        <f t="shared" si="1"/>
        <v>0</v>
      </c>
    </row>
    <row r="54" spans="1:27" x14ac:dyDescent="0.25">
      <c r="A54" s="241"/>
      <c r="B54" s="242"/>
      <c r="C54" s="242"/>
      <c r="D54" s="243"/>
      <c r="E54" s="243"/>
      <c r="F54" s="244"/>
      <c r="G54" s="244"/>
      <c r="H54" s="244"/>
      <c r="I54" s="532"/>
      <c r="J54" s="534"/>
      <c r="K54" s="530"/>
      <c r="L54" s="530"/>
      <c r="M54" s="531"/>
      <c r="N54" s="530"/>
      <c r="O54" s="530"/>
      <c r="P54" s="530"/>
      <c r="Q54" s="530"/>
      <c r="R54" s="530"/>
      <c r="S54" s="247"/>
      <c r="T54" s="530"/>
      <c r="U54" s="530"/>
      <c r="V54" s="530"/>
      <c r="W54" s="530"/>
      <c r="X54" s="530"/>
      <c r="Y54" s="247"/>
      <c r="Z54" s="247"/>
      <c r="AA54" s="285">
        <f t="shared" si="1"/>
        <v>0</v>
      </c>
    </row>
    <row r="55" spans="1:27" ht="25.5" x14ac:dyDescent="0.25">
      <c r="A55" s="241"/>
      <c r="B55" s="242"/>
      <c r="C55" s="242"/>
      <c r="D55" s="243"/>
      <c r="E55" s="243" t="s">
        <v>488</v>
      </c>
      <c r="F55" s="244"/>
      <c r="G55" s="244"/>
      <c r="H55" s="244"/>
      <c r="I55" s="532"/>
      <c r="J55" s="532" t="s">
        <v>550</v>
      </c>
      <c r="K55" s="533">
        <f>SUM(K56:K56)</f>
        <v>0</v>
      </c>
      <c r="L55" s="533">
        <f>SUM(L56:L56)</f>
        <v>0</v>
      </c>
      <c r="M55" s="533">
        <f>SUM(M56:M56)</f>
        <v>0</v>
      </c>
      <c r="N55" s="533">
        <f>SUM(N56:N56)</f>
        <v>0</v>
      </c>
      <c r="O55" s="533">
        <f t="shared" ref="O55:Y55" si="32">SUM(O56:O56)</f>
        <v>0</v>
      </c>
      <c r="P55" s="533">
        <f t="shared" si="32"/>
        <v>682000</v>
      </c>
      <c r="Q55" s="533">
        <f t="shared" si="32"/>
        <v>0</v>
      </c>
      <c r="R55" s="533">
        <f t="shared" si="32"/>
        <v>0</v>
      </c>
      <c r="S55" s="247">
        <f t="shared" si="32"/>
        <v>682000</v>
      </c>
      <c r="T55" s="533">
        <f t="shared" si="32"/>
        <v>0</v>
      </c>
      <c r="U55" s="533">
        <f t="shared" si="32"/>
        <v>0</v>
      </c>
      <c r="V55" s="533">
        <f t="shared" si="32"/>
        <v>0</v>
      </c>
      <c r="W55" s="533">
        <f t="shared" si="32"/>
        <v>0</v>
      </c>
      <c r="X55" s="533"/>
      <c r="Y55" s="247">
        <f t="shared" si="32"/>
        <v>0</v>
      </c>
      <c r="Z55" s="247">
        <f>S55+Y55</f>
        <v>682000</v>
      </c>
      <c r="AA55" s="285">
        <f t="shared" si="1"/>
        <v>0</v>
      </c>
    </row>
    <row r="56" spans="1:27" x14ac:dyDescent="0.25">
      <c r="A56" s="241"/>
      <c r="B56" s="242"/>
      <c r="C56" s="242"/>
      <c r="D56" s="243"/>
      <c r="E56" s="243"/>
      <c r="F56" s="244"/>
      <c r="G56" s="244"/>
      <c r="H56" s="244"/>
      <c r="I56" s="532"/>
      <c r="J56" s="534" t="s">
        <v>534</v>
      </c>
      <c r="K56" s="530"/>
      <c r="L56" s="530"/>
      <c r="M56" s="531"/>
      <c r="N56" s="530"/>
      <c r="O56" s="530"/>
      <c r="P56" s="530">
        <f>'12 melléklet Átadott pénzeszköz'!C13</f>
        <v>682000</v>
      </c>
      <c r="Q56" s="530"/>
      <c r="R56" s="530"/>
      <c r="S56" s="247">
        <f>SUM(K56:R56)</f>
        <v>682000</v>
      </c>
      <c r="T56" s="530"/>
      <c r="U56" s="530"/>
      <c r="V56" s="530"/>
      <c r="W56" s="530"/>
      <c r="X56" s="530"/>
      <c r="Y56" s="247">
        <f>SUM(T56:W56)</f>
        <v>0</v>
      </c>
      <c r="Z56" s="247">
        <f>S56+Y56</f>
        <v>682000</v>
      </c>
      <c r="AA56" s="285">
        <f t="shared" si="1"/>
        <v>0</v>
      </c>
    </row>
    <row r="57" spans="1:27" x14ac:dyDescent="0.25">
      <c r="A57" s="241"/>
      <c r="B57" s="242"/>
      <c r="C57" s="242"/>
      <c r="D57" s="243"/>
      <c r="E57" s="243"/>
      <c r="F57" s="244"/>
      <c r="G57" s="244"/>
      <c r="H57" s="244"/>
      <c r="I57" s="532"/>
      <c r="J57" s="546"/>
      <c r="K57" s="530"/>
      <c r="L57" s="530"/>
      <c r="M57" s="531"/>
      <c r="N57" s="530"/>
      <c r="O57" s="530"/>
      <c r="P57" s="530"/>
      <c r="Q57" s="530"/>
      <c r="R57" s="530"/>
      <c r="S57" s="247"/>
      <c r="T57" s="530"/>
      <c r="U57" s="530"/>
      <c r="V57" s="530"/>
      <c r="W57" s="530"/>
      <c r="X57" s="530"/>
      <c r="Y57" s="247"/>
      <c r="Z57" s="247"/>
      <c r="AA57" s="285">
        <f t="shared" si="1"/>
        <v>0</v>
      </c>
    </row>
    <row r="58" spans="1:27" x14ac:dyDescent="0.25">
      <c r="A58" s="241"/>
      <c r="B58" s="242"/>
      <c r="C58" s="242"/>
      <c r="D58" s="243"/>
      <c r="E58" s="243" t="s">
        <v>492</v>
      </c>
      <c r="F58" s="244"/>
      <c r="G58" s="244"/>
      <c r="H58" s="244"/>
      <c r="I58" s="532"/>
      <c r="J58" s="532" t="s">
        <v>784</v>
      </c>
      <c r="K58" s="533">
        <f>SUM(K59:K59)</f>
        <v>4111000</v>
      </c>
      <c r="L58" s="533">
        <f>SUM(L59:L59)</f>
        <v>822200</v>
      </c>
      <c r="M58" s="533">
        <f>SUM(M59:M59)</f>
        <v>300000</v>
      </c>
      <c r="N58" s="533">
        <f>SUM(N59:N59)</f>
        <v>0</v>
      </c>
      <c r="O58" s="533"/>
      <c r="P58" s="533">
        <f t="shared" ref="P58:Y58" si="33">SUM(P59:P59)</f>
        <v>0</v>
      </c>
      <c r="Q58" s="533">
        <f t="shared" si="33"/>
        <v>0</v>
      </c>
      <c r="R58" s="533">
        <f t="shared" si="33"/>
        <v>0</v>
      </c>
      <c r="S58" s="247">
        <f t="shared" si="33"/>
        <v>5233200</v>
      </c>
      <c r="T58" s="533">
        <f t="shared" si="33"/>
        <v>0</v>
      </c>
      <c r="U58" s="533">
        <f t="shared" si="33"/>
        <v>0</v>
      </c>
      <c r="V58" s="533">
        <f t="shared" si="33"/>
        <v>0</v>
      </c>
      <c r="W58" s="533">
        <f t="shared" si="33"/>
        <v>0</v>
      </c>
      <c r="X58" s="533"/>
      <c r="Y58" s="247">
        <f t="shared" si="33"/>
        <v>0</v>
      </c>
      <c r="Z58" s="247">
        <f>S58+Y58</f>
        <v>5233200</v>
      </c>
      <c r="AA58" s="285">
        <f t="shared" si="1"/>
        <v>0</v>
      </c>
    </row>
    <row r="59" spans="1:27" x14ac:dyDescent="0.25">
      <c r="A59" s="241"/>
      <c r="B59" s="242"/>
      <c r="C59" s="242"/>
      <c r="D59" s="243"/>
      <c r="E59" s="243"/>
      <c r="F59" s="244"/>
      <c r="G59" s="244"/>
      <c r="H59" s="244"/>
      <c r="I59" s="532"/>
      <c r="J59" s="534" t="s">
        <v>534</v>
      </c>
      <c r="K59" s="530">
        <f>'9melléklet Személyi jell.'!F21</f>
        <v>4111000</v>
      </c>
      <c r="L59" s="530">
        <f>'9melléklet Személyi jell.'!F22</f>
        <v>822200</v>
      </c>
      <c r="M59" s="531">
        <f>'10mell. Dologi kiadások'!Q64</f>
        <v>300000</v>
      </c>
      <c r="N59" s="530"/>
      <c r="O59" s="530"/>
      <c r="P59" s="530"/>
      <c r="Q59" s="530"/>
      <c r="R59" s="530"/>
      <c r="S59" s="247">
        <f>SUM(K59:R59)</f>
        <v>5233200</v>
      </c>
      <c r="T59" s="530"/>
      <c r="U59" s="530"/>
      <c r="V59" s="530"/>
      <c r="W59" s="530"/>
      <c r="X59" s="530"/>
      <c r="Y59" s="247">
        <f>SUM(T59:W59)</f>
        <v>0</v>
      </c>
      <c r="Z59" s="247">
        <f>S59+Y59</f>
        <v>5233200</v>
      </c>
      <c r="AA59" s="285">
        <f t="shared" si="1"/>
        <v>0</v>
      </c>
    </row>
    <row r="60" spans="1:27" s="88" customFormat="1" ht="30" hidden="1" x14ac:dyDescent="0.25">
      <c r="A60" s="241"/>
      <c r="B60" s="242"/>
      <c r="C60" s="242"/>
      <c r="D60" s="243"/>
      <c r="E60" s="243" t="s">
        <v>494</v>
      </c>
      <c r="F60" s="244"/>
      <c r="G60" s="244"/>
      <c r="H60" s="244"/>
      <c r="I60" s="532"/>
      <c r="J60" s="536" t="s">
        <v>594</v>
      </c>
      <c r="K60" s="537">
        <f>K61</f>
        <v>0</v>
      </c>
      <c r="L60" s="537">
        <f t="shared" ref="L60:R60" si="34">L61</f>
        <v>0</v>
      </c>
      <c r="M60" s="537">
        <f t="shared" si="34"/>
        <v>0</v>
      </c>
      <c r="N60" s="537">
        <f t="shared" si="34"/>
        <v>0</v>
      </c>
      <c r="O60" s="537">
        <f t="shared" si="34"/>
        <v>0</v>
      </c>
      <c r="P60" s="537">
        <f t="shared" si="34"/>
        <v>0</v>
      </c>
      <c r="Q60" s="537">
        <f t="shared" si="34"/>
        <v>0</v>
      </c>
      <c r="R60" s="537">
        <f t="shared" si="34"/>
        <v>0</v>
      </c>
      <c r="S60" s="247">
        <f>S61</f>
        <v>0</v>
      </c>
      <c r="T60" s="537">
        <f>T61</f>
        <v>0</v>
      </c>
      <c r="U60" s="537">
        <f t="shared" ref="U60:W60" si="35">U61</f>
        <v>0</v>
      </c>
      <c r="V60" s="537">
        <f t="shared" si="35"/>
        <v>0</v>
      </c>
      <c r="W60" s="537">
        <f t="shared" si="35"/>
        <v>0</v>
      </c>
      <c r="X60" s="537"/>
      <c r="Y60" s="247">
        <f>Y61</f>
        <v>0</v>
      </c>
      <c r="Z60" s="247">
        <f>Z61</f>
        <v>0</v>
      </c>
      <c r="AA60" s="285">
        <f t="shared" si="1"/>
        <v>0</v>
      </c>
    </row>
    <row r="61" spans="1:27" hidden="1" x14ac:dyDescent="0.25">
      <c r="A61" s="241"/>
      <c r="B61" s="242"/>
      <c r="C61" s="242"/>
      <c r="D61" s="243"/>
      <c r="E61" s="243"/>
      <c r="F61" s="244"/>
      <c r="G61" s="244"/>
      <c r="H61" s="244"/>
      <c r="I61" s="532"/>
      <c r="J61" s="534" t="s">
        <v>534</v>
      </c>
      <c r="K61" s="530"/>
      <c r="L61" s="530"/>
      <c r="M61" s="531">
        <f>'10mell. Dologi kiadások'!R64</f>
        <v>0</v>
      </c>
      <c r="N61" s="530"/>
      <c r="O61" s="530"/>
      <c r="P61" s="530"/>
      <c r="Q61" s="530"/>
      <c r="R61" s="530"/>
      <c r="S61" s="247">
        <f>SUM(K61:R61)</f>
        <v>0</v>
      </c>
      <c r="T61" s="530"/>
      <c r="U61" s="530"/>
      <c r="V61" s="530"/>
      <c r="W61" s="530"/>
      <c r="X61" s="530"/>
      <c r="Y61" s="247">
        <f>SUM(T61:W61)</f>
        <v>0</v>
      </c>
      <c r="Z61" s="247">
        <f>S61+Y61</f>
        <v>0</v>
      </c>
      <c r="AA61" s="285">
        <f t="shared" si="1"/>
        <v>0</v>
      </c>
    </row>
    <row r="62" spans="1:27" x14ac:dyDescent="0.25">
      <c r="A62" s="241"/>
      <c r="B62" s="242"/>
      <c r="C62" s="242"/>
      <c r="D62" s="243"/>
      <c r="E62" s="243"/>
      <c r="F62" s="244"/>
      <c r="G62" s="244"/>
      <c r="H62" s="244"/>
      <c r="I62" s="799" t="s">
        <v>551</v>
      </c>
      <c r="J62" s="799"/>
      <c r="K62" s="247">
        <f>SUM(K63)</f>
        <v>4111000</v>
      </c>
      <c r="L62" s="247">
        <f t="shared" ref="L62:Z62" si="36">SUM(L63)</f>
        <v>822200</v>
      </c>
      <c r="M62" s="247">
        <f t="shared" si="36"/>
        <v>300000</v>
      </c>
      <c r="N62" s="247">
        <f t="shared" si="36"/>
        <v>4250000</v>
      </c>
      <c r="O62" s="247">
        <f t="shared" si="36"/>
        <v>0</v>
      </c>
      <c r="P62" s="247">
        <f t="shared" si="36"/>
        <v>682000</v>
      </c>
      <c r="Q62" s="247">
        <f t="shared" si="36"/>
        <v>0</v>
      </c>
      <c r="R62" s="247">
        <f t="shared" si="36"/>
        <v>0</v>
      </c>
      <c r="S62" s="247">
        <f t="shared" si="36"/>
        <v>10165200</v>
      </c>
      <c r="T62" s="247">
        <f t="shared" si="36"/>
        <v>0</v>
      </c>
      <c r="U62" s="247">
        <f t="shared" si="36"/>
        <v>0</v>
      </c>
      <c r="V62" s="247">
        <f t="shared" si="36"/>
        <v>0</v>
      </c>
      <c r="W62" s="247">
        <f t="shared" si="36"/>
        <v>0</v>
      </c>
      <c r="X62" s="247"/>
      <c r="Y62" s="247">
        <f t="shared" si="36"/>
        <v>0</v>
      </c>
      <c r="Z62" s="247">
        <f t="shared" si="36"/>
        <v>10165200</v>
      </c>
      <c r="AA62" s="285">
        <f t="shared" si="1"/>
        <v>0</v>
      </c>
    </row>
    <row r="63" spans="1:27" x14ac:dyDescent="0.25">
      <c r="A63" s="241"/>
      <c r="B63" s="242"/>
      <c r="C63" s="242"/>
      <c r="D63" s="243"/>
      <c r="E63" s="243"/>
      <c r="F63" s="244"/>
      <c r="G63" s="244"/>
      <c r="H63" s="244"/>
      <c r="I63" s="246"/>
      <c r="J63" s="246" t="s">
        <v>534</v>
      </c>
      <c r="K63" s="247">
        <f>SUM(K59,K56,K48,K61)</f>
        <v>4111000</v>
      </c>
      <c r="L63" s="247">
        <f t="shared" ref="L63:Z63" si="37">SUM(L59,L56,L48,L61)</f>
        <v>822200</v>
      </c>
      <c r="M63" s="247">
        <f t="shared" si="37"/>
        <v>300000</v>
      </c>
      <c r="N63" s="247">
        <f t="shared" si="37"/>
        <v>4250000</v>
      </c>
      <c r="O63" s="247">
        <f t="shared" si="37"/>
        <v>0</v>
      </c>
      <c r="P63" s="247">
        <f t="shared" si="37"/>
        <v>682000</v>
      </c>
      <c r="Q63" s="247">
        <f t="shared" si="37"/>
        <v>0</v>
      </c>
      <c r="R63" s="247">
        <f t="shared" si="37"/>
        <v>0</v>
      </c>
      <c r="S63" s="247">
        <f t="shared" si="37"/>
        <v>10165200</v>
      </c>
      <c r="T63" s="247">
        <f t="shared" si="37"/>
        <v>0</v>
      </c>
      <c r="U63" s="247">
        <f t="shared" si="37"/>
        <v>0</v>
      </c>
      <c r="V63" s="247">
        <f t="shared" si="37"/>
        <v>0</v>
      </c>
      <c r="W63" s="247">
        <f t="shared" si="37"/>
        <v>0</v>
      </c>
      <c r="X63" s="247"/>
      <c r="Y63" s="247">
        <f t="shared" si="37"/>
        <v>0</v>
      </c>
      <c r="Z63" s="247">
        <f t="shared" si="37"/>
        <v>10165200</v>
      </c>
      <c r="AA63" s="285">
        <f t="shared" si="1"/>
        <v>0</v>
      </c>
    </row>
    <row r="64" spans="1:27" x14ac:dyDescent="0.25">
      <c r="A64" s="241"/>
      <c r="B64" s="242"/>
      <c r="C64" s="242"/>
      <c r="D64" s="243" t="s">
        <v>469</v>
      </c>
      <c r="E64" s="243"/>
      <c r="F64" s="244"/>
      <c r="G64" s="244"/>
      <c r="H64" s="244"/>
      <c r="I64" s="798" t="s">
        <v>442</v>
      </c>
      <c r="J64" s="798"/>
      <c r="K64" s="530"/>
      <c r="L64" s="530"/>
      <c r="M64" s="531"/>
      <c r="N64" s="530"/>
      <c r="O64" s="530"/>
      <c r="P64" s="530"/>
      <c r="Q64" s="530"/>
      <c r="R64" s="530"/>
      <c r="S64" s="247"/>
      <c r="T64" s="530"/>
      <c r="U64" s="530"/>
      <c r="V64" s="530"/>
      <c r="W64" s="530"/>
      <c r="X64" s="530"/>
      <c r="Y64" s="247"/>
      <c r="Z64" s="247"/>
      <c r="AA64" s="285">
        <f t="shared" si="1"/>
        <v>0</v>
      </c>
    </row>
    <row r="65" spans="1:27" x14ac:dyDescent="0.25">
      <c r="A65" s="241"/>
      <c r="B65" s="242"/>
      <c r="C65" s="242"/>
      <c r="D65" s="243"/>
      <c r="E65" s="243" t="s">
        <v>484</v>
      </c>
      <c r="F65" s="244"/>
      <c r="G65" s="244"/>
      <c r="H65" s="244"/>
      <c r="I65" s="532"/>
      <c r="J65" s="532" t="s">
        <v>552</v>
      </c>
      <c r="K65" s="533">
        <f t="shared" ref="K65:R69" si="38">SUM(K66:K66)</f>
        <v>1236000</v>
      </c>
      <c r="L65" s="533">
        <f t="shared" si="38"/>
        <v>247200</v>
      </c>
      <c r="M65" s="533">
        <f t="shared" si="38"/>
        <v>147000</v>
      </c>
      <c r="N65" s="533">
        <f t="shared" si="38"/>
        <v>0</v>
      </c>
      <c r="O65" s="533">
        <f t="shared" si="38"/>
        <v>0</v>
      </c>
      <c r="P65" s="533">
        <f t="shared" si="38"/>
        <v>0</v>
      </c>
      <c r="Q65" s="533">
        <f t="shared" si="38"/>
        <v>0</v>
      </c>
      <c r="R65" s="533">
        <f t="shared" si="38"/>
        <v>0</v>
      </c>
      <c r="S65" s="247">
        <f t="shared" ref="S65:S70" si="39">SUM(K65:R65)</f>
        <v>1630200</v>
      </c>
      <c r="T65" s="533">
        <f>SUM(T66:T66)</f>
        <v>0</v>
      </c>
      <c r="U65" s="533">
        <f>SUM(U66:U66)</f>
        <v>0</v>
      </c>
      <c r="V65" s="533">
        <f>SUM(V66:V66)</f>
        <v>0</v>
      </c>
      <c r="W65" s="533">
        <f>SUM(W66:W66)</f>
        <v>0</v>
      </c>
      <c r="X65" s="533"/>
      <c r="Y65" s="247">
        <f t="shared" ref="Y65:Y68" si="40">SUM(T65:W65)</f>
        <v>0</v>
      </c>
      <c r="Z65" s="247">
        <f t="shared" ref="Z65:Z66" si="41">SUM(S65+Y65)</f>
        <v>1630200</v>
      </c>
      <c r="AA65" s="285">
        <f t="shared" si="1"/>
        <v>0</v>
      </c>
    </row>
    <row r="66" spans="1:27" x14ac:dyDescent="0.25">
      <c r="A66" s="241"/>
      <c r="B66" s="242"/>
      <c r="C66" s="242"/>
      <c r="D66" s="243"/>
      <c r="E66" s="243"/>
      <c r="F66" s="244"/>
      <c r="G66" s="244"/>
      <c r="H66" s="244"/>
      <c r="I66" s="532"/>
      <c r="J66" s="534" t="s">
        <v>534</v>
      </c>
      <c r="K66" s="530">
        <f>'9melléklet Személyi jell.'!E21</f>
        <v>1236000</v>
      </c>
      <c r="L66" s="530">
        <f>'9melléklet Személyi jell.'!E22</f>
        <v>247200</v>
      </c>
      <c r="M66" s="531">
        <f>'10mell. Dologi kiadások'!T64</f>
        <v>147000</v>
      </c>
      <c r="N66" s="530"/>
      <c r="O66" s="530"/>
      <c r="P66" s="530"/>
      <c r="Q66" s="530"/>
      <c r="R66" s="530"/>
      <c r="S66" s="247">
        <f t="shared" si="39"/>
        <v>1630200</v>
      </c>
      <c r="T66" s="530"/>
      <c r="U66" s="530"/>
      <c r="V66" s="530"/>
      <c r="W66" s="530"/>
      <c r="X66" s="530"/>
      <c r="Y66" s="247">
        <f t="shared" si="40"/>
        <v>0</v>
      </c>
      <c r="Z66" s="247">
        <f t="shared" si="41"/>
        <v>1630200</v>
      </c>
      <c r="AA66" s="285">
        <f t="shared" si="1"/>
        <v>0</v>
      </c>
    </row>
    <row r="67" spans="1:27" ht="33.75" hidden="1" customHeight="1" x14ac:dyDescent="0.25">
      <c r="A67" s="241"/>
      <c r="B67" s="242"/>
      <c r="C67" s="242"/>
      <c r="D67" s="243"/>
      <c r="E67" s="243" t="s">
        <v>488</v>
      </c>
      <c r="F67" s="244"/>
      <c r="G67" s="244"/>
      <c r="H67" s="244"/>
      <c r="I67" s="244"/>
      <c r="J67" s="547" t="s">
        <v>694</v>
      </c>
      <c r="K67" s="533">
        <f t="shared" si="38"/>
        <v>0</v>
      </c>
      <c r="L67" s="533">
        <f t="shared" si="38"/>
        <v>0</v>
      </c>
      <c r="M67" s="533">
        <f t="shared" si="38"/>
        <v>0</v>
      </c>
      <c r="N67" s="533">
        <f t="shared" si="38"/>
        <v>0</v>
      </c>
      <c r="O67" s="533">
        <f t="shared" si="38"/>
        <v>0</v>
      </c>
      <c r="P67" s="533">
        <f t="shared" si="38"/>
        <v>0</v>
      </c>
      <c r="Q67" s="533">
        <f t="shared" si="38"/>
        <v>0</v>
      </c>
      <c r="R67" s="533">
        <f t="shared" si="38"/>
        <v>0</v>
      </c>
      <c r="S67" s="247">
        <f t="shared" si="39"/>
        <v>0</v>
      </c>
      <c r="T67" s="533">
        <f>SUM(T68:T68)</f>
        <v>0</v>
      </c>
      <c r="U67" s="533">
        <f>SUM(U68:U68)</f>
        <v>0</v>
      </c>
      <c r="V67" s="533">
        <f>SUM(V68:V68)</f>
        <v>0</v>
      </c>
      <c r="W67" s="533">
        <f>SUM(W68:W68)</f>
        <v>0</v>
      </c>
      <c r="X67" s="533"/>
      <c r="Y67" s="247">
        <f t="shared" si="40"/>
        <v>0</v>
      </c>
      <c r="Z67" s="247">
        <f t="shared" ref="Z67:Z70" si="42">SUM(S67+Y67)</f>
        <v>0</v>
      </c>
      <c r="AA67" s="285">
        <f t="shared" si="1"/>
        <v>0</v>
      </c>
    </row>
    <row r="68" spans="1:27" hidden="1" x14ac:dyDescent="0.25">
      <c r="A68" s="241"/>
      <c r="B68" s="242"/>
      <c r="C68" s="242"/>
      <c r="D68" s="243"/>
      <c r="E68" s="243"/>
      <c r="F68" s="244"/>
      <c r="G68" s="244"/>
      <c r="H68" s="244"/>
      <c r="I68" s="244"/>
      <c r="J68" s="534" t="s">
        <v>534</v>
      </c>
      <c r="K68" s="530"/>
      <c r="L68" s="530"/>
      <c r="M68" s="531">
        <f>'10mell. Dologi kiadások'!Y64</f>
        <v>0</v>
      </c>
      <c r="N68" s="530"/>
      <c r="O68" s="530"/>
      <c r="P68" s="530"/>
      <c r="Q68" s="530"/>
      <c r="R68" s="530"/>
      <c r="S68" s="247">
        <f t="shared" si="39"/>
        <v>0</v>
      </c>
      <c r="T68" s="530"/>
      <c r="U68" s="530"/>
      <c r="V68" s="530"/>
      <c r="W68" s="530"/>
      <c r="X68" s="530"/>
      <c r="Y68" s="247">
        <f t="shared" si="40"/>
        <v>0</v>
      </c>
      <c r="Z68" s="247">
        <f t="shared" si="42"/>
        <v>0</v>
      </c>
      <c r="AA68" s="285">
        <f t="shared" si="1"/>
        <v>0</v>
      </c>
    </row>
    <row r="69" spans="1:27" s="88" customFormat="1" ht="30" x14ac:dyDescent="0.25">
      <c r="A69" s="241"/>
      <c r="B69" s="242"/>
      <c r="C69" s="242"/>
      <c r="D69" s="243"/>
      <c r="E69" s="243" t="s">
        <v>488</v>
      </c>
      <c r="F69" s="244"/>
      <c r="G69" s="244"/>
      <c r="H69" s="244"/>
      <c r="I69" s="244"/>
      <c r="J69" s="536" t="s">
        <v>709</v>
      </c>
      <c r="K69" s="533">
        <f t="shared" si="38"/>
        <v>0</v>
      </c>
      <c r="L69" s="533">
        <f t="shared" si="38"/>
        <v>0</v>
      </c>
      <c r="M69" s="533">
        <f t="shared" si="38"/>
        <v>654000</v>
      </c>
      <c r="N69" s="533">
        <f t="shared" si="38"/>
        <v>0</v>
      </c>
      <c r="O69" s="533">
        <f t="shared" si="38"/>
        <v>0</v>
      </c>
      <c r="P69" s="533">
        <f t="shared" si="38"/>
        <v>0</v>
      </c>
      <c r="Q69" s="533">
        <f t="shared" si="38"/>
        <v>0</v>
      </c>
      <c r="R69" s="533">
        <f t="shared" si="38"/>
        <v>0</v>
      </c>
      <c r="S69" s="247">
        <f t="shared" si="39"/>
        <v>654000</v>
      </c>
      <c r="T69" s="533">
        <f>SUM(T70:T70)</f>
        <v>0</v>
      </c>
      <c r="U69" s="533">
        <f>SUM(U70:U70)</f>
        <v>0</v>
      </c>
      <c r="V69" s="533">
        <f>SUM(V70:V70)</f>
        <v>0</v>
      </c>
      <c r="W69" s="533">
        <f>SUM(W70:W70)</f>
        <v>0</v>
      </c>
      <c r="X69" s="533"/>
      <c r="Y69" s="247">
        <f t="shared" ref="Y69:Y70" si="43">SUM(T69:W69)</f>
        <v>0</v>
      </c>
      <c r="Z69" s="247">
        <f t="shared" si="42"/>
        <v>654000</v>
      </c>
      <c r="AA69" s="285">
        <f t="shared" si="1"/>
        <v>0</v>
      </c>
    </row>
    <row r="70" spans="1:27" x14ac:dyDescent="0.25">
      <c r="A70" s="241"/>
      <c r="B70" s="242"/>
      <c r="C70" s="242"/>
      <c r="D70" s="243"/>
      <c r="E70" s="243"/>
      <c r="F70" s="244"/>
      <c r="G70" s="244"/>
      <c r="H70" s="244"/>
      <c r="I70" s="244"/>
      <c r="J70" s="534" t="s">
        <v>534</v>
      </c>
      <c r="K70" s="530"/>
      <c r="L70" s="530"/>
      <c r="M70" s="531">
        <f>+'10mell. Dologi kiadások'!U64+'10mell. Dologi kiadások'!V64</f>
        <v>654000</v>
      </c>
      <c r="N70" s="530"/>
      <c r="O70" s="530"/>
      <c r="P70" s="530"/>
      <c r="Q70" s="530"/>
      <c r="R70" s="530"/>
      <c r="S70" s="247">
        <f t="shared" si="39"/>
        <v>654000</v>
      </c>
      <c r="T70" s="530"/>
      <c r="U70" s="530"/>
      <c r="V70" s="530"/>
      <c r="W70" s="530"/>
      <c r="X70" s="530"/>
      <c r="Y70" s="247">
        <f t="shared" si="43"/>
        <v>0</v>
      </c>
      <c r="Z70" s="247">
        <f t="shared" si="42"/>
        <v>654000</v>
      </c>
      <c r="AA70" s="285">
        <f t="shared" si="1"/>
        <v>0</v>
      </c>
    </row>
    <row r="71" spans="1:27" ht="51.75" customHeight="1" x14ac:dyDescent="0.25">
      <c r="A71" s="241"/>
      <c r="B71" s="242"/>
      <c r="C71" s="242"/>
      <c r="D71" s="243"/>
      <c r="E71" s="243" t="s">
        <v>492</v>
      </c>
      <c r="F71" s="244"/>
      <c r="G71" s="244"/>
      <c r="H71" s="244"/>
      <c r="I71" s="244"/>
      <c r="J71" s="536" t="s">
        <v>708</v>
      </c>
      <c r="K71" s="537">
        <f>SUM(K72)</f>
        <v>0</v>
      </c>
      <c r="L71" s="537">
        <f t="shared" ref="L71:Z73" si="44">SUM(L72)</f>
        <v>0</v>
      </c>
      <c r="M71" s="537">
        <f t="shared" si="44"/>
        <v>4250000</v>
      </c>
      <c r="N71" s="537">
        <f t="shared" si="44"/>
        <v>0</v>
      </c>
      <c r="O71" s="537">
        <f t="shared" si="44"/>
        <v>0</v>
      </c>
      <c r="P71" s="537">
        <f t="shared" si="44"/>
        <v>0</v>
      </c>
      <c r="Q71" s="537">
        <f t="shared" si="44"/>
        <v>0</v>
      </c>
      <c r="R71" s="537">
        <f t="shared" si="44"/>
        <v>0</v>
      </c>
      <c r="S71" s="247">
        <f t="shared" si="44"/>
        <v>4250000</v>
      </c>
      <c r="T71" s="537">
        <f t="shared" si="44"/>
        <v>0</v>
      </c>
      <c r="U71" s="537">
        <f t="shared" si="44"/>
        <v>0</v>
      </c>
      <c r="V71" s="537">
        <f t="shared" si="44"/>
        <v>0</v>
      </c>
      <c r="W71" s="537">
        <f t="shared" si="44"/>
        <v>0</v>
      </c>
      <c r="X71" s="537"/>
      <c r="Y71" s="247">
        <f t="shared" si="44"/>
        <v>0</v>
      </c>
      <c r="Z71" s="247">
        <f t="shared" si="44"/>
        <v>4250000</v>
      </c>
      <c r="AA71" s="285">
        <f t="shared" si="1"/>
        <v>0</v>
      </c>
    </row>
    <row r="72" spans="1:27" x14ac:dyDescent="0.25">
      <c r="A72" s="241"/>
      <c r="B72" s="242"/>
      <c r="C72" s="242"/>
      <c r="D72" s="243"/>
      <c r="E72" s="243"/>
      <c r="F72" s="244"/>
      <c r="G72" s="244"/>
      <c r="H72" s="244"/>
      <c r="I72" s="244"/>
      <c r="J72" s="534" t="s">
        <v>534</v>
      </c>
      <c r="K72" s="530"/>
      <c r="L72" s="530"/>
      <c r="M72" s="531">
        <f>'10mell. Dologi kiadások'!W64</f>
        <v>4250000</v>
      </c>
      <c r="N72" s="530"/>
      <c r="O72" s="530"/>
      <c r="P72" s="530"/>
      <c r="Q72" s="530"/>
      <c r="R72" s="530"/>
      <c r="S72" s="247">
        <f>SUM(K72:R72)</f>
        <v>4250000</v>
      </c>
      <c r="T72" s="530"/>
      <c r="U72" s="530"/>
      <c r="V72" s="530"/>
      <c r="W72" s="530"/>
      <c r="X72" s="530"/>
      <c r="Y72" s="247">
        <f>SUM(T72:W72)</f>
        <v>0</v>
      </c>
      <c r="Z72" s="247">
        <f>S72+Y72</f>
        <v>4250000</v>
      </c>
      <c r="AA72" s="285">
        <f t="shared" si="1"/>
        <v>0</v>
      </c>
    </row>
    <row r="73" spans="1:27" s="88" customFormat="1" ht="45" x14ac:dyDescent="0.25">
      <c r="A73" s="241"/>
      <c r="B73" s="242"/>
      <c r="C73" s="242"/>
      <c r="D73" s="243"/>
      <c r="E73" s="243" t="s">
        <v>494</v>
      </c>
      <c r="F73" s="244"/>
      <c r="G73" s="244"/>
      <c r="H73" s="244"/>
      <c r="I73" s="244"/>
      <c r="J73" s="536" t="s">
        <v>819</v>
      </c>
      <c r="K73" s="537">
        <f>SUM(K74)</f>
        <v>0</v>
      </c>
      <c r="L73" s="537">
        <f t="shared" si="44"/>
        <v>0</v>
      </c>
      <c r="M73" s="537">
        <f t="shared" si="44"/>
        <v>21900</v>
      </c>
      <c r="N73" s="537">
        <f t="shared" si="44"/>
        <v>0</v>
      </c>
      <c r="O73" s="537">
        <f t="shared" si="44"/>
        <v>0</v>
      </c>
      <c r="P73" s="537">
        <f t="shared" si="44"/>
        <v>0</v>
      </c>
      <c r="Q73" s="537">
        <f t="shared" si="44"/>
        <v>0</v>
      </c>
      <c r="R73" s="537">
        <f t="shared" si="44"/>
        <v>0</v>
      </c>
      <c r="S73" s="247">
        <f t="shared" si="44"/>
        <v>21900</v>
      </c>
      <c r="T73" s="537">
        <f t="shared" si="44"/>
        <v>0</v>
      </c>
      <c r="U73" s="537">
        <f t="shared" si="44"/>
        <v>0</v>
      </c>
      <c r="V73" s="537">
        <f t="shared" si="44"/>
        <v>0</v>
      </c>
      <c r="W73" s="537">
        <f t="shared" si="44"/>
        <v>0</v>
      </c>
      <c r="X73" s="537"/>
      <c r="Y73" s="247">
        <f t="shared" si="44"/>
        <v>0</v>
      </c>
      <c r="Z73" s="247">
        <f t="shared" si="44"/>
        <v>21900</v>
      </c>
      <c r="AA73" s="285">
        <f t="shared" si="1"/>
        <v>0</v>
      </c>
    </row>
    <row r="74" spans="1:27" x14ac:dyDescent="0.25">
      <c r="A74" s="241"/>
      <c r="B74" s="242"/>
      <c r="C74" s="242"/>
      <c r="D74" s="243"/>
      <c r="E74" s="243"/>
      <c r="F74" s="244"/>
      <c r="G74" s="244"/>
      <c r="H74" s="244"/>
      <c r="I74" s="244"/>
      <c r="J74" s="534" t="s">
        <v>464</v>
      </c>
      <c r="K74" s="530"/>
      <c r="L74" s="530"/>
      <c r="M74" s="531">
        <f>'10mell. Dologi kiadások'!X64</f>
        <v>21900</v>
      </c>
      <c r="N74" s="530"/>
      <c r="O74" s="530"/>
      <c r="P74" s="530"/>
      <c r="Q74" s="530"/>
      <c r="R74" s="530"/>
      <c r="S74" s="247">
        <f>SUM(K74:R74)</f>
        <v>21900</v>
      </c>
      <c r="T74" s="530"/>
      <c r="U74" s="530"/>
      <c r="V74" s="530"/>
      <c r="W74" s="530"/>
      <c r="X74" s="530"/>
      <c r="Y74" s="247">
        <f>SUM(T74:W74)</f>
        <v>0</v>
      </c>
      <c r="Z74" s="247">
        <f>S74+Y74</f>
        <v>21900</v>
      </c>
      <c r="AA74" s="285">
        <f t="shared" si="1"/>
        <v>0</v>
      </c>
    </row>
    <row r="75" spans="1:27" ht="33" customHeight="1" x14ac:dyDescent="0.25">
      <c r="A75" s="241"/>
      <c r="B75" s="242"/>
      <c r="C75" s="242"/>
      <c r="D75" s="243"/>
      <c r="E75" s="243"/>
      <c r="F75" s="244"/>
      <c r="G75" s="244"/>
      <c r="H75" s="244"/>
      <c r="I75" s="799" t="s">
        <v>553</v>
      </c>
      <c r="J75" s="799"/>
      <c r="K75" s="247">
        <f>SUM(K76)</f>
        <v>1236000</v>
      </c>
      <c r="L75" s="247">
        <f t="shared" ref="L75:Z75" si="45">SUM(L76)</f>
        <v>247200</v>
      </c>
      <c r="M75" s="247">
        <f t="shared" si="45"/>
        <v>5072900</v>
      </c>
      <c r="N75" s="247">
        <f t="shared" si="45"/>
        <v>0</v>
      </c>
      <c r="O75" s="247">
        <f t="shared" si="45"/>
        <v>0</v>
      </c>
      <c r="P75" s="247">
        <f t="shared" si="45"/>
        <v>0</v>
      </c>
      <c r="Q75" s="247">
        <f t="shared" si="45"/>
        <v>0</v>
      </c>
      <c r="R75" s="247">
        <f t="shared" si="45"/>
        <v>0</v>
      </c>
      <c r="S75" s="247">
        <f t="shared" si="45"/>
        <v>6556100</v>
      </c>
      <c r="T75" s="247">
        <f t="shared" si="45"/>
        <v>0</v>
      </c>
      <c r="U75" s="247">
        <f t="shared" si="45"/>
        <v>0</v>
      </c>
      <c r="V75" s="247">
        <f t="shared" si="45"/>
        <v>0</v>
      </c>
      <c r="W75" s="247">
        <f t="shared" si="45"/>
        <v>0</v>
      </c>
      <c r="X75" s="247"/>
      <c r="Y75" s="247">
        <f t="shared" si="45"/>
        <v>0</v>
      </c>
      <c r="Z75" s="247">
        <f t="shared" si="45"/>
        <v>6556100</v>
      </c>
      <c r="AA75" s="285">
        <f t="shared" si="1"/>
        <v>0</v>
      </c>
    </row>
    <row r="76" spans="1:27" x14ac:dyDescent="0.25">
      <c r="A76" s="241"/>
      <c r="B76" s="242"/>
      <c r="C76" s="242"/>
      <c r="D76" s="243"/>
      <c r="E76" s="243"/>
      <c r="F76" s="244"/>
      <c r="G76" s="244"/>
      <c r="H76" s="244"/>
      <c r="I76" s="245"/>
      <c r="J76" s="246" t="s">
        <v>534</v>
      </c>
      <c r="K76" s="247">
        <f>SUM(K68,K72,K66,K70,K74)</f>
        <v>1236000</v>
      </c>
      <c r="L76" s="247">
        <f t="shared" ref="L76:Z76" si="46">SUM(L68,L72,L66,L70,L74)</f>
        <v>247200</v>
      </c>
      <c r="M76" s="247">
        <f t="shared" si="46"/>
        <v>5072900</v>
      </c>
      <c r="N76" s="247">
        <f t="shared" si="46"/>
        <v>0</v>
      </c>
      <c r="O76" s="247">
        <f t="shared" si="46"/>
        <v>0</v>
      </c>
      <c r="P76" s="247">
        <f t="shared" si="46"/>
        <v>0</v>
      </c>
      <c r="Q76" s="247">
        <f t="shared" si="46"/>
        <v>0</v>
      </c>
      <c r="R76" s="247">
        <f t="shared" si="46"/>
        <v>0</v>
      </c>
      <c r="S76" s="247">
        <f t="shared" si="46"/>
        <v>6556100</v>
      </c>
      <c r="T76" s="247">
        <f t="shared" si="46"/>
        <v>0</v>
      </c>
      <c r="U76" s="247">
        <f t="shared" si="46"/>
        <v>0</v>
      </c>
      <c r="V76" s="247">
        <f t="shared" si="46"/>
        <v>0</v>
      </c>
      <c r="W76" s="247">
        <f t="shared" si="46"/>
        <v>0</v>
      </c>
      <c r="X76" s="247"/>
      <c r="Y76" s="247">
        <f t="shared" si="46"/>
        <v>0</v>
      </c>
      <c r="Z76" s="247">
        <f t="shared" si="46"/>
        <v>6556100</v>
      </c>
      <c r="AA76" s="285">
        <f t="shared" si="1"/>
        <v>0</v>
      </c>
    </row>
    <row r="77" spans="1:27" ht="30.75" customHeight="1" x14ac:dyDescent="0.25">
      <c r="A77" s="241"/>
      <c r="B77" s="242"/>
      <c r="C77" s="242"/>
      <c r="D77" s="243">
        <v>6</v>
      </c>
      <c r="E77" s="243"/>
      <c r="F77" s="244"/>
      <c r="G77" s="244"/>
      <c r="H77" s="244"/>
      <c r="I77" s="802" t="s">
        <v>817</v>
      </c>
      <c r="J77" s="803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85">
        <f t="shared" si="1"/>
        <v>0</v>
      </c>
    </row>
    <row r="78" spans="1:27" ht="25.5" x14ac:dyDescent="0.25">
      <c r="A78" s="241"/>
      <c r="B78" s="242"/>
      <c r="C78" s="242"/>
      <c r="D78" s="243"/>
      <c r="E78" s="243">
        <v>1</v>
      </c>
      <c r="F78" s="244"/>
      <c r="G78" s="244"/>
      <c r="H78" s="244"/>
      <c r="I78" s="245"/>
      <c r="J78" s="246" t="s">
        <v>707</v>
      </c>
      <c r="K78" s="530">
        <f>SUM(K79)</f>
        <v>0</v>
      </c>
      <c r="L78" s="530">
        <f>SUM(L79)</f>
        <v>0</v>
      </c>
      <c r="M78" s="530">
        <f>SUM(M79)</f>
        <v>691000</v>
      </c>
      <c r="N78" s="530">
        <f>SUM(N79)</f>
        <v>0</v>
      </c>
      <c r="O78" s="530"/>
      <c r="P78" s="530">
        <f t="shared" ref="P78:Z80" si="47">SUM(P79)</f>
        <v>0</v>
      </c>
      <c r="Q78" s="530">
        <f t="shared" si="47"/>
        <v>0</v>
      </c>
      <c r="R78" s="530">
        <f t="shared" si="47"/>
        <v>0</v>
      </c>
      <c r="S78" s="530">
        <f t="shared" si="47"/>
        <v>691000</v>
      </c>
      <c r="T78" s="530">
        <f t="shared" si="47"/>
        <v>0</v>
      </c>
      <c r="U78" s="530">
        <f t="shared" si="47"/>
        <v>0</v>
      </c>
      <c r="V78" s="530">
        <f t="shared" si="47"/>
        <v>0</v>
      </c>
      <c r="W78" s="530">
        <f t="shared" si="47"/>
        <v>0</v>
      </c>
      <c r="X78" s="530"/>
      <c r="Y78" s="530">
        <f t="shared" si="47"/>
        <v>0</v>
      </c>
      <c r="Z78" s="530">
        <f t="shared" si="47"/>
        <v>691000</v>
      </c>
      <c r="AA78" s="285">
        <f t="shared" si="1"/>
        <v>0</v>
      </c>
    </row>
    <row r="79" spans="1:27" x14ac:dyDescent="0.25">
      <c r="A79" s="241"/>
      <c r="B79" s="242"/>
      <c r="C79" s="242"/>
      <c r="D79" s="243"/>
      <c r="E79" s="243"/>
      <c r="F79" s="244"/>
      <c r="G79" s="244"/>
      <c r="H79" s="244"/>
      <c r="I79" s="245"/>
      <c r="J79" s="246" t="s">
        <v>534</v>
      </c>
      <c r="K79" s="247"/>
      <c r="L79" s="247"/>
      <c r="M79" s="247">
        <f>'10mell. Dologi kiadások'!AA64</f>
        <v>691000</v>
      </c>
      <c r="N79" s="247"/>
      <c r="O79" s="247"/>
      <c r="P79" s="247"/>
      <c r="Q79" s="247"/>
      <c r="R79" s="247"/>
      <c r="S79" s="247">
        <f>SUM(K79:R79)</f>
        <v>691000</v>
      </c>
      <c r="T79" s="247"/>
      <c r="U79" s="247"/>
      <c r="V79" s="247"/>
      <c r="W79" s="247"/>
      <c r="X79" s="247"/>
      <c r="Y79" s="247">
        <f>SUM(T79:W79)</f>
        <v>0</v>
      </c>
      <c r="Z79" s="247">
        <f>S79+Y79</f>
        <v>691000</v>
      </c>
      <c r="AA79" s="285">
        <f t="shared" ref="AA79:AA117" si="48">Z79-Y79-S79</f>
        <v>0</v>
      </c>
    </row>
    <row r="80" spans="1:27" s="402" customFormat="1" ht="25.5" x14ac:dyDescent="0.25">
      <c r="A80" s="241"/>
      <c r="B80" s="242"/>
      <c r="C80" s="242"/>
      <c r="D80" s="243"/>
      <c r="E80" s="243">
        <v>2</v>
      </c>
      <c r="F80" s="244"/>
      <c r="G80" s="244"/>
      <c r="H80" s="244"/>
      <c r="I80" s="245"/>
      <c r="J80" s="246" t="s">
        <v>818</v>
      </c>
      <c r="K80" s="247">
        <f>'9melléklet Személyi jell.'!G8</f>
        <v>2196000</v>
      </c>
      <c r="L80" s="247">
        <f>'9melléklet Személyi jell.'!G22</f>
        <v>439200</v>
      </c>
      <c r="M80" s="247">
        <f>'10mell. Dologi kiadások'!AB64</f>
        <v>1230000</v>
      </c>
      <c r="N80" s="247"/>
      <c r="O80" s="247"/>
      <c r="P80" s="247"/>
      <c r="Q80" s="247"/>
      <c r="R80" s="247"/>
      <c r="S80" s="247">
        <f t="shared" ref="S80:S81" si="49">SUM(K80:R80)</f>
        <v>3865200</v>
      </c>
      <c r="T80" s="247"/>
      <c r="U80" s="247"/>
      <c r="V80" s="247"/>
      <c r="W80" s="247"/>
      <c r="X80" s="247"/>
      <c r="Y80" s="530">
        <f t="shared" si="47"/>
        <v>0</v>
      </c>
      <c r="Z80" s="530">
        <f t="shared" si="47"/>
        <v>3865200</v>
      </c>
      <c r="AA80" s="285"/>
    </row>
    <row r="81" spans="1:27" s="402" customFormat="1" x14ac:dyDescent="0.25">
      <c r="A81" s="241"/>
      <c r="B81" s="242"/>
      <c r="C81" s="242"/>
      <c r="D81" s="243"/>
      <c r="E81" s="243"/>
      <c r="F81" s="244"/>
      <c r="G81" s="244"/>
      <c r="H81" s="244"/>
      <c r="I81" s="245"/>
      <c r="J81" s="246" t="s">
        <v>534</v>
      </c>
      <c r="K81" s="247">
        <v>2196000</v>
      </c>
      <c r="L81" s="247">
        <v>439200</v>
      </c>
      <c r="M81" s="247">
        <v>1230000</v>
      </c>
      <c r="N81" s="247"/>
      <c r="O81" s="247"/>
      <c r="P81" s="247"/>
      <c r="Q81" s="247"/>
      <c r="R81" s="247"/>
      <c r="S81" s="247">
        <f t="shared" si="49"/>
        <v>3865200</v>
      </c>
      <c r="T81" s="247"/>
      <c r="U81" s="247"/>
      <c r="V81" s="247"/>
      <c r="W81" s="247"/>
      <c r="X81" s="247"/>
      <c r="Y81" s="247">
        <f>SUM(T81:W81)</f>
        <v>0</v>
      </c>
      <c r="Z81" s="247">
        <f>S81+Y81</f>
        <v>3865200</v>
      </c>
      <c r="AA81" s="285"/>
    </row>
    <row r="82" spans="1:27" ht="31.5" customHeight="1" x14ac:dyDescent="0.25">
      <c r="A82" s="241"/>
      <c r="B82" s="242"/>
      <c r="C82" s="242"/>
      <c r="D82" s="243"/>
      <c r="E82" s="243"/>
      <c r="F82" s="244"/>
      <c r="G82" s="244"/>
      <c r="H82" s="244"/>
      <c r="I82" s="799" t="s">
        <v>604</v>
      </c>
      <c r="J82" s="799"/>
      <c r="K82" s="247">
        <f>K83</f>
        <v>2196000</v>
      </c>
      <c r="L82" s="247">
        <f t="shared" ref="L82:R82" si="50">L83</f>
        <v>439200</v>
      </c>
      <c r="M82" s="247">
        <f t="shared" si="50"/>
        <v>1921000</v>
      </c>
      <c r="N82" s="247">
        <f t="shared" si="50"/>
        <v>0</v>
      </c>
      <c r="O82" s="247">
        <f t="shared" si="50"/>
        <v>0</v>
      </c>
      <c r="P82" s="247">
        <f t="shared" si="50"/>
        <v>0</v>
      </c>
      <c r="Q82" s="247">
        <f t="shared" si="50"/>
        <v>0</v>
      </c>
      <c r="R82" s="247">
        <f t="shared" si="50"/>
        <v>0</v>
      </c>
      <c r="S82" s="247">
        <f>S83</f>
        <v>4556200</v>
      </c>
      <c r="T82" s="247">
        <f t="shared" ref="T82:Y82" si="51">T78</f>
        <v>0</v>
      </c>
      <c r="U82" s="247">
        <f t="shared" si="51"/>
        <v>0</v>
      </c>
      <c r="V82" s="247">
        <f t="shared" si="51"/>
        <v>0</v>
      </c>
      <c r="W82" s="247">
        <f t="shared" si="51"/>
        <v>0</v>
      </c>
      <c r="X82" s="247"/>
      <c r="Y82" s="247">
        <f t="shared" si="51"/>
        <v>0</v>
      </c>
      <c r="Z82" s="247">
        <f>Z83</f>
        <v>4556200</v>
      </c>
      <c r="AA82" s="285">
        <f t="shared" si="48"/>
        <v>0</v>
      </c>
    </row>
    <row r="83" spans="1:27" x14ac:dyDescent="0.25">
      <c r="A83" s="241"/>
      <c r="B83" s="242"/>
      <c r="C83" s="242"/>
      <c r="D83" s="243"/>
      <c r="E83" s="243"/>
      <c r="F83" s="244"/>
      <c r="G83" s="244"/>
      <c r="H83" s="244"/>
      <c r="I83" s="245"/>
      <c r="J83" s="246" t="s">
        <v>534</v>
      </c>
      <c r="K83" s="247">
        <f>K81+K79</f>
        <v>2196000</v>
      </c>
      <c r="L83" s="247">
        <f t="shared" ref="L83:R83" si="52">L81+L79</f>
        <v>439200</v>
      </c>
      <c r="M83" s="247">
        <f t="shared" si="52"/>
        <v>1921000</v>
      </c>
      <c r="N83" s="247">
        <f t="shared" si="52"/>
        <v>0</v>
      </c>
      <c r="O83" s="247">
        <f t="shared" si="52"/>
        <v>0</v>
      </c>
      <c r="P83" s="247">
        <f t="shared" si="52"/>
        <v>0</v>
      </c>
      <c r="Q83" s="247">
        <f t="shared" si="52"/>
        <v>0</v>
      </c>
      <c r="R83" s="247">
        <f t="shared" si="52"/>
        <v>0</v>
      </c>
      <c r="S83" s="247">
        <f>S79+S81</f>
        <v>4556200</v>
      </c>
      <c r="T83" s="247">
        <f t="shared" ref="T83:W83" si="53">T79</f>
        <v>0</v>
      </c>
      <c r="U83" s="247">
        <f t="shared" si="53"/>
        <v>0</v>
      </c>
      <c r="V83" s="247">
        <f t="shared" si="53"/>
        <v>0</v>
      </c>
      <c r="W83" s="247">
        <f t="shared" si="53"/>
        <v>0</v>
      </c>
      <c r="X83" s="247"/>
      <c r="Y83" s="247">
        <f t="shared" ref="Y83:Z83" si="54">Y79+Y81</f>
        <v>0</v>
      </c>
      <c r="Z83" s="247">
        <f t="shared" si="54"/>
        <v>4556200</v>
      </c>
      <c r="AA83" s="285">
        <f t="shared" si="48"/>
        <v>0</v>
      </c>
    </row>
    <row r="84" spans="1:27" s="228" customFormat="1" ht="33.75" customHeight="1" x14ac:dyDescent="0.25">
      <c r="A84" s="241"/>
      <c r="B84" s="242"/>
      <c r="C84" s="242"/>
      <c r="D84" s="243">
        <v>7</v>
      </c>
      <c r="E84" s="243"/>
      <c r="F84" s="244"/>
      <c r="G84" s="244"/>
      <c r="H84" s="244"/>
      <c r="I84" s="804" t="s">
        <v>596</v>
      </c>
      <c r="J84" s="805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85">
        <f t="shared" si="48"/>
        <v>0</v>
      </c>
    </row>
    <row r="85" spans="1:27" ht="36.75" customHeight="1" x14ac:dyDescent="0.25">
      <c r="A85" s="241"/>
      <c r="B85" s="242"/>
      <c r="C85" s="242"/>
      <c r="D85" s="243"/>
      <c r="E85" s="243">
        <v>1</v>
      </c>
      <c r="F85" s="244"/>
      <c r="G85" s="244"/>
      <c r="H85" s="244"/>
      <c r="I85" s="245"/>
      <c r="J85" s="246" t="s">
        <v>710</v>
      </c>
      <c r="K85" s="247">
        <f>K86</f>
        <v>0</v>
      </c>
      <c r="L85" s="247">
        <f t="shared" ref="L85:R85" si="55">L86</f>
        <v>0</v>
      </c>
      <c r="M85" s="247">
        <f t="shared" si="55"/>
        <v>375000</v>
      </c>
      <c r="N85" s="247">
        <f t="shared" si="55"/>
        <v>0</v>
      </c>
      <c r="O85" s="247">
        <f t="shared" si="55"/>
        <v>0</v>
      </c>
      <c r="P85" s="247">
        <f t="shared" si="55"/>
        <v>0</v>
      </c>
      <c r="Q85" s="247">
        <f t="shared" si="55"/>
        <v>0</v>
      </c>
      <c r="R85" s="247">
        <f t="shared" si="55"/>
        <v>0</v>
      </c>
      <c r="S85" s="247">
        <f>SUM(K85:R85)</f>
        <v>375000</v>
      </c>
      <c r="T85" s="247"/>
      <c r="U85" s="247"/>
      <c r="V85" s="247"/>
      <c r="W85" s="247"/>
      <c r="X85" s="247"/>
      <c r="Y85" s="530">
        <f>SUM(Y86)</f>
        <v>0</v>
      </c>
      <c r="Z85" s="530">
        <f>SUM(Z86)</f>
        <v>375000</v>
      </c>
      <c r="AA85" s="285">
        <f t="shared" si="48"/>
        <v>0</v>
      </c>
    </row>
    <row r="86" spans="1:27" s="214" customFormat="1" x14ac:dyDescent="0.25">
      <c r="A86" s="540"/>
      <c r="B86" s="541"/>
      <c r="C86" s="541"/>
      <c r="D86" s="542"/>
      <c r="E86" s="542"/>
      <c r="F86" s="543"/>
      <c r="G86" s="543"/>
      <c r="H86" s="543"/>
      <c r="I86" s="248"/>
      <c r="J86" s="249" t="s">
        <v>597</v>
      </c>
      <c r="K86" s="250"/>
      <c r="L86" s="250"/>
      <c r="M86" s="250">
        <f>'10mell. Dologi kiadások'!AD64</f>
        <v>375000</v>
      </c>
      <c r="N86" s="250"/>
      <c r="O86" s="250"/>
      <c r="P86" s="250"/>
      <c r="Q86" s="250"/>
      <c r="R86" s="250"/>
      <c r="S86" s="250">
        <f>SUM(K86:R86)</f>
        <v>375000</v>
      </c>
      <c r="T86" s="250"/>
      <c r="U86" s="250"/>
      <c r="V86" s="250"/>
      <c r="W86" s="250"/>
      <c r="X86" s="250"/>
      <c r="Y86" s="250">
        <f>SUM(T86:W86)</f>
        <v>0</v>
      </c>
      <c r="Z86" s="250">
        <f>S86+Y86</f>
        <v>375000</v>
      </c>
      <c r="AA86" s="285">
        <f t="shared" si="48"/>
        <v>0</v>
      </c>
    </row>
    <row r="87" spans="1:27" x14ac:dyDescent="0.25">
      <c r="A87" s="241"/>
      <c r="B87" s="242"/>
      <c r="C87" s="242"/>
      <c r="D87" s="243"/>
      <c r="E87" s="243">
        <v>2</v>
      </c>
      <c r="F87" s="244"/>
      <c r="G87" s="244"/>
      <c r="H87" s="244"/>
      <c r="I87" s="245"/>
      <c r="J87" s="246"/>
      <c r="K87" s="247">
        <f>K88</f>
        <v>0</v>
      </c>
      <c r="L87" s="247">
        <f t="shared" ref="L87:R87" si="56">L88</f>
        <v>0</v>
      </c>
      <c r="M87" s="247">
        <f t="shared" si="56"/>
        <v>0</v>
      </c>
      <c r="N87" s="247">
        <f t="shared" si="56"/>
        <v>0</v>
      </c>
      <c r="O87" s="247">
        <f t="shared" si="56"/>
        <v>0</v>
      </c>
      <c r="P87" s="247">
        <f t="shared" si="56"/>
        <v>0</v>
      </c>
      <c r="Q87" s="247">
        <f t="shared" si="56"/>
        <v>0</v>
      </c>
      <c r="R87" s="247">
        <f t="shared" si="56"/>
        <v>0</v>
      </c>
      <c r="S87" s="247">
        <f>SUM(K87:R87)</f>
        <v>0</v>
      </c>
      <c r="T87" s="247"/>
      <c r="U87" s="247"/>
      <c r="V87" s="247"/>
      <c r="W87" s="247"/>
      <c r="X87" s="247"/>
      <c r="Y87" s="530">
        <f>SUM(Y88)</f>
        <v>0</v>
      </c>
      <c r="Z87" s="530">
        <f>SUM(Z88)</f>
        <v>0</v>
      </c>
      <c r="AA87" s="285">
        <f t="shared" si="48"/>
        <v>0</v>
      </c>
    </row>
    <row r="88" spans="1:27" s="214" customFormat="1" x14ac:dyDescent="0.25">
      <c r="A88" s="540"/>
      <c r="B88" s="541"/>
      <c r="C88" s="541"/>
      <c r="D88" s="542"/>
      <c r="E88" s="542"/>
      <c r="F88" s="543"/>
      <c r="G88" s="543"/>
      <c r="H88" s="543"/>
      <c r="I88" s="248"/>
      <c r="J88" s="249" t="s">
        <v>597</v>
      </c>
      <c r="K88" s="250"/>
      <c r="L88" s="250"/>
      <c r="M88" s="250"/>
      <c r="N88" s="250"/>
      <c r="O88" s="250"/>
      <c r="P88" s="250"/>
      <c r="Q88" s="250"/>
      <c r="R88" s="250"/>
      <c r="S88" s="250">
        <f>SUM(K88:R88)</f>
        <v>0</v>
      </c>
      <c r="T88" s="250"/>
      <c r="U88" s="250"/>
      <c r="V88" s="250"/>
      <c r="W88" s="250"/>
      <c r="X88" s="250"/>
      <c r="Y88" s="250">
        <f>SUM(T88:W88)</f>
        <v>0</v>
      </c>
      <c r="Z88" s="250">
        <f>S88+Y88</f>
        <v>0</v>
      </c>
      <c r="AA88" s="285">
        <f t="shared" si="48"/>
        <v>0</v>
      </c>
    </row>
    <row r="89" spans="1:27" ht="42" customHeight="1" x14ac:dyDescent="0.25">
      <c r="A89" s="241"/>
      <c r="B89" s="242"/>
      <c r="C89" s="242"/>
      <c r="D89" s="243"/>
      <c r="E89" s="243"/>
      <c r="F89" s="244"/>
      <c r="G89" s="244"/>
      <c r="H89" s="244"/>
      <c r="I89" s="802" t="s">
        <v>598</v>
      </c>
      <c r="J89" s="803"/>
      <c r="K89" s="247">
        <f>K90</f>
        <v>0</v>
      </c>
      <c r="L89" s="247">
        <f t="shared" ref="L89:Z89" si="57">L90</f>
        <v>0</v>
      </c>
      <c r="M89" s="247">
        <f t="shared" si="57"/>
        <v>375000</v>
      </c>
      <c r="N89" s="247">
        <f t="shared" si="57"/>
        <v>0</v>
      </c>
      <c r="O89" s="247">
        <f t="shared" si="57"/>
        <v>0</v>
      </c>
      <c r="P89" s="247">
        <f t="shared" si="57"/>
        <v>0</v>
      </c>
      <c r="Q89" s="247">
        <f t="shared" si="57"/>
        <v>0</v>
      </c>
      <c r="R89" s="247">
        <f t="shared" si="57"/>
        <v>0</v>
      </c>
      <c r="S89" s="247">
        <f t="shared" si="57"/>
        <v>375000</v>
      </c>
      <c r="T89" s="247">
        <f t="shared" si="57"/>
        <v>0</v>
      </c>
      <c r="U89" s="247">
        <f t="shared" si="57"/>
        <v>0</v>
      </c>
      <c r="V89" s="247">
        <f t="shared" si="57"/>
        <v>0</v>
      </c>
      <c r="W89" s="247">
        <f t="shared" si="57"/>
        <v>0</v>
      </c>
      <c r="X89" s="247"/>
      <c r="Y89" s="247">
        <f t="shared" si="57"/>
        <v>0</v>
      </c>
      <c r="Z89" s="247">
        <f t="shared" si="57"/>
        <v>375000</v>
      </c>
      <c r="AA89" s="285">
        <f t="shared" si="48"/>
        <v>0</v>
      </c>
    </row>
    <row r="90" spans="1:27" x14ac:dyDescent="0.25">
      <c r="A90" s="241"/>
      <c r="B90" s="242"/>
      <c r="C90" s="242"/>
      <c r="D90" s="243"/>
      <c r="E90" s="243"/>
      <c r="F90" s="244"/>
      <c r="G90" s="244"/>
      <c r="H90" s="244"/>
      <c r="I90" s="245"/>
      <c r="J90" s="246" t="s">
        <v>597</v>
      </c>
      <c r="K90" s="247">
        <f>SUM(K86,K88)</f>
        <v>0</v>
      </c>
      <c r="L90" s="247">
        <f t="shared" ref="L90:Z90" si="58">SUM(L86,L88)</f>
        <v>0</v>
      </c>
      <c r="M90" s="247">
        <f t="shared" si="58"/>
        <v>375000</v>
      </c>
      <c r="N90" s="247">
        <f t="shared" si="58"/>
        <v>0</v>
      </c>
      <c r="O90" s="247">
        <f t="shared" si="58"/>
        <v>0</v>
      </c>
      <c r="P90" s="247">
        <f t="shared" si="58"/>
        <v>0</v>
      </c>
      <c r="Q90" s="247">
        <f t="shared" si="58"/>
        <v>0</v>
      </c>
      <c r="R90" s="247">
        <f t="shared" si="58"/>
        <v>0</v>
      </c>
      <c r="S90" s="247">
        <f>SUM(S86,S88)</f>
        <v>375000</v>
      </c>
      <c r="T90" s="247">
        <f t="shared" si="58"/>
        <v>0</v>
      </c>
      <c r="U90" s="247">
        <f t="shared" si="58"/>
        <v>0</v>
      </c>
      <c r="V90" s="247">
        <f t="shared" si="58"/>
        <v>0</v>
      </c>
      <c r="W90" s="247">
        <f t="shared" si="58"/>
        <v>0</v>
      </c>
      <c r="X90" s="247"/>
      <c r="Y90" s="247">
        <f t="shared" si="58"/>
        <v>0</v>
      </c>
      <c r="Z90" s="247">
        <f t="shared" si="58"/>
        <v>375000</v>
      </c>
      <c r="AA90" s="285">
        <f t="shared" si="48"/>
        <v>0</v>
      </c>
    </row>
    <row r="91" spans="1:27" x14ac:dyDescent="0.25">
      <c r="A91" s="241"/>
      <c r="B91" s="242"/>
      <c r="C91" s="242"/>
      <c r="D91" s="243">
        <v>8</v>
      </c>
      <c r="E91" s="243"/>
      <c r="F91" s="244"/>
      <c r="G91" s="244"/>
      <c r="H91" s="244"/>
      <c r="I91" s="798" t="s">
        <v>444</v>
      </c>
      <c r="J91" s="798"/>
      <c r="K91" s="530"/>
      <c r="L91" s="530"/>
      <c r="M91" s="531"/>
      <c r="N91" s="530"/>
      <c r="O91" s="530"/>
      <c r="P91" s="530"/>
      <c r="Q91" s="530"/>
      <c r="R91" s="530"/>
      <c r="S91" s="247"/>
      <c r="T91" s="530"/>
      <c r="U91" s="530"/>
      <c r="V91" s="530"/>
      <c r="W91" s="530"/>
      <c r="X91" s="530"/>
      <c r="Y91" s="247"/>
      <c r="Z91" s="247"/>
      <c r="AA91" s="285">
        <f t="shared" si="48"/>
        <v>0</v>
      </c>
    </row>
    <row r="92" spans="1:27" x14ac:dyDescent="0.25">
      <c r="A92" s="241"/>
      <c r="B92" s="242"/>
      <c r="C92" s="242"/>
      <c r="D92" s="243"/>
      <c r="E92" s="243" t="s">
        <v>484</v>
      </c>
      <c r="F92" s="244"/>
      <c r="G92" s="244"/>
      <c r="H92" s="244"/>
      <c r="I92" s="244"/>
      <c r="J92" s="532" t="s">
        <v>554</v>
      </c>
      <c r="K92" s="533">
        <f>SUM(K93:K93)</f>
        <v>1622478</v>
      </c>
      <c r="L92" s="533">
        <f>SUM(L93:L93)</f>
        <v>324495.60000000003</v>
      </c>
      <c r="M92" s="533">
        <f>SUM(M93:M93)</f>
        <v>0</v>
      </c>
      <c r="N92" s="533">
        <f>SUM(N93:N93)</f>
        <v>0</v>
      </c>
      <c r="O92" s="533"/>
      <c r="P92" s="533">
        <f t="shared" ref="P92:W92" si="59">SUM(P93:P93)</f>
        <v>0</v>
      </c>
      <c r="Q92" s="533">
        <f t="shared" si="59"/>
        <v>0</v>
      </c>
      <c r="R92" s="533">
        <f t="shared" si="59"/>
        <v>0</v>
      </c>
      <c r="S92" s="247">
        <f t="shared" si="59"/>
        <v>1946973.6</v>
      </c>
      <c r="T92" s="533">
        <f t="shared" si="59"/>
        <v>0</v>
      </c>
      <c r="U92" s="533">
        <f t="shared" si="59"/>
        <v>0</v>
      </c>
      <c r="V92" s="533">
        <f t="shared" si="59"/>
        <v>0</v>
      </c>
      <c r="W92" s="533">
        <f t="shared" si="59"/>
        <v>0</v>
      </c>
      <c r="X92" s="533"/>
      <c r="Y92" s="247">
        <f>SUM(T92:W92)</f>
        <v>0</v>
      </c>
      <c r="Z92" s="247">
        <f>S92+Y92</f>
        <v>1946973.6</v>
      </c>
      <c r="AA92" s="285">
        <f t="shared" si="48"/>
        <v>0</v>
      </c>
    </row>
    <row r="93" spans="1:27" x14ac:dyDescent="0.25">
      <c r="A93" s="241"/>
      <c r="B93" s="242"/>
      <c r="C93" s="242"/>
      <c r="D93" s="243"/>
      <c r="E93" s="243"/>
      <c r="F93" s="244"/>
      <c r="G93" s="244"/>
      <c r="H93" s="244"/>
      <c r="I93" s="244"/>
      <c r="J93" s="534" t="s">
        <v>534</v>
      </c>
      <c r="K93" s="530">
        <f>'9melléklet Személyi jell.'!H21</f>
        <v>1622478</v>
      </c>
      <c r="L93" s="530">
        <f>'9melléklet Személyi jell.'!H22</f>
        <v>324495.60000000003</v>
      </c>
      <c r="M93" s="531"/>
      <c r="N93" s="530"/>
      <c r="O93" s="530"/>
      <c r="P93" s="530"/>
      <c r="Q93" s="530"/>
      <c r="R93" s="530"/>
      <c r="S93" s="247">
        <f>SUM(K93:R93)</f>
        <v>1946973.6</v>
      </c>
      <c r="T93" s="530"/>
      <c r="U93" s="530"/>
      <c r="V93" s="530"/>
      <c r="W93" s="530"/>
      <c r="X93" s="530"/>
      <c r="Y93" s="247">
        <f>SUM(T93:W93)</f>
        <v>0</v>
      </c>
      <c r="Z93" s="247">
        <f>S93+Y93</f>
        <v>1946973.6</v>
      </c>
      <c r="AA93" s="285">
        <f t="shared" si="48"/>
        <v>0</v>
      </c>
    </row>
    <row r="94" spans="1:27" x14ac:dyDescent="0.25">
      <c r="A94" s="241"/>
      <c r="B94" s="242"/>
      <c r="C94" s="242"/>
      <c r="D94" s="243"/>
      <c r="E94" s="243"/>
      <c r="F94" s="244"/>
      <c r="G94" s="244"/>
      <c r="H94" s="244"/>
      <c r="I94" s="799" t="s">
        <v>555</v>
      </c>
      <c r="J94" s="799"/>
      <c r="K94" s="247">
        <f t="shared" ref="K94:Z94" si="60">K92</f>
        <v>1622478</v>
      </c>
      <c r="L94" s="247">
        <f t="shared" si="60"/>
        <v>324495.60000000003</v>
      </c>
      <c r="M94" s="247">
        <f t="shared" si="60"/>
        <v>0</v>
      </c>
      <c r="N94" s="247">
        <f t="shared" si="60"/>
        <v>0</v>
      </c>
      <c r="O94" s="247">
        <f t="shared" si="60"/>
        <v>0</v>
      </c>
      <c r="P94" s="247">
        <f t="shared" si="60"/>
        <v>0</v>
      </c>
      <c r="Q94" s="247">
        <f t="shared" si="60"/>
        <v>0</v>
      </c>
      <c r="R94" s="247">
        <f t="shared" si="60"/>
        <v>0</v>
      </c>
      <c r="S94" s="247">
        <f t="shared" si="60"/>
        <v>1946973.6</v>
      </c>
      <c r="T94" s="247">
        <f t="shared" si="60"/>
        <v>0</v>
      </c>
      <c r="U94" s="247">
        <f t="shared" si="60"/>
        <v>0</v>
      </c>
      <c r="V94" s="247">
        <f t="shared" si="60"/>
        <v>0</v>
      </c>
      <c r="W94" s="247">
        <f t="shared" si="60"/>
        <v>0</v>
      </c>
      <c r="X94" s="247"/>
      <c r="Y94" s="247">
        <f t="shared" si="60"/>
        <v>0</v>
      </c>
      <c r="Z94" s="247">
        <f t="shared" si="60"/>
        <v>1946973.6</v>
      </c>
      <c r="AA94" s="285">
        <f t="shared" si="48"/>
        <v>0</v>
      </c>
    </row>
    <row r="95" spans="1:27" x14ac:dyDescent="0.25">
      <c r="A95" s="241"/>
      <c r="B95" s="242"/>
      <c r="C95" s="242"/>
      <c r="D95" s="243"/>
      <c r="E95" s="243"/>
      <c r="F95" s="244"/>
      <c r="G95" s="244"/>
      <c r="H95" s="244"/>
      <c r="I95" s="245"/>
      <c r="J95" s="246" t="s">
        <v>534</v>
      </c>
      <c r="K95" s="247">
        <f t="shared" ref="K95:Z95" si="61">K93</f>
        <v>1622478</v>
      </c>
      <c r="L95" s="247">
        <f t="shared" si="61"/>
        <v>324495.60000000003</v>
      </c>
      <c r="M95" s="247">
        <f t="shared" si="61"/>
        <v>0</v>
      </c>
      <c r="N95" s="247">
        <f t="shared" si="61"/>
        <v>0</v>
      </c>
      <c r="O95" s="247">
        <f t="shared" si="61"/>
        <v>0</v>
      </c>
      <c r="P95" s="247">
        <f t="shared" si="61"/>
        <v>0</v>
      </c>
      <c r="Q95" s="247">
        <f t="shared" si="61"/>
        <v>0</v>
      </c>
      <c r="R95" s="247">
        <f t="shared" si="61"/>
        <v>0</v>
      </c>
      <c r="S95" s="247">
        <f t="shared" si="61"/>
        <v>1946973.6</v>
      </c>
      <c r="T95" s="247">
        <f t="shared" si="61"/>
        <v>0</v>
      </c>
      <c r="U95" s="247">
        <f t="shared" si="61"/>
        <v>0</v>
      </c>
      <c r="V95" s="247">
        <f t="shared" si="61"/>
        <v>0</v>
      </c>
      <c r="W95" s="247">
        <f t="shared" si="61"/>
        <v>0</v>
      </c>
      <c r="X95" s="247"/>
      <c r="Y95" s="247">
        <f t="shared" si="61"/>
        <v>0</v>
      </c>
      <c r="Z95" s="247">
        <f t="shared" si="61"/>
        <v>1946973.6</v>
      </c>
      <c r="AA95" s="285">
        <f t="shared" si="48"/>
        <v>0</v>
      </c>
    </row>
    <row r="96" spans="1:27" x14ac:dyDescent="0.25">
      <c r="A96" s="241"/>
      <c r="B96" s="242"/>
      <c r="C96" s="242"/>
      <c r="D96" s="243">
        <v>9</v>
      </c>
      <c r="E96" s="243"/>
      <c r="F96" s="244"/>
      <c r="G96" s="244"/>
      <c r="H96" s="244"/>
      <c r="I96" s="798" t="s">
        <v>447</v>
      </c>
      <c r="J96" s="798"/>
      <c r="K96" s="530"/>
      <c r="L96" s="530"/>
      <c r="M96" s="531"/>
      <c r="N96" s="530"/>
      <c r="O96" s="530"/>
      <c r="P96" s="530"/>
      <c r="Q96" s="530"/>
      <c r="R96" s="530"/>
      <c r="S96" s="247"/>
      <c r="T96" s="530"/>
      <c r="U96" s="530"/>
      <c r="V96" s="530"/>
      <c r="W96" s="530"/>
      <c r="X96" s="530"/>
      <c r="Y96" s="247"/>
      <c r="Z96" s="247"/>
      <c r="AA96" s="285">
        <f t="shared" si="48"/>
        <v>0</v>
      </c>
    </row>
    <row r="97" spans="1:27" ht="25.5" x14ac:dyDescent="0.25">
      <c r="A97" s="241"/>
      <c r="B97" s="242"/>
      <c r="C97" s="242"/>
      <c r="D97" s="243"/>
      <c r="E97" s="243" t="s">
        <v>484</v>
      </c>
      <c r="F97" s="244"/>
      <c r="G97" s="244"/>
      <c r="H97" s="244"/>
      <c r="I97" s="532"/>
      <c r="J97" s="532" t="s">
        <v>556</v>
      </c>
      <c r="K97" s="533">
        <f>SUM(K98:K98)</f>
        <v>0</v>
      </c>
      <c r="L97" s="533">
        <f>SUM(L98:L98)</f>
        <v>0</v>
      </c>
      <c r="M97" s="533">
        <f>SUM(M98:M98)</f>
        <v>0</v>
      </c>
      <c r="N97" s="533">
        <f>SUM(N98:N98)</f>
        <v>0</v>
      </c>
      <c r="O97" s="533"/>
      <c r="P97" s="533">
        <f t="shared" ref="P97:W97" si="62">SUM(P98:P98)</f>
        <v>0</v>
      </c>
      <c r="Q97" s="533">
        <f t="shared" si="62"/>
        <v>700000</v>
      </c>
      <c r="R97" s="533">
        <f t="shared" si="62"/>
        <v>0</v>
      </c>
      <c r="S97" s="247">
        <f t="shared" si="62"/>
        <v>700000</v>
      </c>
      <c r="T97" s="533">
        <f t="shared" si="62"/>
        <v>0</v>
      </c>
      <c r="U97" s="533">
        <f t="shared" si="62"/>
        <v>0</v>
      </c>
      <c r="V97" s="533">
        <f t="shared" si="62"/>
        <v>0</v>
      </c>
      <c r="W97" s="533">
        <f t="shared" si="62"/>
        <v>0</v>
      </c>
      <c r="X97" s="533"/>
      <c r="Y97" s="247">
        <f>SUM(T97:W97)</f>
        <v>0</v>
      </c>
      <c r="Z97" s="247">
        <f>S97+Y97</f>
        <v>700000</v>
      </c>
      <c r="AA97" s="285">
        <f t="shared" si="48"/>
        <v>0</v>
      </c>
    </row>
    <row r="98" spans="1:27" ht="24.75" customHeight="1" x14ac:dyDescent="0.25">
      <c r="A98" s="241"/>
      <c r="B98" s="242"/>
      <c r="C98" s="242"/>
      <c r="D98" s="243"/>
      <c r="E98" s="243"/>
      <c r="F98" s="244"/>
      <c r="G98" s="244"/>
      <c r="H98" s="244"/>
      <c r="I98" s="532"/>
      <c r="J98" s="534" t="s">
        <v>543</v>
      </c>
      <c r="K98" s="530"/>
      <c r="L98" s="530"/>
      <c r="M98" s="531"/>
      <c r="N98" s="530"/>
      <c r="O98" s="530"/>
      <c r="P98" s="530"/>
      <c r="Q98" s="530">
        <f>'12 melléklet Átadott pénzeszköz'!C10</f>
        <v>700000</v>
      </c>
      <c r="R98" s="530"/>
      <c r="S98" s="247">
        <f>SUM(K98:R98)</f>
        <v>700000</v>
      </c>
      <c r="T98" s="530"/>
      <c r="U98" s="530"/>
      <c r="V98" s="530"/>
      <c r="W98" s="530"/>
      <c r="X98" s="530"/>
      <c r="Y98" s="247">
        <f>SUM(T98:W98)</f>
        <v>0</v>
      </c>
      <c r="Z98" s="247">
        <f>S98+Y98</f>
        <v>700000</v>
      </c>
      <c r="AA98" s="285">
        <f t="shared" si="48"/>
        <v>0</v>
      </c>
    </row>
    <row r="99" spans="1:27" s="88" customFormat="1" x14ac:dyDescent="0.25">
      <c r="A99" s="241"/>
      <c r="B99" s="242"/>
      <c r="C99" s="242"/>
      <c r="D99" s="243"/>
      <c r="E99" s="243" t="s">
        <v>488</v>
      </c>
      <c r="F99" s="244"/>
      <c r="G99" s="244"/>
      <c r="H99" s="244"/>
      <c r="I99" s="532"/>
      <c r="J99" s="536" t="s">
        <v>557</v>
      </c>
      <c r="K99" s="537">
        <f>SUM(K100)</f>
        <v>0</v>
      </c>
      <c r="L99" s="537">
        <f t="shared" ref="L99:Z101" si="63">SUM(L100)</f>
        <v>0</v>
      </c>
      <c r="M99" s="537">
        <f t="shared" si="63"/>
        <v>0</v>
      </c>
      <c r="N99" s="537">
        <f t="shared" si="63"/>
        <v>0</v>
      </c>
      <c r="O99" s="537">
        <f t="shared" si="63"/>
        <v>0</v>
      </c>
      <c r="P99" s="537">
        <f t="shared" si="63"/>
        <v>0</v>
      </c>
      <c r="Q99" s="537">
        <f t="shared" si="63"/>
        <v>0</v>
      </c>
      <c r="R99" s="537">
        <f t="shared" si="63"/>
        <v>0</v>
      </c>
      <c r="S99" s="537">
        <f t="shared" si="63"/>
        <v>0</v>
      </c>
      <c r="T99" s="537">
        <f t="shared" si="63"/>
        <v>0</v>
      </c>
      <c r="U99" s="537">
        <f t="shared" si="63"/>
        <v>0</v>
      </c>
      <c r="V99" s="537">
        <f t="shared" si="63"/>
        <v>0</v>
      </c>
      <c r="W99" s="537">
        <f t="shared" si="63"/>
        <v>0</v>
      </c>
      <c r="X99" s="537"/>
      <c r="Y99" s="537">
        <f t="shared" si="63"/>
        <v>0</v>
      </c>
      <c r="Z99" s="537">
        <f t="shared" si="63"/>
        <v>0</v>
      </c>
      <c r="AA99" s="285">
        <f t="shared" si="48"/>
        <v>0</v>
      </c>
    </row>
    <row r="100" spans="1:27" ht="39.75" customHeight="1" x14ac:dyDescent="0.25">
      <c r="A100" s="241"/>
      <c r="B100" s="242"/>
      <c r="C100" s="242"/>
      <c r="D100" s="243"/>
      <c r="E100" s="243"/>
      <c r="F100" s="244"/>
      <c r="G100" s="244"/>
      <c r="H100" s="244"/>
      <c r="I100" s="532"/>
      <c r="J100" s="534" t="s">
        <v>543</v>
      </c>
      <c r="K100" s="530"/>
      <c r="L100" s="530"/>
      <c r="M100" s="531"/>
      <c r="N100" s="530"/>
      <c r="O100" s="530"/>
      <c r="P100" s="530"/>
      <c r="Q100" s="530"/>
      <c r="R100" s="530"/>
      <c r="S100" s="247">
        <f>SUM(K100:R100)</f>
        <v>0</v>
      </c>
      <c r="T100" s="530"/>
      <c r="U100" s="530"/>
      <c r="V100" s="530"/>
      <c r="W100" s="530"/>
      <c r="X100" s="530"/>
      <c r="Y100" s="247"/>
      <c r="Z100" s="247">
        <f>S100+Y100</f>
        <v>0</v>
      </c>
      <c r="AA100" s="285">
        <f t="shared" si="48"/>
        <v>0</v>
      </c>
    </row>
    <row r="101" spans="1:27" s="336" customFormat="1" ht="39.75" customHeight="1" x14ac:dyDescent="0.25">
      <c r="A101" s="241"/>
      <c r="B101" s="242"/>
      <c r="C101" s="242"/>
      <c r="D101" s="243"/>
      <c r="E101" s="243" t="s">
        <v>492</v>
      </c>
      <c r="F101" s="244"/>
      <c r="G101" s="244"/>
      <c r="H101" s="244"/>
      <c r="I101" s="532"/>
      <c r="J101" s="536" t="s">
        <v>701</v>
      </c>
      <c r="K101" s="537">
        <f>SUM(K102)</f>
        <v>0</v>
      </c>
      <c r="L101" s="537">
        <f t="shared" si="63"/>
        <v>0</v>
      </c>
      <c r="M101" s="537">
        <f t="shared" si="63"/>
        <v>0</v>
      </c>
      <c r="N101" s="537">
        <f t="shared" si="63"/>
        <v>0</v>
      </c>
      <c r="O101" s="537">
        <f t="shared" si="63"/>
        <v>0</v>
      </c>
      <c r="P101" s="537">
        <f t="shared" si="63"/>
        <v>0</v>
      </c>
      <c r="Q101" s="537">
        <f t="shared" si="63"/>
        <v>0</v>
      </c>
      <c r="R101" s="537">
        <f t="shared" si="63"/>
        <v>0</v>
      </c>
      <c r="S101" s="247">
        <f t="shared" ref="S101:S102" si="64">SUM(K101:R101)</f>
        <v>0</v>
      </c>
      <c r="T101" s="530"/>
      <c r="U101" s="530"/>
      <c r="V101" s="530"/>
      <c r="W101" s="530"/>
      <c r="X101" s="530"/>
      <c r="Y101" s="247"/>
      <c r="Z101" s="247"/>
      <c r="AA101" s="285"/>
    </row>
    <row r="102" spans="1:27" s="336" customFormat="1" ht="39.75" customHeight="1" x14ac:dyDescent="0.25">
      <c r="A102" s="241"/>
      <c r="B102" s="242"/>
      <c r="C102" s="242"/>
      <c r="D102" s="243"/>
      <c r="E102" s="243"/>
      <c r="F102" s="244"/>
      <c r="G102" s="244"/>
      <c r="H102" s="244"/>
      <c r="I102" s="532"/>
      <c r="J102" s="534" t="s">
        <v>703</v>
      </c>
      <c r="K102" s="530"/>
      <c r="L102" s="530"/>
      <c r="M102" s="531"/>
      <c r="N102" s="530"/>
      <c r="O102" s="530"/>
      <c r="P102" s="530"/>
      <c r="Q102" s="530"/>
      <c r="R102" s="530"/>
      <c r="S102" s="247">
        <f t="shared" si="64"/>
        <v>0</v>
      </c>
      <c r="T102" s="530"/>
      <c r="U102" s="530"/>
      <c r="V102" s="530"/>
      <c r="W102" s="530"/>
      <c r="X102" s="530"/>
      <c r="Y102" s="247"/>
      <c r="Z102" s="247"/>
      <c r="AA102" s="285"/>
    </row>
    <row r="103" spans="1:27" x14ac:dyDescent="0.25">
      <c r="A103" s="241"/>
      <c r="B103" s="242"/>
      <c r="C103" s="242"/>
      <c r="D103" s="243"/>
      <c r="E103" s="243"/>
      <c r="F103" s="244"/>
      <c r="G103" s="244"/>
      <c r="H103" s="244"/>
      <c r="I103" s="799" t="s">
        <v>558</v>
      </c>
      <c r="J103" s="799"/>
      <c r="K103" s="548">
        <f>SUM(K104:K105)</f>
        <v>0</v>
      </c>
      <c r="L103" s="548">
        <f t="shared" ref="L103:R103" si="65">SUM(L104:L105)</f>
        <v>0</v>
      </c>
      <c r="M103" s="548">
        <f t="shared" si="65"/>
        <v>0</v>
      </c>
      <c r="N103" s="548">
        <f t="shared" si="65"/>
        <v>0</v>
      </c>
      <c r="O103" s="548">
        <f t="shared" si="65"/>
        <v>0</v>
      </c>
      <c r="P103" s="548">
        <f t="shared" si="65"/>
        <v>0</v>
      </c>
      <c r="Q103" s="548">
        <f t="shared" si="65"/>
        <v>700000</v>
      </c>
      <c r="R103" s="548">
        <f t="shared" si="65"/>
        <v>0</v>
      </c>
      <c r="S103" s="548">
        <f>SUM(S104:S105)</f>
        <v>700000</v>
      </c>
      <c r="T103" s="548">
        <f t="shared" ref="T103:Y103" si="66">T105</f>
        <v>0</v>
      </c>
      <c r="U103" s="548">
        <f t="shared" si="66"/>
        <v>0</v>
      </c>
      <c r="V103" s="548">
        <f t="shared" si="66"/>
        <v>0</v>
      </c>
      <c r="W103" s="548">
        <f t="shared" si="66"/>
        <v>0</v>
      </c>
      <c r="X103" s="548"/>
      <c r="Y103" s="548">
        <f t="shared" si="66"/>
        <v>0</v>
      </c>
      <c r="Z103" s="548">
        <f>SUM(Z104:Z105)</f>
        <v>700000</v>
      </c>
      <c r="AA103" s="285">
        <f t="shared" si="48"/>
        <v>0</v>
      </c>
    </row>
    <row r="104" spans="1:27" s="88" customFormat="1" x14ac:dyDescent="0.25">
      <c r="A104" s="241"/>
      <c r="B104" s="242"/>
      <c r="C104" s="242"/>
      <c r="D104" s="243"/>
      <c r="E104" s="243"/>
      <c r="F104" s="244"/>
      <c r="G104" s="244"/>
      <c r="H104" s="244"/>
      <c r="I104" s="246"/>
      <c r="J104" s="246" t="s">
        <v>464</v>
      </c>
      <c r="K104" s="538">
        <f>K102</f>
        <v>0</v>
      </c>
      <c r="L104" s="538">
        <f t="shared" ref="L104:R104" si="67">L102</f>
        <v>0</v>
      </c>
      <c r="M104" s="538">
        <f t="shared" si="67"/>
        <v>0</v>
      </c>
      <c r="N104" s="538">
        <f t="shared" si="67"/>
        <v>0</v>
      </c>
      <c r="O104" s="538">
        <f t="shared" si="67"/>
        <v>0</v>
      </c>
      <c r="P104" s="538">
        <f t="shared" si="67"/>
        <v>0</v>
      </c>
      <c r="Q104" s="538">
        <f t="shared" si="67"/>
        <v>0</v>
      </c>
      <c r="R104" s="538">
        <f t="shared" si="67"/>
        <v>0</v>
      </c>
      <c r="S104" s="538">
        <f>SUM(K104:R104)</f>
        <v>0</v>
      </c>
      <c r="T104" s="538"/>
      <c r="U104" s="538"/>
      <c r="V104" s="538"/>
      <c r="W104" s="538"/>
      <c r="X104" s="538"/>
      <c r="Y104" s="538"/>
      <c r="Z104" s="538">
        <f>SUM(S104,Y104)</f>
        <v>0</v>
      </c>
      <c r="AA104" s="285">
        <f t="shared" si="48"/>
        <v>0</v>
      </c>
    </row>
    <row r="105" spans="1:27" s="88" customFormat="1" ht="30" x14ac:dyDescent="0.25">
      <c r="A105" s="241"/>
      <c r="B105" s="242"/>
      <c r="C105" s="242"/>
      <c r="D105" s="243"/>
      <c r="E105" s="243"/>
      <c r="F105" s="244"/>
      <c r="G105" s="244"/>
      <c r="H105" s="244"/>
      <c r="I105" s="245"/>
      <c r="J105" s="539" t="s">
        <v>543</v>
      </c>
      <c r="K105" s="538">
        <f t="shared" ref="K105:R105" si="68">K98+K100</f>
        <v>0</v>
      </c>
      <c r="L105" s="538">
        <f t="shared" si="68"/>
        <v>0</v>
      </c>
      <c r="M105" s="538">
        <f t="shared" si="68"/>
        <v>0</v>
      </c>
      <c r="N105" s="538">
        <f t="shared" si="68"/>
        <v>0</v>
      </c>
      <c r="O105" s="538">
        <f t="shared" si="68"/>
        <v>0</v>
      </c>
      <c r="P105" s="538">
        <f t="shared" si="68"/>
        <v>0</v>
      </c>
      <c r="Q105" s="538">
        <f t="shared" si="68"/>
        <v>700000</v>
      </c>
      <c r="R105" s="538">
        <f t="shared" si="68"/>
        <v>0</v>
      </c>
      <c r="S105" s="538">
        <f t="shared" ref="S105:Z105" si="69">S98+S100</f>
        <v>700000</v>
      </c>
      <c r="T105" s="538">
        <f t="shared" si="69"/>
        <v>0</v>
      </c>
      <c r="U105" s="538">
        <f t="shared" si="69"/>
        <v>0</v>
      </c>
      <c r="V105" s="538">
        <f t="shared" si="69"/>
        <v>0</v>
      </c>
      <c r="W105" s="538">
        <f t="shared" si="69"/>
        <v>0</v>
      </c>
      <c r="X105" s="538"/>
      <c r="Y105" s="538">
        <f t="shared" si="69"/>
        <v>0</v>
      </c>
      <c r="Z105" s="538">
        <f t="shared" si="69"/>
        <v>700000</v>
      </c>
      <c r="AA105" s="285">
        <f t="shared" si="48"/>
        <v>0</v>
      </c>
    </row>
    <row r="106" spans="1:27" x14ac:dyDescent="0.25">
      <c r="A106" s="241"/>
      <c r="B106" s="242"/>
      <c r="C106" s="242"/>
      <c r="D106" s="243"/>
      <c r="E106" s="243"/>
      <c r="F106" s="244"/>
      <c r="G106" s="244"/>
      <c r="H106" s="244"/>
      <c r="I106" s="245"/>
      <c r="J106" s="549"/>
      <c r="K106" s="548"/>
      <c r="L106" s="548"/>
      <c r="M106" s="548"/>
      <c r="N106" s="548"/>
      <c r="O106" s="548"/>
      <c r="P106" s="548"/>
      <c r="Q106" s="548"/>
      <c r="R106" s="548"/>
      <c r="S106" s="548"/>
      <c r="T106" s="548"/>
      <c r="U106" s="548"/>
      <c r="V106" s="548"/>
      <c r="W106" s="548"/>
      <c r="X106" s="548"/>
      <c r="Y106" s="548"/>
      <c r="Z106" s="548"/>
      <c r="AA106" s="285">
        <f t="shared" si="48"/>
        <v>0</v>
      </c>
    </row>
    <row r="107" spans="1:27" ht="31.5" customHeight="1" x14ac:dyDescent="0.25">
      <c r="A107" s="241"/>
      <c r="B107" s="242"/>
      <c r="C107" s="242"/>
      <c r="D107" s="243"/>
      <c r="E107" s="243"/>
      <c r="F107" s="799" t="s">
        <v>559</v>
      </c>
      <c r="G107" s="799"/>
      <c r="H107" s="799"/>
      <c r="I107" s="799"/>
      <c r="J107" s="799"/>
      <c r="K107" s="550">
        <f>SUM(K108:K109)</f>
        <v>24700064</v>
      </c>
      <c r="L107" s="550">
        <f t="shared" ref="L107:Z107" si="70">SUM(L108:L109)</f>
        <v>4940012.8</v>
      </c>
      <c r="M107" s="550">
        <f t="shared" si="70"/>
        <v>22746341</v>
      </c>
      <c r="N107" s="550">
        <f t="shared" si="70"/>
        <v>4250000</v>
      </c>
      <c r="O107" s="550">
        <f t="shared" si="70"/>
        <v>0</v>
      </c>
      <c r="P107" s="550">
        <f t="shared" si="70"/>
        <v>682000</v>
      </c>
      <c r="Q107" s="550">
        <f t="shared" si="70"/>
        <v>700000</v>
      </c>
      <c r="R107" s="550">
        <f t="shared" si="70"/>
        <v>0</v>
      </c>
      <c r="S107" s="550">
        <f>SUM(S108:S109)</f>
        <v>58018417.799999997</v>
      </c>
      <c r="T107" s="550">
        <f t="shared" si="70"/>
        <v>0</v>
      </c>
      <c r="U107" s="550">
        <f t="shared" si="70"/>
        <v>0</v>
      </c>
      <c r="V107" s="550">
        <f t="shared" si="70"/>
        <v>0</v>
      </c>
      <c r="W107" s="550">
        <f t="shared" si="70"/>
        <v>0</v>
      </c>
      <c r="X107" s="550"/>
      <c r="Y107" s="550">
        <f t="shared" si="70"/>
        <v>0</v>
      </c>
      <c r="Z107" s="550">
        <f t="shared" si="70"/>
        <v>58018417.799999997</v>
      </c>
      <c r="AA107" s="285">
        <f t="shared" si="48"/>
        <v>0</v>
      </c>
    </row>
    <row r="108" spans="1:27" s="88" customFormat="1" x14ac:dyDescent="0.25">
      <c r="A108" s="241"/>
      <c r="B108" s="242"/>
      <c r="C108" s="242"/>
      <c r="D108" s="243"/>
      <c r="E108" s="243"/>
      <c r="F108" s="532"/>
      <c r="G108" s="244"/>
      <c r="H108" s="244"/>
      <c r="I108" s="244"/>
      <c r="J108" s="536" t="s">
        <v>534</v>
      </c>
      <c r="K108" s="550">
        <f t="shared" ref="K108:R108" si="71">SUM(K17,K37,K63,K76,K95,K83,K104)</f>
        <v>24700064</v>
      </c>
      <c r="L108" s="550">
        <f t="shared" si="71"/>
        <v>4940012.8</v>
      </c>
      <c r="M108" s="550">
        <f t="shared" si="71"/>
        <v>22371341</v>
      </c>
      <c r="N108" s="550">
        <f t="shared" si="71"/>
        <v>4250000</v>
      </c>
      <c r="O108" s="550">
        <f t="shared" si="71"/>
        <v>0</v>
      </c>
      <c r="P108" s="550">
        <f t="shared" si="71"/>
        <v>682000</v>
      </c>
      <c r="Q108" s="550">
        <f t="shared" si="71"/>
        <v>0</v>
      </c>
      <c r="R108" s="550">
        <f t="shared" si="71"/>
        <v>0</v>
      </c>
      <c r="S108" s="550">
        <f>SUM(K108:R108)</f>
        <v>56943417.799999997</v>
      </c>
      <c r="T108" s="550">
        <f>SUM(T17,T37,T63,T76,T95,T83)</f>
        <v>0</v>
      </c>
      <c r="U108" s="550">
        <f>SUM(U17,U37,U63,U76,U95,U83)</f>
        <v>0</v>
      </c>
      <c r="V108" s="550">
        <f>SUM(V17,V37,V63,V76,V95,V83)</f>
        <v>0</v>
      </c>
      <c r="W108" s="550">
        <f>SUM(W17,W37,W63,W76,W95,W83)</f>
        <v>0</v>
      </c>
      <c r="X108" s="550"/>
      <c r="Y108" s="550">
        <f>SUM(Y17,Y37,Y63,Y76,Y95,Y105,Y83)</f>
        <v>0</v>
      </c>
      <c r="Z108" s="550">
        <f>S108+Y108</f>
        <v>56943417.799999997</v>
      </c>
      <c r="AA108" s="285">
        <f t="shared" si="48"/>
        <v>0</v>
      </c>
    </row>
    <row r="109" spans="1:27" s="88" customFormat="1" ht="30" x14ac:dyDescent="0.25">
      <c r="A109" s="241"/>
      <c r="B109" s="242"/>
      <c r="C109" s="242"/>
      <c r="D109" s="243"/>
      <c r="E109" s="243"/>
      <c r="F109" s="532"/>
      <c r="G109" s="244"/>
      <c r="H109" s="244"/>
      <c r="I109" s="244"/>
      <c r="J109" s="536" t="s">
        <v>543</v>
      </c>
      <c r="K109" s="550">
        <f t="shared" ref="K109:Z109" si="72">K45+K105+K90</f>
        <v>0</v>
      </c>
      <c r="L109" s="550">
        <f t="shared" si="72"/>
        <v>0</v>
      </c>
      <c r="M109" s="550">
        <f t="shared" si="72"/>
        <v>375000</v>
      </c>
      <c r="N109" s="550">
        <f t="shared" si="72"/>
        <v>0</v>
      </c>
      <c r="O109" s="550">
        <f t="shared" si="72"/>
        <v>0</v>
      </c>
      <c r="P109" s="550">
        <f t="shared" si="72"/>
        <v>0</v>
      </c>
      <c r="Q109" s="550">
        <f t="shared" si="72"/>
        <v>700000</v>
      </c>
      <c r="R109" s="550">
        <f t="shared" si="72"/>
        <v>0</v>
      </c>
      <c r="S109" s="550">
        <f t="shared" si="72"/>
        <v>1075000</v>
      </c>
      <c r="T109" s="550">
        <f t="shared" si="72"/>
        <v>0</v>
      </c>
      <c r="U109" s="550">
        <f t="shared" si="72"/>
        <v>0</v>
      </c>
      <c r="V109" s="550">
        <f t="shared" si="72"/>
        <v>0</v>
      </c>
      <c r="W109" s="550">
        <f t="shared" si="72"/>
        <v>0</v>
      </c>
      <c r="X109" s="550"/>
      <c r="Y109" s="550">
        <f t="shared" si="72"/>
        <v>0</v>
      </c>
      <c r="Z109" s="550">
        <f t="shared" si="72"/>
        <v>1075000</v>
      </c>
      <c r="AA109" s="285">
        <f t="shared" si="48"/>
        <v>0</v>
      </c>
    </row>
    <row r="110" spans="1:27" x14ac:dyDescent="0.25">
      <c r="A110" s="241"/>
      <c r="B110" s="242"/>
      <c r="C110" s="242">
        <v>4</v>
      </c>
      <c r="D110" s="243"/>
      <c r="E110" s="243"/>
      <c r="F110" s="244"/>
      <c r="G110" s="244"/>
      <c r="H110" s="798" t="s">
        <v>449</v>
      </c>
      <c r="I110" s="798"/>
      <c r="J110" s="798"/>
      <c r="K110" s="530">
        <f>SUM(K111:K112)</f>
        <v>0</v>
      </c>
      <c r="L110" s="530">
        <f t="shared" ref="L110:Z110" si="73">SUM(L111:L112)</f>
        <v>0</v>
      </c>
      <c r="M110" s="530">
        <f t="shared" si="73"/>
        <v>0</v>
      </c>
      <c r="N110" s="530">
        <f t="shared" si="73"/>
        <v>0</v>
      </c>
      <c r="O110" s="530">
        <f t="shared" si="73"/>
        <v>0</v>
      </c>
      <c r="P110" s="530">
        <f t="shared" si="73"/>
        <v>0</v>
      </c>
      <c r="Q110" s="530">
        <f t="shared" si="73"/>
        <v>0</v>
      </c>
      <c r="R110" s="530">
        <f t="shared" si="73"/>
        <v>21582947</v>
      </c>
      <c r="S110" s="530">
        <f t="shared" si="73"/>
        <v>21582947</v>
      </c>
      <c r="T110" s="530">
        <f t="shared" si="73"/>
        <v>0</v>
      </c>
      <c r="U110" s="530">
        <f t="shared" si="73"/>
        <v>0</v>
      </c>
      <c r="V110" s="530">
        <f t="shared" si="73"/>
        <v>0</v>
      </c>
      <c r="W110" s="530">
        <f t="shared" si="73"/>
        <v>0</v>
      </c>
      <c r="X110" s="530"/>
      <c r="Y110" s="530">
        <f t="shared" si="73"/>
        <v>0</v>
      </c>
      <c r="Z110" s="530">
        <f t="shared" si="73"/>
        <v>21582947</v>
      </c>
      <c r="AA110" s="285">
        <f t="shared" si="48"/>
        <v>0</v>
      </c>
    </row>
    <row r="111" spans="1:27" x14ac:dyDescent="0.25">
      <c r="A111" s="241"/>
      <c r="B111" s="242"/>
      <c r="C111" s="242"/>
      <c r="D111" s="243"/>
      <c r="E111" s="243"/>
      <c r="F111" s="244"/>
      <c r="G111" s="244"/>
      <c r="H111" s="532"/>
      <c r="I111" s="532"/>
      <c r="J111" s="532" t="s">
        <v>534</v>
      </c>
      <c r="K111" s="530"/>
      <c r="L111" s="530"/>
      <c r="M111" s="531"/>
      <c r="N111" s="530"/>
      <c r="O111" s="530"/>
      <c r="P111" s="530"/>
      <c r="Q111" s="530"/>
      <c r="R111" s="530">
        <v>21582947</v>
      </c>
      <c r="S111" s="247">
        <f>SUM(K111:R111)</f>
        <v>21582947</v>
      </c>
      <c r="T111" s="530">
        <f>'13mellBeruházások felújítások'!C24</f>
        <v>0</v>
      </c>
      <c r="U111" s="530"/>
      <c r="V111" s="530"/>
      <c r="W111" s="530"/>
      <c r="X111" s="530"/>
      <c r="Y111" s="247">
        <f>SUM(T111:W111)</f>
        <v>0</v>
      </c>
      <c r="Z111" s="247">
        <f t="shared" ref="Z111:Z112" si="74">S111+Y111</f>
        <v>21582947</v>
      </c>
      <c r="AA111" s="285">
        <f t="shared" si="48"/>
        <v>0</v>
      </c>
    </row>
    <row r="112" spans="1:27" ht="25.5" x14ac:dyDescent="0.25">
      <c r="A112" s="241"/>
      <c r="B112" s="242"/>
      <c r="C112" s="242"/>
      <c r="D112" s="243"/>
      <c r="E112" s="243"/>
      <c r="F112" s="244"/>
      <c r="G112" s="244"/>
      <c r="H112" s="532"/>
      <c r="I112" s="532"/>
      <c r="J112" s="532" t="s">
        <v>543</v>
      </c>
      <c r="K112" s="530"/>
      <c r="L112" s="530"/>
      <c r="M112" s="531"/>
      <c r="N112" s="530"/>
      <c r="O112" s="530"/>
      <c r="P112" s="530"/>
      <c r="Q112" s="530"/>
      <c r="R112" s="530"/>
      <c r="S112" s="247">
        <f>SUM(K112:R112)</f>
        <v>0</v>
      </c>
      <c r="T112" s="530"/>
      <c r="U112" s="530"/>
      <c r="V112" s="530"/>
      <c r="W112" s="530"/>
      <c r="X112" s="530"/>
      <c r="Y112" s="247">
        <f>SUM(T112:W112)</f>
        <v>0</v>
      </c>
      <c r="Z112" s="247">
        <f t="shared" si="74"/>
        <v>0</v>
      </c>
      <c r="AA112" s="285">
        <f t="shared" si="48"/>
        <v>0</v>
      </c>
    </row>
    <row r="113" spans="1:27" x14ac:dyDescent="0.25">
      <c r="A113" s="241"/>
      <c r="B113" s="242"/>
      <c r="C113" s="242">
        <v>5</v>
      </c>
      <c r="D113" s="243"/>
      <c r="E113" s="243"/>
      <c r="F113" s="244"/>
      <c r="G113" s="244"/>
      <c r="H113" s="798" t="s">
        <v>453</v>
      </c>
      <c r="I113" s="798"/>
      <c r="J113" s="798"/>
      <c r="K113" s="530">
        <f>SUM(K114:K115)</f>
        <v>0</v>
      </c>
      <c r="L113" s="530">
        <f t="shared" ref="L113:Z113" si="75">SUM(L114:L115)</f>
        <v>0</v>
      </c>
      <c r="M113" s="530">
        <f t="shared" si="75"/>
        <v>0</v>
      </c>
      <c r="N113" s="530">
        <f t="shared" si="75"/>
        <v>0</v>
      </c>
      <c r="O113" s="530">
        <f t="shared" si="75"/>
        <v>0</v>
      </c>
      <c r="P113" s="530">
        <f t="shared" si="75"/>
        <v>0</v>
      </c>
      <c r="Q113" s="530">
        <f t="shared" si="75"/>
        <v>0</v>
      </c>
      <c r="R113" s="530">
        <f t="shared" si="75"/>
        <v>0</v>
      </c>
      <c r="S113" s="530">
        <f t="shared" si="75"/>
        <v>0</v>
      </c>
      <c r="T113" s="530">
        <f t="shared" si="75"/>
        <v>0</v>
      </c>
      <c r="U113" s="530">
        <f t="shared" si="75"/>
        <v>0</v>
      </c>
      <c r="V113" s="530">
        <f t="shared" si="75"/>
        <v>0</v>
      </c>
      <c r="W113" s="530">
        <f t="shared" si="75"/>
        <v>0</v>
      </c>
      <c r="X113" s="530">
        <f t="shared" si="75"/>
        <v>0</v>
      </c>
      <c r="Y113" s="530">
        <f t="shared" si="75"/>
        <v>0</v>
      </c>
      <c r="Z113" s="530">
        <f t="shared" si="75"/>
        <v>0</v>
      </c>
      <c r="AA113" s="285">
        <f t="shared" si="48"/>
        <v>0</v>
      </c>
    </row>
    <row r="114" spans="1:27" x14ac:dyDescent="0.25">
      <c r="A114" s="241"/>
      <c r="B114" s="242"/>
      <c r="C114" s="242"/>
      <c r="D114" s="243"/>
      <c r="E114" s="243"/>
      <c r="F114" s="244"/>
      <c r="G114" s="244"/>
      <c r="H114" s="532"/>
      <c r="I114" s="532"/>
      <c r="J114" s="532" t="s">
        <v>534</v>
      </c>
      <c r="K114" s="530"/>
      <c r="L114" s="530"/>
      <c r="M114" s="531"/>
      <c r="N114" s="530"/>
      <c r="O114" s="530"/>
      <c r="P114" s="530"/>
      <c r="Q114" s="530"/>
      <c r="R114" s="530"/>
      <c r="S114" s="247">
        <f t="shared" ref="S114:S116" si="76">SUM(K114:R114)</f>
        <v>0</v>
      </c>
      <c r="T114" s="530"/>
      <c r="U114" s="530">
        <f>'13mellBeruházások felújítások'!C33</f>
        <v>0</v>
      </c>
      <c r="V114" s="530"/>
      <c r="W114" s="530"/>
      <c r="X114" s="530"/>
      <c r="Y114" s="247">
        <f>SUM(T114:W114)</f>
        <v>0</v>
      </c>
      <c r="Z114" s="247">
        <f t="shared" ref="Z114:Z116" si="77">S114+Y114</f>
        <v>0</v>
      </c>
      <c r="AA114" s="285">
        <f t="shared" si="48"/>
        <v>0</v>
      </c>
    </row>
    <row r="115" spans="1:27" ht="25.5" x14ac:dyDescent="0.25">
      <c r="A115" s="241"/>
      <c r="B115" s="242"/>
      <c r="C115" s="242"/>
      <c r="D115" s="243"/>
      <c r="E115" s="243"/>
      <c r="F115" s="244"/>
      <c r="G115" s="244"/>
      <c r="H115" s="532"/>
      <c r="I115" s="532"/>
      <c r="J115" s="532" t="s">
        <v>543</v>
      </c>
      <c r="K115" s="530"/>
      <c r="L115" s="530"/>
      <c r="M115" s="531"/>
      <c r="N115" s="530"/>
      <c r="O115" s="530"/>
      <c r="P115" s="530"/>
      <c r="Q115" s="530"/>
      <c r="R115" s="530"/>
      <c r="S115" s="247">
        <f t="shared" si="76"/>
        <v>0</v>
      </c>
      <c r="T115" s="530"/>
      <c r="U115" s="530"/>
      <c r="V115" s="530"/>
      <c r="W115" s="530"/>
      <c r="X115" s="530"/>
      <c r="Y115" s="247">
        <f t="shared" ref="Y115" si="78">SUM(T115:W115)</f>
        <v>0</v>
      </c>
      <c r="Z115" s="247">
        <f t="shared" si="77"/>
        <v>0</v>
      </c>
      <c r="AA115" s="285">
        <f t="shared" si="48"/>
        <v>0</v>
      </c>
    </row>
    <row r="116" spans="1:27" s="402" customFormat="1" x14ac:dyDescent="0.25">
      <c r="A116" s="241"/>
      <c r="B116" s="242"/>
      <c r="C116" s="242">
        <v>6</v>
      </c>
      <c r="D116" s="243"/>
      <c r="E116" s="243"/>
      <c r="F116" s="244"/>
      <c r="G116" s="244"/>
      <c r="H116" s="806" t="s">
        <v>824</v>
      </c>
      <c r="I116" s="807"/>
      <c r="J116" s="808"/>
      <c r="K116" s="530"/>
      <c r="L116" s="530"/>
      <c r="M116" s="531"/>
      <c r="N116" s="530"/>
      <c r="O116" s="530"/>
      <c r="P116" s="530"/>
      <c r="Q116" s="530"/>
      <c r="R116" s="530"/>
      <c r="S116" s="247">
        <f t="shared" si="76"/>
        <v>0</v>
      </c>
      <c r="T116" s="530"/>
      <c r="U116" s="530"/>
      <c r="V116" s="530"/>
      <c r="W116" s="530"/>
      <c r="X116" s="530">
        <v>10000000</v>
      </c>
      <c r="Y116" s="247">
        <f>SUM(T116:X116)</f>
        <v>10000000</v>
      </c>
      <c r="Z116" s="247">
        <f t="shared" si="77"/>
        <v>10000000</v>
      </c>
      <c r="AA116" s="285"/>
    </row>
    <row r="117" spans="1:27" ht="16.5" x14ac:dyDescent="0.25">
      <c r="A117" s="800" t="s">
        <v>374</v>
      </c>
      <c r="B117" s="800"/>
      <c r="C117" s="800"/>
      <c r="D117" s="800"/>
      <c r="E117" s="800"/>
      <c r="F117" s="800"/>
      <c r="G117" s="800"/>
      <c r="H117" s="800"/>
      <c r="I117" s="800"/>
      <c r="J117" s="800"/>
      <c r="K117" s="551">
        <f>K107+K110+K113</f>
        <v>24700064</v>
      </c>
      <c r="L117" s="551">
        <f t="shared" ref="L117:N117" si="79">L107+L110+L113</f>
        <v>4940012.8</v>
      </c>
      <c r="M117" s="551">
        <f t="shared" si="79"/>
        <v>22746341</v>
      </c>
      <c r="N117" s="551">
        <f t="shared" si="79"/>
        <v>4250000</v>
      </c>
      <c r="O117" s="551">
        <f>O107+O110+O113+O116</f>
        <v>0</v>
      </c>
      <c r="P117" s="551">
        <f t="shared" ref="P117:R117" si="80">P107+P110+P113+P116</f>
        <v>682000</v>
      </c>
      <c r="Q117" s="551">
        <f t="shared" si="80"/>
        <v>700000</v>
      </c>
      <c r="R117" s="551">
        <f t="shared" si="80"/>
        <v>21582947</v>
      </c>
      <c r="S117" s="551">
        <f>S107+S110+S113</f>
        <v>79601364.799999997</v>
      </c>
      <c r="T117" s="551">
        <f>T107+T110+T113+T116</f>
        <v>0</v>
      </c>
      <c r="U117" s="551">
        <f t="shared" ref="U117:X117" si="81">U107+U110+U113+U116</f>
        <v>0</v>
      </c>
      <c r="V117" s="551">
        <f t="shared" si="81"/>
        <v>0</v>
      </c>
      <c r="W117" s="551">
        <f t="shared" si="81"/>
        <v>0</v>
      </c>
      <c r="X117" s="551">
        <f t="shared" si="81"/>
        <v>10000000</v>
      </c>
      <c r="Y117" s="551">
        <f>Y107+Y110+Y113+Y116</f>
        <v>10000000</v>
      </c>
      <c r="Z117" s="551">
        <f>Z107+Z110+Z113+Z116</f>
        <v>89601364.799999997</v>
      </c>
      <c r="AA117" s="285">
        <f t="shared" si="48"/>
        <v>0</v>
      </c>
    </row>
    <row r="118" spans="1:27" hidden="1" x14ac:dyDescent="0.25">
      <c r="A118" s="552" t="s">
        <v>240</v>
      </c>
      <c r="K118" s="553">
        <f>'9melléklet Személyi jell.'!I21</f>
        <v>24700064</v>
      </c>
      <c r="L118" s="553">
        <f>'9melléklet Személyi jell.'!I22</f>
        <v>4940012.8</v>
      </c>
      <c r="M118" s="553">
        <f>'10mell. Dologi kiadások'!C64</f>
        <v>22746341</v>
      </c>
      <c r="N118" s="553">
        <f>N117-'11melléklet Települési támogatá'!C11</f>
        <v>0</v>
      </c>
      <c r="P118" s="801">
        <f>'12 melléklet Átadott pénzeszköz'!C18-'8melléklet Önkormányzat kiadás'!Q117</f>
        <v>1364000</v>
      </c>
      <c r="Q118" s="801"/>
      <c r="T118" s="553">
        <f>T117-'13mellBeruházások felújítások'!C24</f>
        <v>0</v>
      </c>
      <c r="U118" s="553">
        <f>U117-'13mellBeruházások felújítások'!C33</f>
        <v>0</v>
      </c>
    </row>
    <row r="119" spans="1:27" hidden="1" x14ac:dyDescent="0.25">
      <c r="K119" s="553">
        <f>K117-K118</f>
        <v>0</v>
      </c>
      <c r="L119" s="553">
        <f t="shared" ref="L119:M119" si="82">L117-L118</f>
        <v>0</v>
      </c>
      <c r="M119" s="553">
        <f t="shared" si="82"/>
        <v>0</v>
      </c>
    </row>
    <row r="120" spans="1:27" x14ac:dyDescent="0.25">
      <c r="K120" s="553">
        <f>'9melléklet Személyi jell.'!I21-'8melléklet Önkormányzat kiadás'!K117</f>
        <v>0</v>
      </c>
      <c r="L120" s="553">
        <f>L117-'9melléklet Személyi jell.'!I22</f>
        <v>0</v>
      </c>
      <c r="M120" s="553">
        <f>'10mell. Dologi kiadások'!C64-'8melléklet Önkormányzat kiadás'!M117</f>
        <v>0</v>
      </c>
      <c r="N120" s="553">
        <f>N117-'11melléklet Települési támogatá'!C11</f>
        <v>0</v>
      </c>
      <c r="P120" s="553">
        <f>P117-'12 melléklet Átadott pénzeszköz'!C14</f>
        <v>0</v>
      </c>
      <c r="Q120" s="553">
        <f>Q117-'12 melléklet Átadott pénzeszköz'!C10</f>
        <v>0</v>
      </c>
    </row>
  </sheetData>
  <mergeCells count="59">
    <mergeCell ref="H113:J113"/>
    <mergeCell ref="A117:J117"/>
    <mergeCell ref="P118:Q118"/>
    <mergeCell ref="I77:J77"/>
    <mergeCell ref="I82:J82"/>
    <mergeCell ref="I96:J96"/>
    <mergeCell ref="I103:J103"/>
    <mergeCell ref="F107:J107"/>
    <mergeCell ref="H110:J110"/>
    <mergeCell ref="I84:J84"/>
    <mergeCell ref="I89:J89"/>
    <mergeCell ref="H116:J116"/>
    <mergeCell ref="F10:J10"/>
    <mergeCell ref="G11:J11"/>
    <mergeCell ref="G5:G9"/>
    <mergeCell ref="I94:J94"/>
    <mergeCell ref="I13:J13"/>
    <mergeCell ref="I16:J16"/>
    <mergeCell ref="I19:J19"/>
    <mergeCell ref="I36:J36"/>
    <mergeCell ref="I39:J39"/>
    <mergeCell ref="I44:J44"/>
    <mergeCell ref="I46:J46"/>
    <mergeCell ref="I62:J62"/>
    <mergeCell ref="I64:J64"/>
    <mergeCell ref="I75:J75"/>
    <mergeCell ref="I91:J91"/>
    <mergeCell ref="H12:J12"/>
    <mergeCell ref="J5:J9"/>
    <mergeCell ref="K5:S5"/>
    <mergeCell ref="T5:Y5"/>
    <mergeCell ref="Y6:Y9"/>
    <mergeCell ref="Z5:Z9"/>
    <mergeCell ref="K6:K7"/>
    <mergeCell ref="L6:L7"/>
    <mergeCell ref="M6:M7"/>
    <mergeCell ref="N6:N7"/>
    <mergeCell ref="O6:R6"/>
    <mergeCell ref="S6:S9"/>
    <mergeCell ref="T6:T7"/>
    <mergeCell ref="U6:U7"/>
    <mergeCell ref="V6:W6"/>
    <mergeCell ref="X6:X8"/>
    <mergeCell ref="A1:H1"/>
    <mergeCell ref="V1:Z1"/>
    <mergeCell ref="A3:Z3"/>
    <mergeCell ref="W4:Z4"/>
    <mergeCell ref="A5:A6"/>
    <mergeCell ref="B5:B6"/>
    <mergeCell ref="C5:C6"/>
    <mergeCell ref="D5:D6"/>
    <mergeCell ref="E5:E6"/>
    <mergeCell ref="F5:F9"/>
    <mergeCell ref="A7:E9"/>
    <mergeCell ref="P9:R9"/>
    <mergeCell ref="V9:W9"/>
    <mergeCell ref="I1:L1"/>
    <mergeCell ref="H5:H9"/>
    <mergeCell ref="I5:I9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22"/>
  <sheetViews>
    <sheetView view="pageBreakPreview" zoomScale="6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3" sqref="B3:H4"/>
    </sheetView>
  </sheetViews>
  <sheetFormatPr defaultRowHeight="15" x14ac:dyDescent="0.25"/>
  <cols>
    <col min="1" max="1" width="18.85546875" style="573" customWidth="1"/>
    <col min="2" max="3" width="18.7109375" style="228" customWidth="1"/>
    <col min="4" max="4" width="25.42578125" style="228" customWidth="1"/>
    <col min="5" max="8" width="18.7109375" style="228" customWidth="1"/>
    <col min="9" max="9" width="21.5703125" style="228" customWidth="1"/>
    <col min="10" max="11" width="9.140625" style="228"/>
  </cols>
  <sheetData>
    <row r="1" spans="1:11" s="135" customFormat="1" ht="15" customHeight="1" x14ac:dyDescent="0.25">
      <c r="A1" s="774" t="s">
        <v>751</v>
      </c>
      <c r="B1" s="774"/>
      <c r="C1" s="774"/>
      <c r="D1" s="774"/>
      <c r="E1" s="554"/>
      <c r="F1" s="554"/>
      <c r="G1" s="554"/>
      <c r="H1" s="554"/>
      <c r="I1" s="554"/>
      <c r="J1" s="554"/>
      <c r="K1" s="228"/>
    </row>
    <row r="2" spans="1:11" s="135" customFormat="1" ht="15" customHeight="1" x14ac:dyDescent="0.25">
      <c r="A2" s="555"/>
      <c r="B2" s="555"/>
      <c r="C2" s="555"/>
      <c r="D2" s="555"/>
      <c r="E2" s="554"/>
      <c r="F2" s="554"/>
      <c r="G2" s="554"/>
      <c r="H2" s="554"/>
      <c r="I2" s="554"/>
      <c r="J2" s="554"/>
      <c r="K2" s="228"/>
    </row>
    <row r="3" spans="1:11" s="135" customFormat="1" ht="15" customHeight="1" x14ac:dyDescent="0.25">
      <c r="A3" s="228"/>
      <c r="B3" s="810" t="s">
        <v>837</v>
      </c>
      <c r="C3" s="810"/>
      <c r="D3" s="810"/>
      <c r="E3" s="810"/>
      <c r="F3" s="810"/>
      <c r="G3" s="810"/>
      <c r="H3" s="810"/>
      <c r="I3" s="809"/>
      <c r="J3" s="228"/>
      <c r="K3" s="228"/>
    </row>
    <row r="4" spans="1:11" s="135" customFormat="1" x14ac:dyDescent="0.25">
      <c r="A4" s="228"/>
      <c r="B4" s="810"/>
      <c r="C4" s="810"/>
      <c r="D4" s="810"/>
      <c r="E4" s="810"/>
      <c r="F4" s="810"/>
      <c r="G4" s="810"/>
      <c r="H4" s="810"/>
      <c r="I4" s="809"/>
      <c r="J4" s="228"/>
      <c r="K4" s="228"/>
    </row>
    <row r="5" spans="1:11" s="135" customFormat="1" x14ac:dyDescent="0.25">
      <c r="A5" s="556"/>
      <c r="B5" s="556"/>
      <c r="C5" s="556"/>
      <c r="D5" s="556"/>
      <c r="E5" s="556"/>
      <c r="F5" s="556"/>
      <c r="G5" s="556"/>
      <c r="H5" s="556"/>
      <c r="I5" s="556" t="s">
        <v>585</v>
      </c>
      <c r="J5" s="228"/>
      <c r="K5" s="228"/>
    </row>
    <row r="6" spans="1:11" s="135" customFormat="1" ht="15.75" thickBot="1" x14ac:dyDescent="0.3">
      <c r="A6" s="556"/>
      <c r="B6" s="556"/>
      <c r="C6" s="556"/>
      <c r="D6" s="556"/>
      <c r="E6" s="556"/>
      <c r="F6" s="556"/>
      <c r="G6" s="556"/>
      <c r="H6" s="556"/>
      <c r="I6" s="556"/>
      <c r="J6" s="228"/>
      <c r="K6" s="228"/>
    </row>
    <row r="7" spans="1:11" ht="45" x14ac:dyDescent="0.25">
      <c r="A7" s="557" t="s">
        <v>69</v>
      </c>
      <c r="B7" s="558" t="s">
        <v>68</v>
      </c>
      <c r="C7" s="559" t="s">
        <v>565</v>
      </c>
      <c r="D7" s="559" t="s">
        <v>578</v>
      </c>
      <c r="E7" s="559" t="s">
        <v>572</v>
      </c>
      <c r="F7" s="559" t="s">
        <v>784</v>
      </c>
      <c r="G7" s="559" t="s">
        <v>815</v>
      </c>
      <c r="H7" s="559" t="s">
        <v>584</v>
      </c>
      <c r="I7" s="560" t="s">
        <v>816</v>
      </c>
    </row>
    <row r="8" spans="1:11" ht="45" x14ac:dyDescent="0.25">
      <c r="A8" s="561" t="s">
        <v>72</v>
      </c>
      <c r="B8" s="562" t="s">
        <v>73</v>
      </c>
      <c r="C8" s="563"/>
      <c r="D8" s="563">
        <v>5511500</v>
      </c>
      <c r="E8" s="563"/>
      <c r="F8" s="563">
        <v>4111000</v>
      </c>
      <c r="G8" s="563">
        <v>2196000</v>
      </c>
      <c r="H8" s="563">
        <v>1622478</v>
      </c>
      <c r="I8" s="564">
        <f t="shared" ref="I8:I15" si="0">SUM(C8:H8)</f>
        <v>13440978</v>
      </c>
    </row>
    <row r="9" spans="1:11" ht="30" x14ac:dyDescent="0.25">
      <c r="A9" s="561" t="s">
        <v>692</v>
      </c>
      <c r="B9" s="562" t="s">
        <v>278</v>
      </c>
      <c r="C9" s="563"/>
      <c r="D9" s="563"/>
      <c r="E9" s="563"/>
      <c r="F9" s="563"/>
      <c r="G9" s="563"/>
      <c r="H9" s="563"/>
      <c r="I9" s="564">
        <f t="shared" si="0"/>
        <v>0</v>
      </c>
    </row>
    <row r="10" spans="1:11" s="135" customFormat="1" x14ac:dyDescent="0.25">
      <c r="A10" s="561" t="s">
        <v>280</v>
      </c>
      <c r="B10" s="562" t="s">
        <v>281</v>
      </c>
      <c r="C10" s="563"/>
      <c r="D10" s="563"/>
      <c r="E10" s="563"/>
      <c r="F10" s="563"/>
      <c r="G10" s="563"/>
      <c r="H10" s="563"/>
      <c r="I10" s="564">
        <f t="shared" si="0"/>
        <v>0</v>
      </c>
      <c r="J10" s="228"/>
      <c r="K10" s="228"/>
    </row>
    <row r="11" spans="1:11" x14ac:dyDescent="0.25">
      <c r="A11" s="561" t="s">
        <v>75</v>
      </c>
      <c r="B11" s="562" t="s">
        <v>76</v>
      </c>
      <c r="C11" s="563"/>
      <c r="D11" s="563"/>
      <c r="E11" s="563"/>
      <c r="F11" s="563"/>
      <c r="G11" s="563"/>
      <c r="H11" s="563"/>
      <c r="I11" s="564">
        <f t="shared" si="0"/>
        <v>0</v>
      </c>
    </row>
    <row r="12" spans="1:11" ht="30" x14ac:dyDescent="0.25">
      <c r="A12" s="561" t="s">
        <v>77</v>
      </c>
      <c r="B12" s="562" t="s">
        <v>78</v>
      </c>
      <c r="C12" s="563"/>
      <c r="D12" s="563"/>
      <c r="E12" s="563"/>
      <c r="F12" s="563"/>
      <c r="G12" s="563"/>
      <c r="H12" s="563"/>
      <c r="I12" s="564">
        <f t="shared" si="0"/>
        <v>0</v>
      </c>
    </row>
    <row r="13" spans="1:11" ht="30" x14ac:dyDescent="0.25">
      <c r="A13" s="561" t="s">
        <v>79</v>
      </c>
      <c r="B13" s="562" t="s">
        <v>80</v>
      </c>
      <c r="C13" s="563"/>
      <c r="D13" s="563"/>
      <c r="E13" s="563"/>
      <c r="F13" s="563"/>
      <c r="G13" s="563"/>
      <c r="H13" s="563"/>
      <c r="I13" s="564">
        <f t="shared" si="0"/>
        <v>0</v>
      </c>
    </row>
    <row r="14" spans="1:11" ht="30" x14ac:dyDescent="0.25">
      <c r="A14" s="561" t="s">
        <v>81</v>
      </c>
      <c r="B14" s="562" t="s">
        <v>82</v>
      </c>
      <c r="C14" s="563"/>
      <c r="D14" s="563"/>
      <c r="E14" s="563"/>
      <c r="F14" s="563"/>
      <c r="G14" s="563"/>
      <c r="H14" s="563"/>
      <c r="I14" s="564">
        <f t="shared" si="0"/>
        <v>0</v>
      </c>
    </row>
    <row r="15" spans="1:11" ht="30" x14ac:dyDescent="0.25">
      <c r="A15" s="561" t="s">
        <v>83</v>
      </c>
      <c r="B15" s="562" t="s">
        <v>84</v>
      </c>
      <c r="C15" s="563"/>
      <c r="D15" s="563"/>
      <c r="E15" s="563"/>
      <c r="F15" s="563"/>
      <c r="G15" s="563"/>
      <c r="H15" s="563"/>
      <c r="I15" s="564">
        <f t="shared" si="0"/>
        <v>0</v>
      </c>
    </row>
    <row r="16" spans="1:11" ht="30" x14ac:dyDescent="0.25">
      <c r="A16" s="565" t="s">
        <v>87</v>
      </c>
      <c r="B16" s="566" t="s">
        <v>88</v>
      </c>
      <c r="C16" s="567">
        <f>SUM(C8:C15)</f>
        <v>0</v>
      </c>
      <c r="D16" s="567">
        <f>SUM(D8:D15)</f>
        <v>5511500</v>
      </c>
      <c r="E16" s="567">
        <f>SUM(E8:E15)</f>
        <v>0</v>
      </c>
      <c r="F16" s="567">
        <f t="shared" ref="F16:G16" si="1">SUM(F8:F15)</f>
        <v>4111000</v>
      </c>
      <c r="G16" s="567">
        <f t="shared" si="1"/>
        <v>2196000</v>
      </c>
      <c r="H16" s="567">
        <f>SUM(H8:H15)</f>
        <v>1622478</v>
      </c>
      <c r="I16" s="568">
        <f>SUM(I8:I15)</f>
        <v>13440978</v>
      </c>
    </row>
    <row r="17" spans="1:9" ht="45" x14ac:dyDescent="0.25">
      <c r="A17" s="561" t="s">
        <v>89</v>
      </c>
      <c r="B17" s="562" t="s">
        <v>90</v>
      </c>
      <c r="C17" s="563">
        <v>6823086</v>
      </c>
      <c r="D17" s="563"/>
      <c r="E17" s="563"/>
      <c r="F17" s="563"/>
      <c r="G17" s="563"/>
      <c r="H17" s="563"/>
      <c r="I17" s="564">
        <f>SUM(C17:H17)</f>
        <v>6823086</v>
      </c>
    </row>
    <row r="18" spans="1:9" ht="90" x14ac:dyDescent="0.25">
      <c r="A18" s="561" t="s">
        <v>91</v>
      </c>
      <c r="B18" s="562" t="s">
        <v>92</v>
      </c>
      <c r="C18" s="563"/>
      <c r="D18" s="563">
        <v>3200000</v>
      </c>
      <c r="E18" s="563">
        <v>1236000</v>
      </c>
      <c r="F18" s="563"/>
      <c r="G18" s="563"/>
      <c r="H18" s="563"/>
      <c r="I18" s="564">
        <f>SUM(C18:H18)</f>
        <v>4436000</v>
      </c>
    </row>
    <row r="19" spans="1:9" ht="30" x14ac:dyDescent="0.25">
      <c r="A19" s="561" t="s">
        <v>93</v>
      </c>
      <c r="B19" s="562" t="s">
        <v>94</v>
      </c>
      <c r="C19" s="563"/>
      <c r="D19" s="563"/>
      <c r="E19" s="563"/>
      <c r="F19" s="563"/>
      <c r="G19" s="563"/>
      <c r="H19" s="563"/>
      <c r="I19" s="564">
        <f>SUM(C19:H19)</f>
        <v>0</v>
      </c>
    </row>
    <row r="20" spans="1:9" ht="30" x14ac:dyDescent="0.25">
      <c r="A20" s="565" t="s">
        <v>97</v>
      </c>
      <c r="B20" s="566" t="s">
        <v>98</v>
      </c>
      <c r="C20" s="567">
        <f>SUM(C17:C19)</f>
        <v>6823086</v>
      </c>
      <c r="D20" s="567">
        <f t="shared" ref="D20:H20" si="2">SUM(D17:D19)</f>
        <v>3200000</v>
      </c>
      <c r="E20" s="567">
        <f t="shared" si="2"/>
        <v>1236000</v>
      </c>
      <c r="F20" s="567">
        <f t="shared" si="2"/>
        <v>0</v>
      </c>
      <c r="G20" s="567">
        <f t="shared" si="2"/>
        <v>0</v>
      </c>
      <c r="H20" s="567">
        <f t="shared" si="2"/>
        <v>0</v>
      </c>
      <c r="I20" s="568">
        <f>SUM(I17:I19)</f>
        <v>11259086</v>
      </c>
    </row>
    <row r="21" spans="1:9" x14ac:dyDescent="0.25">
      <c r="A21" s="565" t="s">
        <v>99</v>
      </c>
      <c r="B21" s="566" t="s">
        <v>100</v>
      </c>
      <c r="C21" s="567">
        <f>C20+C16</f>
        <v>6823086</v>
      </c>
      <c r="D21" s="567">
        <f t="shared" ref="D21:H21" si="3">D20+D16</f>
        <v>8711500</v>
      </c>
      <c r="E21" s="567">
        <f t="shared" si="3"/>
        <v>1236000</v>
      </c>
      <c r="F21" s="567">
        <f t="shared" si="3"/>
        <v>4111000</v>
      </c>
      <c r="G21" s="567">
        <f t="shared" si="3"/>
        <v>2196000</v>
      </c>
      <c r="H21" s="567">
        <f t="shared" si="3"/>
        <v>1622478</v>
      </c>
      <c r="I21" s="567">
        <f>I20+I16</f>
        <v>24700064</v>
      </c>
    </row>
    <row r="22" spans="1:9" ht="60.75" thickBot="1" x14ac:dyDescent="0.3">
      <c r="A22" s="569" t="s">
        <v>101</v>
      </c>
      <c r="B22" s="570" t="s">
        <v>102</v>
      </c>
      <c r="C22" s="571">
        <f>C21*0.2</f>
        <v>1364617.2000000002</v>
      </c>
      <c r="D22" s="571">
        <f t="shared" ref="D22:H22" si="4">D21*0.2</f>
        <v>1742300</v>
      </c>
      <c r="E22" s="571">
        <f t="shared" si="4"/>
        <v>247200</v>
      </c>
      <c r="F22" s="571">
        <f t="shared" si="4"/>
        <v>822200</v>
      </c>
      <c r="G22" s="571">
        <f t="shared" si="4"/>
        <v>439200</v>
      </c>
      <c r="H22" s="571">
        <f t="shared" si="4"/>
        <v>324495.60000000003</v>
      </c>
      <c r="I22" s="572">
        <f>SUM(C22:H22)</f>
        <v>4940012.8</v>
      </c>
    </row>
  </sheetData>
  <mergeCells count="3">
    <mergeCell ref="A1:D1"/>
    <mergeCell ref="I3:I4"/>
    <mergeCell ref="B3:H4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3</vt:i4>
      </vt:variant>
    </vt:vector>
  </HeadingPairs>
  <TitlesOfParts>
    <vt:vector size="23" baseType="lpstr">
      <vt:lpstr>1.melléklet-Összevont mérleg</vt:lpstr>
      <vt:lpstr>2.melléklÖnkormányzati összesen</vt:lpstr>
      <vt:lpstr>3mell-Önkormányzat bev és kiadá</vt:lpstr>
      <vt:lpstr>4mell-Önkormányzat Bevétel</vt:lpstr>
      <vt:lpstr>5mell-Normatíva</vt:lpstr>
      <vt:lpstr>6mellékletKözhatalmi bevételek</vt:lpstr>
      <vt:lpstr>7melléklet Működési bevétel</vt:lpstr>
      <vt:lpstr>8melléklet Önkormányzat kiadás</vt:lpstr>
      <vt:lpstr>9melléklet Személyi jell.</vt:lpstr>
      <vt:lpstr>10mell. Dologi kiadások</vt:lpstr>
      <vt:lpstr>11melléklet Települési támogatá</vt:lpstr>
      <vt:lpstr>12 melléklet Átadott pénzeszköz</vt:lpstr>
      <vt:lpstr>13mellBeruházások felújítások</vt:lpstr>
      <vt:lpstr>14mellIntézményi összesített</vt:lpstr>
      <vt:lpstr>15mell Óvoda</vt:lpstr>
      <vt:lpstr>16 mell Ei felhaszn</vt:lpstr>
      <vt:lpstr>17 mellEngedélyezett létszám</vt:lpstr>
      <vt:lpstr>18 mell Közvetett tám</vt:lpstr>
      <vt:lpstr>19mell Adósságot kel</vt:lpstr>
      <vt:lpstr>20 mell Kötelezettség</vt:lpstr>
      <vt:lpstr>'8melléklet Önkormányzat kiadás'!Nyomtatási_cím</vt:lpstr>
      <vt:lpstr>'10mell. Dologi kiadások'!Nyomtatási_terület</vt:lpstr>
      <vt:lpstr>'7melléklet Működési bevétel'!Nyomtatási_terület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Aliz</dc:creator>
  <cp:lastModifiedBy>User</cp:lastModifiedBy>
  <cp:lastPrinted>2017-01-13T06:14:40Z</cp:lastPrinted>
  <dcterms:created xsi:type="dcterms:W3CDTF">2017-01-08T22:09:58Z</dcterms:created>
  <dcterms:modified xsi:type="dcterms:W3CDTF">2018-02-15T10:58:21Z</dcterms:modified>
</cp:coreProperties>
</file>