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415" windowHeight="10740" tabRatio="601" activeTab="14"/>
  </bookViews>
  <sheets>
    <sheet name="1 mell" sheetId="1" r:id="rId1"/>
    <sheet name="2 mell" sheetId="2" r:id="rId2"/>
    <sheet name="3 Műk Bev" sheetId="3" r:id="rId3"/>
    <sheet name="4 Felh Bev" sheetId="4" r:id="rId4"/>
    <sheet name="5 Fel Kiad" sheetId="5" r:id="rId5"/>
    <sheet name="6 Tart" sheetId="6" r:id="rId6"/>
    <sheet name="7 Önk" sheetId="7" r:id="rId7"/>
    <sheet name="8 Ph" sheetId="8" r:id="rId8"/>
    <sheet name="9 VGIG" sheetId="9" r:id="rId9"/>
    <sheet name="10 Járób" sheetId="10" r:id="rId10"/>
    <sheet name="11 Szoci" sheetId="11" r:id="rId11"/>
    <sheet name="12 Ovi" sheetId="12" r:id="rId12"/>
    <sheet name="13 Művh" sheetId="13" r:id="rId13"/>
    <sheet name="14 Könyvt" sheetId="14" r:id="rId14"/>
    <sheet name="15 felh." sheetId="15" r:id="rId15"/>
    <sheet name="16 többéves" sheetId="16" r:id="rId16"/>
    <sheet name="17 többéves " sheetId="17" r:id="rId17"/>
    <sheet name="18 közvetett" sheetId="18" r:id="rId18"/>
    <sheet name="19 gördülő " sheetId="19" r:id="rId19"/>
    <sheet name="20.sz EU" sheetId="20" r:id="rId20"/>
  </sheets>
  <externalReferences>
    <externalReference r:id="rId23"/>
  </externalReferences>
  <definedNames>
    <definedName name="_4._sz._sor_részletezése">#REF!</definedName>
    <definedName name="_xlnm.Print_Titles" localSheetId="18">'19 gördülő '!$1:$7</definedName>
    <definedName name="_xlnm.Print_Titles" localSheetId="1">'2 mell'!$1:$4</definedName>
    <definedName name="_xlnm.Print_Titles" localSheetId="19">'20.sz EU'!$1:$7</definedName>
    <definedName name="_xlnm.Print_Titles" localSheetId="2">'3 Műk Bev'!$1:$9</definedName>
    <definedName name="_xlnm.Print_Titles" localSheetId="6">'7 Önk'!$B:$C,'7 Önk'!$1:$3</definedName>
    <definedName name="_xlnm.Print_Area" localSheetId="0">'1 mell'!$A$1:$B$29</definedName>
    <definedName name="_xlnm.Print_Area" localSheetId="9">'10 Járób'!$B$1:$I$69</definedName>
    <definedName name="_xlnm.Print_Area" localSheetId="10">'11 Szoci'!$B$1:$I$70</definedName>
    <definedName name="_xlnm.Print_Area" localSheetId="11">'12 Ovi'!$B$1:$I$70</definedName>
    <definedName name="_xlnm.Print_Area" localSheetId="12">'13 Művh'!$B$1:$I$69</definedName>
    <definedName name="_xlnm.Print_Area" localSheetId="13">'14 Könyvt'!$B$1:$I$69</definedName>
    <definedName name="_xlnm.Print_Area" localSheetId="14">'15 felh.'!$A$1:$O$91</definedName>
    <definedName name="_xlnm.Print_Area" localSheetId="15">'16 többéves'!$A$1:$F$15</definedName>
    <definedName name="_xlnm.Print_Area" localSheetId="16">'17 többéves '!$A$1:$K$29</definedName>
    <definedName name="_xlnm.Print_Area" localSheetId="17">'18 közvetett'!$A$1:$E$17</definedName>
    <definedName name="_xlnm.Print_Area" localSheetId="18">'19 gördülő '!$A$1:$E$92</definedName>
    <definedName name="_xlnm.Print_Area" localSheetId="1">'2 mell'!$B$1:$I$97</definedName>
    <definedName name="_xlnm.Print_Area" localSheetId="19">'20.sz EU'!$A$1:$M$81</definedName>
    <definedName name="_xlnm.Print_Area" localSheetId="2">'3 Műk Bev'!$B$1:$F$98</definedName>
    <definedName name="_xlnm.Print_Area" localSheetId="3">'4 Felh Bev'!$B$1:$G$48</definedName>
    <definedName name="_xlnm.Print_Area" localSheetId="4">'5 Fel Kiad'!$B$1:$G$43</definedName>
    <definedName name="_xlnm.Print_Area" localSheetId="5">'6 Tart'!$B$1:$E$31</definedName>
    <definedName name="_xlnm.Print_Area" localSheetId="6">'7 Önk'!$B$1:$AW$69</definedName>
    <definedName name="_xlnm.Print_Area" localSheetId="7">'8 Ph'!$B$1:$I$69</definedName>
    <definedName name="_xlnm.Print_Area" localSheetId="8">'9 VGIG'!$B$1:$I$69</definedName>
  </definedNames>
  <calcPr fullCalcOnLoad="1"/>
</workbook>
</file>

<file path=xl/sharedStrings.xml><?xml version="1.0" encoding="utf-8"?>
<sst xmlns="http://schemas.openxmlformats.org/spreadsheetml/2006/main" count="2363" uniqueCount="514">
  <si>
    <t>Ezer forintban !</t>
  </si>
  <si>
    <t>Eredeti előirányzat</t>
  </si>
  <si>
    <t>Barcs Város Önkormányzata</t>
  </si>
  <si>
    <t>2013. évi költségvetésének mérlege</t>
  </si>
  <si>
    <t>Városgazdálkodási Igazgatóság</t>
  </si>
  <si>
    <t>Járóbetegellellátó Intézmény</t>
  </si>
  <si>
    <t>Szociális Központ</t>
  </si>
  <si>
    <t>Városi Könyvtár</t>
  </si>
  <si>
    <t>Móricz Zsigmond Művelődési Központ és Dráva Közérdekű Múzeális kiállítóhely</t>
  </si>
  <si>
    <t>Barcs és Környéke Óvoda és Bölcsőde</t>
  </si>
  <si>
    <t>Polgármesteri Hivatal</t>
  </si>
  <si>
    <t>C Í M R E N D</t>
  </si>
  <si>
    <t>Az Önkormányzat önállóan működő és gazdálkodó költségvetési szervei</t>
  </si>
  <si>
    <t>Barcs Városi Önkormányzat Városgazdálkodási Igazgatósága</t>
  </si>
  <si>
    <t>Barcs Város Önkormányzata Járóbetegellátó Intézmények</t>
  </si>
  <si>
    <t>Barcsi Szociális Központ</t>
  </si>
  <si>
    <t>Az Önkormányzat önállóan működő költségvetési szervei</t>
  </si>
  <si>
    <t>Az Önkormányzat költségvetésében szereplő nem intézményi kiadások</t>
  </si>
  <si>
    <t>Segélyek</t>
  </si>
  <si>
    <t>Települési vízellátás                      360000</t>
  </si>
  <si>
    <t>Települési szennyvíz gyűjtés, kezelés                      370000</t>
  </si>
  <si>
    <t>Települési hulladék begyüjtés, szállítás                                      381103</t>
  </si>
  <si>
    <t>Közutak, hidak fenntartása                                 552001</t>
  </si>
  <si>
    <t>Vezetékes műsorelosztás, Tv                                  610001</t>
  </si>
  <si>
    <t>Városi és közúti személyszáll.                                  493102</t>
  </si>
  <si>
    <t>Igazgatási tevékenység                      841126</t>
  </si>
  <si>
    <t>TÁMOP Könyvtár szolgáltatás fejlesztés    910123</t>
  </si>
  <si>
    <t>Közművelődési tevékenység           910501</t>
  </si>
  <si>
    <t>Iskolai diáksport                                            931204</t>
  </si>
  <si>
    <t>Összesen</t>
  </si>
  <si>
    <t>Sor-szám</t>
  </si>
  <si>
    <t>Bevételi jogcím</t>
  </si>
  <si>
    <t>Mutatószám (fő)</t>
  </si>
  <si>
    <t>3.</t>
  </si>
  <si>
    <t>Helyi adók*</t>
  </si>
  <si>
    <t>Építmény adó</t>
  </si>
  <si>
    <t>Idegenforgalmi adó</t>
  </si>
  <si>
    <t>Kommunális adó</t>
  </si>
  <si>
    <t>Telekadó</t>
  </si>
  <si>
    <t>Iparűzési adó</t>
  </si>
  <si>
    <t>Átengedett központi adók*</t>
  </si>
  <si>
    <t>Gépjárműadó</t>
  </si>
  <si>
    <t>Termőföld bérbeadásából származó beszedett adó</t>
  </si>
  <si>
    <t>A területi környezetvédelmi bírság összeg 30%-a</t>
  </si>
  <si>
    <t>Bírságok</t>
  </si>
  <si>
    <t>Helyi adókhoz kapcsolódó pótlék, bírság</t>
  </si>
  <si>
    <t>Kötbér, egyéb kártérítés</t>
  </si>
  <si>
    <t>Talajterhelési díj,egyéb sajátos folyó bevételek</t>
  </si>
  <si>
    <t>Talajterhelési díj</t>
  </si>
  <si>
    <t>4.</t>
  </si>
  <si>
    <t>Működési célú támogatások államháztartáson belülről</t>
  </si>
  <si>
    <t>Önkormányzatok működési támogatása</t>
  </si>
  <si>
    <t>Helyi önkormányzatok általános támogatása</t>
  </si>
  <si>
    <t>Önkormányzati hivatal működési támogatása</t>
  </si>
  <si>
    <t>Települési üzemeltetéshez kapcsolódó támogatás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</si>
  <si>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</si>
  <si>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</si>
  <si>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</si>
  <si>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</si>
  <si>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Beszámítási összeg (Elvárt bevétel, az Iparűzési adó 0,5%-a.)</t>
  </si>
  <si>
    <t>Egyéb kötelező önkormányzati feladat támogatása</t>
  </si>
  <si>
    <t>Egyes köznevelési és gyermekétkeztetési feladatainak támogatása</t>
  </si>
  <si>
    <t>Óvodapedagógusok bértámogatása</t>
  </si>
  <si>
    <t>Óvodapedagógusok munkáját közvetlenül segítől bértámogatása</t>
  </si>
  <si>
    <t xml:space="preserve">Ingyenes és kedvezményes gyermekétkeztetés </t>
  </si>
  <si>
    <t>Szociális és gyermekjóléti feladatoinak támogatása</t>
  </si>
  <si>
    <t>Bölcsödében elhelyezett gyermekek étkeztetése</t>
  </si>
  <si>
    <t>Hozzájárulás a pénzbeli szociális ellátáshoz</t>
  </si>
  <si>
    <t>Családsegítés</t>
  </si>
  <si>
    <t>Családsegítés kiegészítés</t>
  </si>
  <si>
    <t>Gyermekjóléti szolgálat</t>
  </si>
  <si>
    <t>Gyermekjóléti szolgálat kiegészítés</t>
  </si>
  <si>
    <t>Szociális étkeztetés</t>
  </si>
  <si>
    <t>Házi segítségnyújtás</t>
  </si>
  <si>
    <t>Időskorúak nappali intézményi ellátása</t>
  </si>
  <si>
    <t>Bölcsődei ellátás</t>
  </si>
  <si>
    <t>Bölcsődei ellátás, fogyatékos gyerekek</t>
  </si>
  <si>
    <t>Idősek átmeneti és  tartós ellátási feladatok támogatása</t>
  </si>
  <si>
    <t>Létszámhoz kapcsolódó bétrámogatás</t>
  </si>
  <si>
    <t>Intézmény üzemeltetési támogatása</t>
  </si>
  <si>
    <t>Központosított előirányzatokból támogatás</t>
  </si>
  <si>
    <t xml:space="preserve">Közműfejlesztési támogatás </t>
  </si>
  <si>
    <t>Mozgáskorlátozottak támogatása</t>
  </si>
  <si>
    <t>Üdülőhelyi feladatok támogatás</t>
  </si>
  <si>
    <t>Határátkelő támogatás</t>
  </si>
  <si>
    <t>Könyvtár, közművelődés támogatás</t>
  </si>
  <si>
    <t>Bér kompenzációs támogatás</t>
  </si>
  <si>
    <t>Iskolatej támogatás</t>
  </si>
  <si>
    <t>GYET megelőlegezés</t>
  </si>
  <si>
    <t>Otthonteremtési támogatás</t>
  </si>
  <si>
    <t>Előző évi költségvetési kieg. visszatérités</t>
  </si>
  <si>
    <t>Nyári gyermekétkeztetés támogatás</t>
  </si>
  <si>
    <t>Önkormányzat sajátos működési bevételei és a</t>
  </si>
  <si>
    <t xml:space="preserve"> támogatások, kiegészítések</t>
  </si>
  <si>
    <t xml:space="preserve"> részletezése</t>
  </si>
  <si>
    <t>Önkormányzat véglegesen átvett pénzeszközeinek</t>
  </si>
  <si>
    <t>EU-s támogatásból származó bevétel</t>
  </si>
  <si>
    <t>Egyéb kvi szervtől átvett támogatás</t>
  </si>
  <si>
    <t xml:space="preserve">Móricz Zsigmond Műv Ház felújítása </t>
  </si>
  <si>
    <t>Kistérségi Járóbeteg közp kialakítása</t>
  </si>
  <si>
    <t>Városrehab Nyugati városrész</t>
  </si>
  <si>
    <t>Biztos kezdet program TÁMOP-5.2.3-A-12/1</t>
  </si>
  <si>
    <t>Közvilágítás korszerűsítés KEOP-5.5.0/A</t>
  </si>
  <si>
    <t>Szociális Központ fejlesztése TIOP-3.4.2-11/1-2012-0143</t>
  </si>
  <si>
    <t>Szivárvány EGYMI fejlesztése TIOP-1.2.5-12/1-2012-0002</t>
  </si>
  <si>
    <t>Önerő támogatás Közvilágítás korszerűsítés KEOP-5.5.0/A</t>
  </si>
  <si>
    <t>Köztéri alkotás (Milleneumi Park)</t>
  </si>
  <si>
    <t>Felhalmozási célú pénzmaradvány</t>
  </si>
  <si>
    <t>Hársfa u.  Óvoda felújítása BM</t>
  </si>
  <si>
    <t>Városgazdálkodás eszközbeszerzésre</t>
  </si>
  <si>
    <t>Önkormányzat felhalmozási kiadásainak</t>
  </si>
  <si>
    <t>Kiadási jogcím</t>
  </si>
  <si>
    <t>II. Felhalmozási kiadások</t>
  </si>
  <si>
    <t>Beruházások</t>
  </si>
  <si>
    <t>Hazai pályázatok</t>
  </si>
  <si>
    <t>EU-s pályázatok</t>
  </si>
  <si>
    <t>Egyéb beruházások</t>
  </si>
  <si>
    <t>Kisgépek, eszközök beszerzése (VGIG)</t>
  </si>
  <si>
    <t>Matáv hálózatkiváltás Nyugati Városrehabhoz</t>
  </si>
  <si>
    <t>Felújítások</t>
  </si>
  <si>
    <t>Városi Piac korszerűsítése</t>
  </si>
  <si>
    <t>Felújításhoz kapcsolódó fordított ÁFA</t>
  </si>
  <si>
    <t>Egyéb felújítások</t>
  </si>
  <si>
    <t>Egyéb felhalmozási célú kiadások</t>
  </si>
  <si>
    <t>DRV Rt-nek fejlesztésre</t>
  </si>
  <si>
    <t>Közműfejlesztési hozzájárulás</t>
  </si>
  <si>
    <t xml:space="preserve">Hosszú lejáratú hitelek kamata </t>
  </si>
  <si>
    <t>Erdőtüzes gépjármű beszerzéséhez</t>
  </si>
  <si>
    <t>Normatív kötött felhasználású  támogatás*</t>
  </si>
  <si>
    <t>Egyéb szociális feladatok támogatása (Rendszeres ellátás utáni visszaigénylések)</t>
  </si>
  <si>
    <t>5.</t>
  </si>
  <si>
    <t>5.1.</t>
  </si>
  <si>
    <t>Tárgyi eszközök, immateriális javak értékesítése</t>
  </si>
  <si>
    <t>Építési telkek értékesítése</t>
  </si>
  <si>
    <t>Otthonházi lakások</t>
  </si>
  <si>
    <t>Önkormányzati bérlakások értékesítése</t>
  </si>
  <si>
    <t>Önkormányzati bérlakások törlesztése</t>
  </si>
  <si>
    <t>Egyéb területek, ingatlanok értékesítése</t>
  </si>
  <si>
    <t>Járművek értékesítése</t>
  </si>
  <si>
    <t>5.2.</t>
  </si>
  <si>
    <t>Szolgálati lakásokért megyétől</t>
  </si>
  <si>
    <t>DRV vízhálózat bérleti díja</t>
  </si>
  <si>
    <t>DRV szennyvízhálózat bérleti díja Barcs</t>
  </si>
  <si>
    <t>DRV szennyvízhálózat bérleti díja tulajdonközösség</t>
  </si>
  <si>
    <t>5.3.</t>
  </si>
  <si>
    <t>Pénzügyi befektetésekből származó bevétel</t>
  </si>
  <si>
    <t>Osztalék</t>
  </si>
  <si>
    <t>Felhalmozási célú  kölcsön visszatérülése, igénybevétele</t>
  </si>
  <si>
    <t>Lakás célú  kölcsön törlesztés</t>
  </si>
  <si>
    <t>5.4.</t>
  </si>
  <si>
    <t>Jelzőrendszeres házi segítségnyújtás támogatás pályázat</t>
  </si>
  <si>
    <t>Pszichiátriai betegek ellátásának támogatása</t>
  </si>
  <si>
    <t>Többcélú Kistérségi Társulás Szociális ellátásra</t>
  </si>
  <si>
    <t>Többcélú Kistérségi Társulás Könyvtár szolgáltatáshoz</t>
  </si>
  <si>
    <t>Önkormányzatok térítése a jelzőrendszeres házi segítségnyújtáshoz</t>
  </si>
  <si>
    <t>Működési célra átvett pénzeszköz</t>
  </si>
  <si>
    <t>Önkormányzat tartalékainak</t>
  </si>
  <si>
    <t>Általános gazdálkodási tartalék</t>
  </si>
  <si>
    <t>Önkormányzat általános gazdálkodási tartaléka</t>
  </si>
  <si>
    <t>Céltartalék</t>
  </si>
  <si>
    <t>Oktatási, Művelődési, Sport Bizottság</t>
  </si>
  <si>
    <t>Egészségügyi, Szociálpolitikai Bizottság</t>
  </si>
  <si>
    <t>Somogytarnóca</t>
  </si>
  <si>
    <t>Drávaszentes</t>
  </si>
  <si>
    <t>Polgármester saját hatáskör</t>
  </si>
  <si>
    <t>Társadalmi szervezetek támogatása</t>
  </si>
  <si>
    <t>Kiemelt kulturális rendezvények + rendezvénysátrak jav.</t>
  </si>
  <si>
    <t>Sportegyesületek támogatása</t>
  </si>
  <si>
    <t>Kistérségi járóbeteg visszafizetési kötelezettség</t>
  </si>
  <si>
    <t>Felhalmozási célra elkülönített céltartalék</t>
  </si>
  <si>
    <t>11.</t>
  </si>
  <si>
    <t>11.1</t>
  </si>
  <si>
    <t>Hosszú lejáratú hitelek, kölcsönök felvétele (Felh)</t>
  </si>
  <si>
    <t>11.2</t>
  </si>
  <si>
    <t>Likviditási célú hitelek, kölcsönök felvétele pénzügyi vállalkozástól</t>
  </si>
  <si>
    <t>11.3</t>
  </si>
  <si>
    <t>Rövid lejáratú hitelek felvétele</t>
  </si>
  <si>
    <t>Belföldi értékpapírok bevételei</t>
  </si>
  <si>
    <t>Államháztartások belüli megelőlegezések</t>
  </si>
  <si>
    <t>Betétek megszüntetése</t>
  </si>
  <si>
    <t>Függő, átfutó, kiegyenlítő bevételek</t>
  </si>
  <si>
    <t>6.</t>
  </si>
  <si>
    <t>Hosszú lejáratú hitelek, kölcsönök törlesztése</t>
  </si>
  <si>
    <t>Barcs 2019 kötvény törlesztés (Műk)</t>
  </si>
  <si>
    <t>Likviditási célú hitelek, kölcsönök törlesztése pénzügyi vállalkozásnak</t>
  </si>
  <si>
    <t>Rövid lejáratú hitelek, kölcsönök törlesztése</t>
  </si>
  <si>
    <t>Belföldi értékpapírok kiadásai</t>
  </si>
  <si>
    <t>Államháztartások belüli megelőlegezések visszafizetése</t>
  </si>
  <si>
    <t>Pénzeszköz betétként elhelyezése</t>
  </si>
  <si>
    <t>Függő, átfutó, kiegyenlítő kiadások</t>
  </si>
  <si>
    <t>Megnevezés</t>
  </si>
  <si>
    <t>KÖTELEZŐ FELADAT</t>
  </si>
  <si>
    <t>ÖNKÉNT VÁLLALT FELADAT</t>
  </si>
  <si>
    <t>ÖSSZESEN</t>
  </si>
  <si>
    <t>Kölcsönök nyújtása felhalmozási céllal</t>
  </si>
  <si>
    <t>Kölcsönök törlesztése felhalmozási célra</t>
  </si>
  <si>
    <t>Hitel törlesztése felhalmozási célra</t>
  </si>
  <si>
    <t>KIADÁSOK MINDÖSSZESEN:</t>
  </si>
  <si>
    <t xml:space="preserve">Illetékek </t>
  </si>
  <si>
    <t>Pótlékok, bírságok</t>
  </si>
  <si>
    <t xml:space="preserve">Átengedett központi adók </t>
  </si>
  <si>
    <t>Működési célú költségvetési bevételek összesen</t>
  </si>
  <si>
    <t>Irányító szervtől kapott működési célú támogatás</t>
  </si>
  <si>
    <t>Felhalmozási célú költségvetési bevételek összesen</t>
  </si>
  <si>
    <t>Irányító szervtől kapott felhalmozási célú támogatás</t>
  </si>
  <si>
    <t>Kölcsön felvétele felhalmozási célra</t>
  </si>
  <si>
    <t>Hitel felvétele felhalmozási célra (finanszírozási c. bev.)</t>
  </si>
  <si>
    <t>BEVÉTELEK MINDÖSSZESEN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</si>
  <si>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</si>
  <si>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</si>
  <si>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</si>
  <si>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</si>
  <si>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</si>
  <si>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Irányító szerv alá tartozó költségvetési szervnek folyósított működési célú támogatás</t>
  </si>
  <si>
    <t>Általános tartalék</t>
  </si>
  <si>
    <t xml:space="preserve">Beruházások </t>
  </si>
  <si>
    <t xml:space="preserve">Egyéb felhalmozási kiadások </t>
  </si>
  <si>
    <t>Általános tartalék felhalmozási célra</t>
  </si>
  <si>
    <t>Céltartalék felhalmozási célra</t>
  </si>
  <si>
    <t>Irányító szerv alá tartozó költségvetési szervnek folyósított felhalmozási támogatás</t>
  </si>
  <si>
    <t xml:space="preserve">Közhatalmi bevételek </t>
  </si>
  <si>
    <t>Intézményi működési bevételek</t>
  </si>
  <si>
    <t>Működési célú támogatás államháztartáson belülről</t>
  </si>
  <si>
    <t>Működési célú átvett pénzeszköz</t>
  </si>
  <si>
    <t xml:space="preserve">Helyi adó bevételek </t>
  </si>
  <si>
    <t>Önkormányzatok általános működéséhez és ágazati feladataihoz kapcsolódó támogatások, a központi költségvetésből származó egyéb költségvetési támogatások</t>
  </si>
  <si>
    <t>Kapott kamatok működési célú</t>
  </si>
  <si>
    <t>Előző évi pénzmaradvány igénybevétele működési célra (finanszírozási c. bev.)</t>
  </si>
  <si>
    <t xml:space="preserve">Felhalmozási célú támogatás államháztartáson belülről </t>
  </si>
  <si>
    <t xml:space="preserve">Felhalmozási célú átvett pénzeszköz </t>
  </si>
  <si>
    <t>Felhalmozási bevétel</t>
  </si>
  <si>
    <t>Európai uniós forrásból finanszírozott támogatással megvalósuló programok, projektek bevételei</t>
  </si>
  <si>
    <t>Központi költségvetésből származó egyéb felhalmozási célú  költségvetési támogatások</t>
  </si>
  <si>
    <t>Nemzeti vagyonnal kapcsolatos bevételek</t>
  </si>
  <si>
    <t>Kapott kamatok felhalmozáso célú</t>
  </si>
  <si>
    <t>Előző évi pénzmaradvány igénybevétele felhalmozási célra (finanszírozási c. bev.)</t>
  </si>
  <si>
    <t>MŰKÖDÉSI KIADÁS ÖSSZESEN</t>
  </si>
  <si>
    <t>FELHALMOZÁSI KIADÁS ÖSSZESEN</t>
  </si>
  <si>
    <t>MŰKÖDÉSI BEVÉTEL ÖSSZESEN</t>
  </si>
  <si>
    <t>FELHALMOZÁSI BEVÉTEL ÖSSZESEN</t>
  </si>
  <si>
    <r>
      <t xml:space="preserve">- </t>
    </r>
    <r>
      <rPr>
        <sz val="12"/>
        <rFont val="Times New Roman"/>
        <family val="1"/>
      </rPr>
      <t>a felhalmozási célú átadott pénzeszköz</t>
    </r>
  </si>
  <si>
    <r>
      <t xml:space="preserve">- </t>
    </r>
    <r>
      <rPr>
        <sz val="12"/>
        <rFont val="Times New Roman"/>
        <family val="1"/>
      </rPr>
      <t>támogatásértékű felhalmozási kiadások (ÁHT-n belüli pénzeszköz átadások)</t>
    </r>
  </si>
  <si>
    <r>
      <t xml:space="preserve">- </t>
    </r>
    <r>
      <rPr>
        <sz val="12"/>
        <rFont val="Times New Roman"/>
        <family val="1"/>
      </rPr>
      <t>előző évi felhalmozási célú előirányzat-maradvány, pénzmaradvány átadás</t>
    </r>
  </si>
  <si>
    <t>Működési célú hiány / többlet</t>
  </si>
  <si>
    <t>Felhalmozási célú hiány / többlet</t>
  </si>
  <si>
    <t>2013.év</t>
  </si>
  <si>
    <r>
      <t xml:space="preserve">- </t>
    </r>
    <r>
      <rPr>
        <sz val="12"/>
        <rFont val="Times New Roman"/>
        <family val="1"/>
      </rPr>
      <t>a helyi önkormányzat által a lakosságnak juttatott támogatások, szociális, rászorultsági jellegű ellátások</t>
    </r>
  </si>
  <si>
    <r>
      <t xml:space="preserve">- </t>
    </r>
    <r>
      <rPr>
        <sz val="12"/>
        <rFont val="Times New Roman"/>
        <family val="1"/>
      </rPr>
      <t>a működési célú átadott pénzeszköz</t>
    </r>
  </si>
  <si>
    <r>
      <t xml:space="preserve">- </t>
    </r>
    <r>
      <rPr>
        <sz val="12"/>
        <rFont val="Times New Roman"/>
        <family val="1"/>
      </rPr>
      <t>támogatásértékű működési kiadások (ÁHT-n belüli pénzeszköz átadások)</t>
    </r>
  </si>
  <si>
    <r>
      <t>-</t>
    </r>
    <r>
      <rPr>
        <sz val="12"/>
        <rFont val="Times New Roman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</si>
  <si>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-</t>
    </r>
    <r>
      <rPr>
        <sz val="12"/>
        <rFont val="Times New Roman"/>
        <family val="1"/>
      </rPr>
      <t>előző évi működési célú előirányzat-maradvány, pénzmaradvány átadás összesen</t>
    </r>
  </si>
  <si>
    <t>15. melléklet</t>
  </si>
  <si>
    <t>a ……….../2012.(………....) önkormányzati rendelethez</t>
  </si>
  <si>
    <t>Teljes költség</t>
  </si>
  <si>
    <t>1.</t>
  </si>
  <si>
    <t>2.</t>
  </si>
  <si>
    <t>16. melléklet</t>
  </si>
  <si>
    <t xml:space="preserve">  Önkormányzat</t>
  </si>
  <si>
    <t xml:space="preserve">előirányzat-felhasználási ütemterv </t>
  </si>
  <si>
    <t>eFt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</si>
  <si>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</si>
  <si>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</si>
  <si>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</si>
  <si>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</si>
  <si>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</si>
  <si>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</si>
  <si>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</si>
  <si>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</si>
  <si>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</si>
  <si>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</si>
  <si>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</si>
  <si>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7.</t>
  </si>
  <si>
    <t>8.</t>
  </si>
  <si>
    <t>9.</t>
  </si>
  <si>
    <t>10.</t>
  </si>
  <si>
    <t>12.</t>
  </si>
  <si>
    <t>13.</t>
  </si>
  <si>
    <t>14.</t>
  </si>
  <si>
    <t xml:space="preserve">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</si>
  <si>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</si>
  <si>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</si>
  <si>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</si>
  <si>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</si>
  <si>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</si>
  <si>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</si>
  <si>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</si>
  <si>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</si>
  <si>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</si>
  <si>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</si>
  <si>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</si>
  <si>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</si>
  <si>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</si>
  <si>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</si>
  <si>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31.</t>
  </si>
  <si>
    <t>32.</t>
  </si>
  <si>
    <t>17. melléklet</t>
  </si>
  <si>
    <t>Többéves kiadással járó feladatok előirányzatai éves bontásban - Projektek</t>
  </si>
  <si>
    <t>A több éves kihatással járó feladat megnevezése</t>
  </si>
  <si>
    <t>Kiadási előirányzat (e Ft)</t>
  </si>
  <si>
    <t>2013.</t>
  </si>
  <si>
    <t>2014.</t>
  </si>
  <si>
    <t>2015.</t>
  </si>
  <si>
    <t>18. melléklet</t>
  </si>
  <si>
    <t xml:space="preserve">                                         Többéves kiadással járó feladatok előirányzati éves bontásban - Hitelek                                                                                                                              </t>
  </si>
  <si>
    <t>2014.év</t>
  </si>
  <si>
    <t>2015.év</t>
  </si>
  <si>
    <t>2016.év</t>
  </si>
  <si>
    <t>2017.év</t>
  </si>
  <si>
    <t>2018.év</t>
  </si>
  <si>
    <t>2019.év</t>
  </si>
  <si>
    <t>2020.év</t>
  </si>
  <si>
    <t>Hitel fajta</t>
  </si>
  <si>
    <t>Lej.idő</t>
  </si>
  <si>
    <t>törl.</t>
  </si>
  <si>
    <t>Célhitel 95.000eft</t>
  </si>
  <si>
    <t>Bérlakás hit. 202.549eft</t>
  </si>
  <si>
    <t>Célhitel 350.000e ft</t>
  </si>
  <si>
    <t>MNB 2012.12.31</t>
  </si>
  <si>
    <t>Műk.c.kötvény 697.080eft "Barcs 2019"</t>
  </si>
  <si>
    <t>CHF</t>
  </si>
  <si>
    <t>Felh c. kötvény 400.000eft "Barcs 2020"</t>
  </si>
  <si>
    <t>Összesen:</t>
  </si>
  <si>
    <t>2021.év</t>
  </si>
  <si>
    <t>2022.év</t>
  </si>
  <si>
    <t>2023.év</t>
  </si>
  <si>
    <t>2024.év</t>
  </si>
  <si>
    <t>2025.év</t>
  </si>
  <si>
    <t>2026.év</t>
  </si>
  <si>
    <t>2027.év</t>
  </si>
  <si>
    <t>Mind-</t>
  </si>
  <si>
    <t>összesen</t>
  </si>
  <si>
    <t>20. melléklet</t>
  </si>
  <si>
    <t>Az önkormányzat 2013. évi közvetett támogatásai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</si>
  <si>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</si>
  <si>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</si>
  <si>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</si>
  <si>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</si>
  <si>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</si>
  <si>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</si>
  <si>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</si>
  <si>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</si>
  <si>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</si>
  <si>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</si>
  <si>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</si>
  <si>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</si>
  <si>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</si>
  <si>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 xml:space="preserve"> Önkormányzat                     </t>
  </si>
  <si>
    <t>működési és felhalmozási bevételeinek és kiadásainak</t>
  </si>
  <si>
    <t>2013., 2014., 2015. évi alakulását bemutató mérleg</t>
  </si>
  <si>
    <t>2013. Eredeti előirányzat</t>
  </si>
  <si>
    <t>27.</t>
  </si>
  <si>
    <t>28.</t>
  </si>
  <si>
    <t>33.</t>
  </si>
  <si>
    <t>34.</t>
  </si>
  <si>
    <t>35.</t>
  </si>
  <si>
    <t>36.</t>
  </si>
  <si>
    <t>37.</t>
  </si>
  <si>
    <t>38.</t>
  </si>
  <si>
    <t>39.</t>
  </si>
  <si>
    <t>Európai Uniós támogatással megvalósuló projektek bevételei, kiadásai</t>
  </si>
  <si>
    <t>EU-s projekt neve, azonosítója: Barcsi Városi Könyvtár szolgáltatásfejlesztése TÁMOP-3.3.7-09/1-2009-0007</t>
  </si>
  <si>
    <t>Források</t>
  </si>
  <si>
    <t>2011.</t>
  </si>
  <si>
    <t>2012.</t>
  </si>
  <si>
    <t>Kiadások, költségek</t>
  </si>
  <si>
    <t>Saját erő</t>
  </si>
  <si>
    <t>Személyi jellegű</t>
  </si>
  <si>
    <t>Dologi jellegű</t>
  </si>
  <si>
    <t>EU-s forrás</t>
  </si>
  <si>
    <t>Beruházások, felújítások</t>
  </si>
  <si>
    <t>Társfinanszírozás</t>
  </si>
  <si>
    <t>Egyéb</t>
  </si>
  <si>
    <t>Hitel</t>
  </si>
  <si>
    <t>Egyéb forrás</t>
  </si>
  <si>
    <t>Források összesen</t>
  </si>
  <si>
    <t>EU-s projekt neve, azonosítója: Barcsi Szociális Központ fejlesztése TIOP 3.4.2-11/1</t>
  </si>
  <si>
    <t>KÖLTSÉGVETÉSI BEVÉTELEK MINDÖSSZESEN</t>
  </si>
  <si>
    <t>KÖLTSÉGVETÉSI KIADÁSOK MINDÖSSZESEN:</t>
  </si>
  <si>
    <t>Barcs 2020 kötvény törlesztés (Felh)</t>
  </si>
  <si>
    <t>Hosszú lejáratú hitel törlesztés (Felh)</t>
  </si>
  <si>
    <t>Finanszírozási kiadások</t>
  </si>
  <si>
    <t>Finanszírozási bevételek</t>
  </si>
  <si>
    <t>BEVÉTELEK MINDÖSSZESEN:</t>
  </si>
  <si>
    <t>2013.évi Eredeti előirányzat</t>
  </si>
  <si>
    <t>Bevételei összesen</t>
  </si>
  <si>
    <t>- a helyi önkormányzat által a lakosságnak juttatott támogatások, szociális, rászorultsági jellegű ellátások</t>
  </si>
  <si>
    <t>- a működési célú átadott pénzeszköz</t>
  </si>
  <si>
    <t>- támogatásértékű működési kiadások (ÁHT-n belüli pénzeszköz átadások)</t>
  </si>
  <si>
    <t>-előző évi működési célú előirányzat-maradvány, pénzmaradvány átadás összesen</t>
  </si>
  <si>
    <t>-az európai uniós forrásból finanszírozott támogatással megvalósuló programok, projektek kiadásai, valamint a helyi önkormányzat ilyen projektekhez történő hozzájárulásai</t>
  </si>
  <si>
    <t>- a felhalmozási célú átadott pénzeszköz</t>
  </si>
  <si>
    <t>- támogatásértékű felhalmozási kiadások (ÁHT-n belüli pénzeszköz átadások)</t>
  </si>
  <si>
    <t>- előző évi felhalmozási célú előirányzat-maradvány, pénzmaradvány átadás</t>
  </si>
  <si>
    <r>
      <t xml:space="preserve">KÖLTSÉGVETÉSI HIÁNY / TÖBBLET                                     </t>
    </r>
    <r>
      <rPr>
        <sz val="12"/>
        <rFont val="Times New Roman"/>
        <family val="1"/>
      </rPr>
      <t xml:space="preserve">  ( Bevételek 30. sor - Kiadások 20. sor)</t>
    </r>
  </si>
  <si>
    <r>
      <t xml:space="preserve">Finanszírozási célú műveletek egyenlege </t>
    </r>
    <r>
      <rPr>
        <b/>
        <sz val="12"/>
        <rFont val="Times New Roman CE"/>
        <family val="1"/>
      </rPr>
      <t xml:space="preserve">                                   </t>
    </r>
    <r>
      <rPr>
        <sz val="12"/>
        <rFont val="Times New Roman CE"/>
        <family val="0"/>
      </rPr>
      <t xml:space="preserve">  ( Bevételek 38. sor - Kiadások 28. sor)</t>
    </r>
  </si>
  <si>
    <t>12.1</t>
  </si>
  <si>
    <t>12.2</t>
  </si>
  <si>
    <t>12.3</t>
  </si>
  <si>
    <t>12.4</t>
  </si>
  <si>
    <t>21.1</t>
  </si>
  <si>
    <t>21.2</t>
  </si>
  <si>
    <t>21.3</t>
  </si>
  <si>
    <t>9.1.</t>
  </si>
  <si>
    <t>9.1.1</t>
  </si>
  <si>
    <t>9.1.2</t>
  </si>
  <si>
    <t>9.1.3</t>
  </si>
  <si>
    <t>9.1.4</t>
  </si>
  <si>
    <t>9.2.</t>
  </si>
  <si>
    <t>9.3.</t>
  </si>
  <si>
    <t>4.1</t>
  </si>
  <si>
    <t>4.2</t>
  </si>
  <si>
    <t>18.1.</t>
  </si>
  <si>
    <t>18.2.</t>
  </si>
  <si>
    <t>18.3.</t>
  </si>
  <si>
    <t>18.4.</t>
  </si>
  <si>
    <r>
      <t xml:space="preserve">Felhalmozási  bevételek </t>
    </r>
  </si>
  <si>
    <t>2013.év Eredeti előirányzat</t>
  </si>
  <si>
    <t>Általános gazdálkodási tartalék felhalmozási célra</t>
  </si>
  <si>
    <t>Céltartalék működési célra</t>
  </si>
  <si>
    <t>Tartalékok összesen</t>
  </si>
  <si>
    <t>Éves engedélyezett létszám előirányzat (fő)</t>
  </si>
  <si>
    <t>Közfoglalkoztatottak létszáma (fő)</t>
  </si>
  <si>
    <t>10.1</t>
  </si>
  <si>
    <t>10.2</t>
  </si>
  <si>
    <t>10.3</t>
  </si>
  <si>
    <t>19. melléklet</t>
  </si>
  <si>
    <t>Likviditási célú hitelek, kölcsönök törl. pénzügyi váll.</t>
  </si>
  <si>
    <t>Munkaadókat terhelő jár. és szoc. hozzájárulási adó</t>
  </si>
  <si>
    <t>Likviditási célú hitelek, kölcsönök felvétele pü. vállalkozástól</t>
  </si>
  <si>
    <t xml:space="preserve">     - önerő alap tám.</t>
  </si>
  <si>
    <t>2014. után</t>
  </si>
  <si>
    <t>EU-s projekt neve, azonosítója: Szivárvány EGYMI fejlesztése TIOP-1.2.5-12/1-2012-0002</t>
  </si>
  <si>
    <t>EU-s projekt neve, azonosítója: Közvilágítás korszerűsítés KEOP-5.5.0/A</t>
  </si>
  <si>
    <t>EU-s projekt neve, azonosítója: Móricz Zsigmond Művelődésiház felújítása</t>
  </si>
  <si>
    <t>EU-s projekt neve, azonosítója: Biztos kezdet program TÁMOP-5.2.3-A-12/1</t>
  </si>
  <si>
    <t>KÖTELEZŐ FELADATOK</t>
  </si>
  <si>
    <t>Kötelező feladat</t>
  </si>
  <si>
    <t>Önként vállalt feladat</t>
  </si>
  <si>
    <t>Strand létszám nem kötelezőbe</t>
  </si>
  <si>
    <t>Önkormányzat általános gazdálkodási tartaléka felhalmozási célra</t>
  </si>
  <si>
    <t>Települési hozzájárulás szociális alapfeladatokhoz</t>
  </si>
  <si>
    <t xml:space="preserve">  - ebből pályázat és egyéb hozzájárulások (Önkormányzaton keresztül kapja)</t>
  </si>
  <si>
    <t>Startmunka+Strand</t>
  </si>
  <si>
    <t>2013. évi terv</t>
  </si>
  <si>
    <t>Likviditási célú hitelek, kölcsönök felvétele pénzügyi váll.</t>
  </si>
  <si>
    <t>Munkaadókat terhelő járulékok és szoc.hozzájárulási adó</t>
  </si>
  <si>
    <t>Államháztartáson belüli megelőlegezések</t>
  </si>
  <si>
    <t>Államháztartáson belüli megelőlegezések visszafizetése</t>
  </si>
  <si>
    <t>Nemzetiségek támogatása                                  890503</t>
  </si>
  <si>
    <t>Egyházak támogatása                                  890506</t>
  </si>
  <si>
    <t>Civil szervezetek támogatása                                  890509</t>
  </si>
  <si>
    <t>Tagintézmények térítése (Vízvár hátralék)</t>
  </si>
  <si>
    <t>Tagintézmények térítése ( Óvodához)</t>
  </si>
  <si>
    <t xml:space="preserve">  - ebből Társult Önkormányzatok hozzájárulása (Önkormányzaton keresztül)</t>
  </si>
  <si>
    <t>Külterülettel kapcsolatos feladatok támogatása</t>
  </si>
  <si>
    <r>
      <t xml:space="preserve">ebből Működési hiány ( </t>
    </r>
    <r>
      <rPr>
        <sz val="12"/>
        <rFont val="Times New Roman"/>
        <family val="1"/>
      </rPr>
      <t>Bevét. 15. sor - Kiad. 9. sor)</t>
    </r>
  </si>
  <si>
    <t>1.1.</t>
  </si>
  <si>
    <t>1.2.</t>
  </si>
  <si>
    <r>
      <t xml:space="preserve">Felhalmozási hiány </t>
    </r>
    <r>
      <rPr>
        <sz val="12"/>
        <rFont val="Times New Roman"/>
        <family val="1"/>
      </rPr>
      <t>( Bevét. 29. sor - Kiad. 19. sor)</t>
    </r>
  </si>
  <si>
    <t>Önkormányzatok sajátos felhalmozási és tőkebevételei</t>
  </si>
  <si>
    <t xml:space="preserve">Január </t>
  </si>
  <si>
    <t xml:space="preserve">Városfejlesztési, Környezetvédelmi, Idegenforgalmi Bizottság </t>
  </si>
  <si>
    <t>9.4.</t>
  </si>
  <si>
    <t>Fejlesztési célú támogatások</t>
  </si>
  <si>
    <t xml:space="preserve">Önkormányzatok költségvetési támogatása </t>
  </si>
  <si>
    <t>Hőmennyiségmérő felszerelése át nem adott intézményeknél</t>
  </si>
  <si>
    <t>Működőképesség megőrzését szolgáló kiegészítő támogatás</t>
  </si>
  <si>
    <t>Hosszú lejáratú hitel törlesztés (Felhalmozási)</t>
  </si>
  <si>
    <t>Barcs 2019 kötvény törlesztés (Működési)</t>
  </si>
  <si>
    <t>Barcs 2020 kötvény törlesztés (Felhalmozási)</t>
  </si>
  <si>
    <t>2013.évi költségvetése, létszáma</t>
  </si>
  <si>
    <t>2013. évi bevételei és kiadásai (Szakfeladatok), létszáma</t>
  </si>
  <si>
    <t>Könyvtár működésének támogatásához</t>
  </si>
  <si>
    <t>a 9/2013.(III.13.) önkormányzati rendelethez</t>
  </si>
  <si>
    <t>Bölcsöde felújítás BM</t>
  </si>
  <si>
    <t>2013.évi Módosított előirányzat</t>
  </si>
  <si>
    <t>Módosított előirányzat</t>
  </si>
  <si>
    <t>2013.év Módosított előirányzat</t>
  </si>
  <si>
    <t>2013.év                        Módosított előirányzat</t>
  </si>
  <si>
    <t>2013.év                             Módosított előirányzat</t>
  </si>
  <si>
    <t>2013.év                                 Eredeti előirányzat</t>
  </si>
  <si>
    <t>2013.év                         Eredeti előirányzat</t>
  </si>
  <si>
    <t>Barcsi Polgármesteri Hivatal</t>
  </si>
  <si>
    <t>Eredeti e.i</t>
  </si>
  <si>
    <t>Mód.e.i.</t>
  </si>
  <si>
    <t>Tagintézmények térítése (Ivóvízminőségjavító társuláshoz)</t>
  </si>
  <si>
    <t>Óvoda működtetési támogatás</t>
  </si>
  <si>
    <t>Óvodákba bejáró gyerekek utaztatásának támogatása</t>
  </si>
  <si>
    <t>2013. évi várható bevételi előirányzatainak teljesüléséről</t>
  </si>
  <si>
    <t>Január</t>
  </si>
  <si>
    <t>ÖNK.VÁLL.FELADAT</t>
  </si>
  <si>
    <t>ÖNKÉNT VÁLLALT FELADATOK</t>
  </si>
  <si>
    <t>Nem lakóingatlan bérbead, üzemelt.                       682002</t>
  </si>
  <si>
    <t>Földügy területi igazgatása és szabályozása                       841323</t>
  </si>
  <si>
    <t>Közvilágítás                     841402</t>
  </si>
  <si>
    <t>Város, község gazdálkodás                    841403</t>
  </si>
  <si>
    <t>Ár- és belvízvédelmi tevékenység                               842541</t>
  </si>
  <si>
    <t>Sport-létesítmény működtetése                        931102</t>
  </si>
  <si>
    <t xml:space="preserve">  </t>
  </si>
  <si>
    <t>Szerkezetátalakítási tartalék</t>
  </si>
  <si>
    <r>
      <t xml:space="preserve">1. melléklet </t>
    </r>
    <r>
      <rPr>
        <vertAlign val="superscript"/>
        <sz val="12"/>
        <rFont val="Times New Roman"/>
        <family val="1"/>
      </rPr>
      <t>(1)</t>
    </r>
  </si>
  <si>
    <r>
      <t>2. melléklet</t>
    </r>
    <r>
      <rPr>
        <vertAlign val="superscript"/>
        <sz val="12"/>
        <rFont val="Times New Roman"/>
        <family val="1"/>
      </rPr>
      <t xml:space="preserve"> (1)-(2)</t>
    </r>
  </si>
  <si>
    <r>
      <t xml:space="preserve">3. melléklet </t>
    </r>
    <r>
      <rPr>
        <vertAlign val="superscript"/>
        <sz val="10"/>
        <rFont val="Times New Roman"/>
        <family val="1"/>
      </rPr>
      <t>(1)-(2)</t>
    </r>
  </si>
  <si>
    <r>
      <t xml:space="preserve">4. melléklet </t>
    </r>
    <r>
      <rPr>
        <vertAlign val="superscript"/>
        <sz val="10"/>
        <rFont val="Times New Roman"/>
        <family val="1"/>
      </rPr>
      <t>(1)-(2)</t>
    </r>
  </si>
  <si>
    <r>
      <t xml:space="preserve">5. melléklet </t>
    </r>
    <r>
      <rPr>
        <vertAlign val="superscript"/>
        <sz val="10"/>
        <rFont val="Times New Roman"/>
        <family val="1"/>
      </rPr>
      <t>(1)-(2)</t>
    </r>
  </si>
  <si>
    <r>
      <t xml:space="preserve">6. melléklet </t>
    </r>
    <r>
      <rPr>
        <vertAlign val="superscript"/>
        <sz val="10"/>
        <rFont val="Times New Roman"/>
        <family val="1"/>
      </rPr>
      <t>(1)-(2)</t>
    </r>
  </si>
  <si>
    <r>
      <t xml:space="preserve">7. melléklet </t>
    </r>
    <r>
      <rPr>
        <vertAlign val="superscript"/>
        <sz val="12"/>
        <rFont val="Times New Roman"/>
        <family val="1"/>
      </rPr>
      <t>(1)-(2)</t>
    </r>
  </si>
  <si>
    <r>
      <t xml:space="preserve">8. melléklet </t>
    </r>
    <r>
      <rPr>
        <vertAlign val="superscript"/>
        <sz val="12"/>
        <rFont val="Times New Roman"/>
        <family val="1"/>
      </rPr>
      <t>(1)-(2)</t>
    </r>
  </si>
  <si>
    <r>
      <t xml:space="preserve">9. melléklet </t>
    </r>
    <r>
      <rPr>
        <vertAlign val="superscript"/>
        <sz val="12"/>
        <rFont val="Times New Roman"/>
        <family val="1"/>
      </rPr>
      <t>(1)-(2)</t>
    </r>
  </si>
  <si>
    <r>
      <t xml:space="preserve">10. melléklet </t>
    </r>
    <r>
      <rPr>
        <vertAlign val="superscript"/>
        <sz val="12"/>
        <rFont val="Times New Roman"/>
        <family val="1"/>
      </rPr>
      <t>(1)-(2)</t>
    </r>
  </si>
  <si>
    <r>
      <t xml:space="preserve">11. melléklet </t>
    </r>
    <r>
      <rPr>
        <vertAlign val="superscript"/>
        <sz val="12"/>
        <rFont val="Times New Roman"/>
        <family val="1"/>
      </rPr>
      <t>(1)-(2)</t>
    </r>
  </si>
  <si>
    <r>
      <t xml:space="preserve">12. melléklet </t>
    </r>
    <r>
      <rPr>
        <vertAlign val="superscript"/>
        <sz val="12"/>
        <rFont val="Times New Roman"/>
        <family val="1"/>
      </rPr>
      <t>(1)-(2)</t>
    </r>
  </si>
  <si>
    <r>
      <t xml:space="preserve">13. melléklet </t>
    </r>
    <r>
      <rPr>
        <vertAlign val="superscript"/>
        <sz val="12"/>
        <rFont val="Times New Roman"/>
        <family val="1"/>
      </rPr>
      <t>(1)-(2)</t>
    </r>
  </si>
  <si>
    <r>
      <t xml:space="preserve">14. melléklet </t>
    </r>
    <r>
      <rPr>
        <vertAlign val="superscript"/>
        <sz val="12"/>
        <rFont val="Times New Roman"/>
        <family val="1"/>
      </rPr>
      <t>(1)-(2)</t>
    </r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</si>
</sst>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[$-40E]yyyy\.\ mmmm\ d\."/>
    <numFmt numFmtId="179" formatCode="#,##0;[Red]#,##0"/>
    <numFmt numFmtId="180" formatCode="0.000%"/>
    <numFmt numFmtId="181" formatCode="#,###__;\-\ #,###__"/>
    <numFmt numFmtId="182" formatCode="_-* #,##0\ _F_t_-;\-* #,##0\ _F_t_-;_-* &quot;-&quot;??\ _F_t_-;_-@_-"/>
    <numFmt numFmtId="183" formatCode="0.0%"/>
    <numFmt numFmtId="184" formatCode="0.0"/>
    <numFmt numFmtId="185" formatCode="mmm/yyyy"/>
    <numFmt numFmtId="186" formatCode="#,###.0"/>
    <numFmt numFmtId="187" formatCode="#,###.00"/>
    <numFmt numFmtId="188" formatCode="#,###.000"/>
    <numFmt numFmtId="189" formatCode="#,###.0000"/>
    <numFmt numFmtId="190" formatCode="#,##0\ _F_t"/>
    <numFmt numFmtId="191" formatCode="_-* #,##0.0\ _F_t_-;\-* #,##0.0\ _F_t_-;_-* &quot;-&quot;?\ _F_t_-;_-@_-"/>
    <numFmt numFmtId="192" formatCode="0.0000"/>
    <numFmt numFmtId="193" formatCode="#,##0_ ;\-#,##0\ "/>
    <numFmt numFmtId="194" formatCode="#,##0.0_ ;\-#,##0.0\ "/>
    <numFmt numFmtId="195" formatCode="_-* #,##0\ _F_t_-;\-* #,##0\ _F_t_-;_-* \-??\ _F_t_-;_-@_-"/>
    <numFmt numFmtId="196" formatCode="[$-40E]yyyy/\ mmmm;@"/>
    <numFmt numFmtId="197" formatCode="yyyy\.mm\.dd;@"/>
    <numFmt numFmtId="198" formatCode="yyyy/mm/dd;@"/>
    <numFmt numFmtId="199" formatCode="0.000000"/>
    <numFmt numFmtId="200" formatCode="0.00000"/>
    <numFmt numFmtId="201" formatCode="0.000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#,###,##0"/>
    <numFmt numFmtId="211" formatCode="#,###,##0.0#"/>
    <numFmt numFmtId="212" formatCode="0__"/>
    <numFmt numFmtId="213" formatCode="#,##0.0###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 CE"/>
      <family val="0"/>
    </font>
    <font>
      <i/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0"/>
      <name val="Bookman Old Style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 CE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sz val="8"/>
      <name val="Arial"/>
      <family val="0"/>
    </font>
    <font>
      <sz val="12"/>
      <name val="Bookman Old Style"/>
      <family val="1"/>
    </font>
    <font>
      <i/>
      <sz val="12"/>
      <name val="Times New Roman"/>
      <family val="1"/>
    </font>
    <font>
      <b/>
      <i/>
      <sz val="12"/>
      <name val="Times New Roman CE"/>
      <family val="0"/>
    </font>
    <font>
      <b/>
      <sz val="12"/>
      <name val="Arial"/>
      <family val="2"/>
    </font>
    <font>
      <i/>
      <sz val="11"/>
      <name val="Times New Roman"/>
      <family val="1"/>
    </font>
    <font>
      <b/>
      <sz val="16"/>
      <name val="Times New Roman CE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4" fillId="7" borderId="1" applyNumberFormat="0" applyAlignment="0" applyProtection="0"/>
    <xf numFmtId="0" fontId="7" fillId="22" borderId="10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20" borderId="11" applyNumberFormat="0" applyAlignment="0" applyProtection="0"/>
    <xf numFmtId="0" fontId="25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22" borderId="10" applyNumberFormat="0" applyFont="0" applyAlignment="0" applyProtection="0"/>
    <xf numFmtId="0" fontId="26" fillId="20" borderId="11" applyNumberFormat="0" applyAlignment="0" applyProtection="0"/>
    <xf numFmtId="0" fontId="3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8" fillId="23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8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7" fillId="0" borderId="0" xfId="96" applyFont="1" applyBorder="1" applyAlignment="1" applyProtection="1">
      <alignment/>
      <protection/>
    </xf>
    <xf numFmtId="3" fontId="3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34" fillId="20" borderId="0" xfId="0" applyFont="1" applyFill="1" applyAlignment="1">
      <alignment/>
    </xf>
    <xf numFmtId="0" fontId="34" fillId="0" borderId="0" xfId="0" applyFont="1" applyAlignment="1">
      <alignment/>
    </xf>
    <xf numFmtId="0" fontId="35" fillId="20" borderId="0" xfId="0" applyFont="1" applyFill="1" applyAlignment="1">
      <alignment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49" fontId="36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0" xfId="95" applyFont="1" applyProtection="1">
      <alignment/>
      <protection/>
    </xf>
    <xf numFmtId="0" fontId="0" fillId="0" borderId="0" xfId="0" applyFont="1" applyAlignment="1">
      <alignment/>
    </xf>
    <xf numFmtId="0" fontId="2" fillId="0" borderId="0" xfId="96" applyFont="1" applyAlignment="1">
      <alignment horizontal="right"/>
      <protection/>
    </xf>
    <xf numFmtId="0" fontId="35" fillId="0" borderId="0" xfId="0" applyFont="1" applyAlignment="1">
      <alignment/>
    </xf>
    <xf numFmtId="0" fontId="37" fillId="0" borderId="16" xfId="101" applyFont="1" applyFill="1" applyBorder="1" applyAlignment="1" applyProtection="1">
      <alignment horizontal="left" vertical="center" wrapText="1" indent="1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3" fontId="37" fillId="0" borderId="17" xfId="101" applyNumberFormat="1" applyFont="1" applyFill="1" applyBorder="1" applyAlignment="1" applyProtection="1">
      <alignment horizontal="right" vertical="center" wrapText="1"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5" xfId="95" applyNumberFormat="1" applyFont="1" applyFill="1" applyBorder="1" applyProtection="1">
      <alignment/>
      <protection/>
    </xf>
    <xf numFmtId="0" fontId="2" fillId="20" borderId="0" xfId="95" applyFont="1" applyFill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95" applyFont="1" applyBorder="1" applyProtection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19" xfId="95" applyNumberFormat="1" applyFont="1" applyBorder="1" applyProtection="1">
      <alignment/>
      <protection/>
    </xf>
    <xf numFmtId="0" fontId="2" fillId="0" borderId="15" xfId="95" applyFont="1" applyBorder="1" applyAlignment="1" applyProtection="1">
      <alignment horizontal="left" indent="1"/>
      <protection/>
    </xf>
    <xf numFmtId="0" fontId="32" fillId="0" borderId="0" xfId="95" applyFont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95" applyNumberFormat="1" applyFont="1" applyFill="1" applyBorder="1" applyAlignment="1">
      <alignment horizontal="left" indent="3"/>
      <protection/>
    </xf>
    <xf numFmtId="3" fontId="2" fillId="0" borderId="15" xfId="95" applyNumberFormat="1" applyFont="1" applyFill="1" applyBorder="1">
      <alignment/>
      <protection/>
    </xf>
    <xf numFmtId="3" fontId="2" fillId="0" borderId="19" xfId="95" applyNumberFormat="1" applyFont="1" applyFill="1" applyBorder="1">
      <alignment/>
      <protection/>
    </xf>
    <xf numFmtId="0" fontId="2" fillId="0" borderId="20" xfId="95" applyFont="1" applyBorder="1" applyProtection="1">
      <alignment/>
      <protection/>
    </xf>
    <xf numFmtId="3" fontId="2" fillId="0" borderId="21" xfId="95" applyNumberFormat="1" applyFont="1" applyBorder="1" applyProtection="1">
      <alignment/>
      <protection/>
    </xf>
    <xf numFmtId="0" fontId="2" fillId="0" borderId="22" xfId="95" applyFont="1" applyBorder="1" applyAlignment="1" applyProtection="1">
      <alignment horizontal="left" indent="1"/>
      <protection/>
    </xf>
    <xf numFmtId="49" fontId="37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24" xfId="101" applyFont="1" applyFill="1" applyBorder="1" applyAlignment="1" applyProtection="1">
      <alignment horizontal="left" vertical="center" wrapText="1" indent="1"/>
      <protection/>
    </xf>
    <xf numFmtId="3" fontId="3" fillId="20" borderId="24" xfId="95" applyNumberFormat="1" applyFont="1" applyFill="1" applyBorder="1" applyProtection="1">
      <alignment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3" fontId="36" fillId="0" borderId="25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95" applyNumberFormat="1" applyFont="1" applyBorder="1" applyProtection="1">
      <alignment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3" fontId="2" fillId="0" borderId="15" xfId="95" applyNumberFormat="1" applyFont="1" applyFill="1" applyBorder="1" applyProtection="1">
      <alignment/>
      <protection/>
    </xf>
    <xf numFmtId="3" fontId="2" fillId="0" borderId="19" xfId="95" applyNumberFormat="1" applyFont="1" applyFill="1" applyBorder="1" applyProtection="1">
      <alignment/>
      <protection/>
    </xf>
    <xf numFmtId="49" fontId="36" fillId="0" borderId="2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6" applyFont="1" applyFill="1" applyBorder="1" applyAlignment="1">
      <alignment horizontal="left" indent="3"/>
      <protection/>
    </xf>
    <xf numFmtId="3" fontId="2" fillId="0" borderId="15" xfId="96" applyNumberFormat="1" applyFont="1" applyFill="1" applyBorder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26" xfId="95" applyNumberFormat="1" applyFont="1" applyBorder="1" applyProtection="1">
      <alignment/>
      <protection/>
    </xf>
    <xf numFmtId="0" fontId="0" fillId="0" borderId="0" xfId="0" applyFont="1" applyAlignment="1">
      <alignment/>
    </xf>
    <xf numFmtId="0" fontId="2" fillId="0" borderId="15" xfId="95" applyFont="1" applyBorder="1" applyAlignment="1" applyProtection="1">
      <alignment horizontal="left" indent="3"/>
      <protection/>
    </xf>
    <xf numFmtId="3" fontId="0" fillId="0" borderId="0" xfId="0" applyNumberFormat="1" applyFont="1" applyAlignment="1">
      <alignment/>
    </xf>
    <xf numFmtId="3" fontId="2" fillId="0" borderId="0" xfId="95" applyNumberFormat="1" applyFont="1" applyProtection="1">
      <alignment/>
      <protection/>
    </xf>
    <xf numFmtId="0" fontId="2" fillId="0" borderId="27" xfId="95" applyFont="1" applyBorder="1" applyProtection="1">
      <alignment/>
      <protection/>
    </xf>
    <xf numFmtId="3" fontId="2" fillId="0" borderId="22" xfId="95" applyNumberFormat="1" applyFont="1" applyBorder="1" applyProtection="1">
      <alignment/>
      <protection/>
    </xf>
    <xf numFmtId="3" fontId="9" fillId="20" borderId="15" xfId="95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6" fillId="0" borderId="15" xfId="101" applyFont="1" applyFill="1" applyBorder="1" applyAlignment="1" applyProtection="1">
      <alignment horizontal="left" vertical="center" wrapText="1" indent="2"/>
      <protection/>
    </xf>
    <xf numFmtId="0" fontId="0" fillId="20" borderId="0" xfId="0" applyFont="1" applyFill="1" applyAlignment="1">
      <alignment/>
    </xf>
    <xf numFmtId="0" fontId="40" fillId="0" borderId="0" xfId="0" applyFont="1" applyAlignment="1">
      <alignment/>
    </xf>
    <xf numFmtId="0" fontId="41" fillId="24" borderId="28" xfId="0" applyFont="1" applyFill="1" applyBorder="1" applyAlignment="1">
      <alignment horizontal="left" vertical="top" wrapText="1" indent="3"/>
    </xf>
    <xf numFmtId="0" fontId="2" fillId="20" borderId="0" xfId="0" applyFont="1" applyFill="1" applyBorder="1" applyAlignment="1">
      <alignment horizontal="left" wrapText="1" indent="2"/>
    </xf>
    <xf numFmtId="0" fontId="2" fillId="0" borderId="15" xfId="0" applyFont="1" applyBorder="1" applyAlignment="1">
      <alignment horizontal="left" indent="2"/>
    </xf>
    <xf numFmtId="3" fontId="36" fillId="0" borderId="2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Border="1" applyAlignment="1">
      <alignment/>
    </xf>
    <xf numFmtId="14" fontId="35" fillId="2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justify"/>
    </xf>
    <xf numFmtId="0" fontId="8" fillId="25" borderId="15" xfId="0" applyFont="1" applyFill="1" applyBorder="1" applyAlignment="1">
      <alignment horizontal="justify" wrapText="1"/>
    </xf>
    <xf numFmtId="0" fontId="8" fillId="0" borderId="15" xfId="0" applyFont="1" applyBorder="1" applyAlignment="1">
      <alignment horizontal="justify" wrapText="1"/>
    </xf>
    <xf numFmtId="0" fontId="8" fillId="10" borderId="15" xfId="0" applyFont="1" applyFill="1" applyBorder="1" applyAlignment="1">
      <alignment/>
    </xf>
    <xf numFmtId="3" fontId="3" fillId="10" borderId="15" xfId="0" applyNumberFormat="1" applyFont="1" applyFill="1" applyBorder="1" applyAlignment="1">
      <alignment/>
    </xf>
    <xf numFmtId="0" fontId="44" fillId="0" borderId="15" xfId="0" applyFont="1" applyBorder="1" applyAlignment="1" quotePrefix="1">
      <alignment horizontal="justify"/>
    </xf>
    <xf numFmtId="0" fontId="8" fillId="25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43" fillId="0" borderId="15" xfId="0" applyFont="1" applyFill="1" applyBorder="1" applyAlignment="1">
      <alignment wrapText="1"/>
    </xf>
    <xf numFmtId="3" fontId="45" fillId="0" borderId="15" xfId="0" applyNumberFormat="1" applyFont="1" applyBorder="1" applyAlignment="1">
      <alignment/>
    </xf>
    <xf numFmtId="0" fontId="7" fillId="0" borderId="15" xfId="0" applyFont="1" applyFill="1" applyBorder="1" applyAlignment="1">
      <alignment horizontal="justify"/>
    </xf>
    <xf numFmtId="212" fontId="46" fillId="0" borderId="15" xfId="97" applyNumberFormat="1" applyFont="1" applyFill="1" applyBorder="1" applyAlignment="1">
      <alignment horizontal="left" vertical="center" wrapText="1"/>
      <protection/>
    </xf>
    <xf numFmtId="0" fontId="8" fillId="7" borderId="15" xfId="0" applyFont="1" applyFill="1" applyBorder="1" applyAlignment="1">
      <alignment wrapText="1"/>
    </xf>
    <xf numFmtId="0" fontId="8" fillId="23" borderId="15" xfId="0" applyFont="1" applyFill="1" applyBorder="1" applyAlignment="1">
      <alignment wrapText="1"/>
    </xf>
    <xf numFmtId="0" fontId="7" fillId="25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3" fillId="0" borderId="15" xfId="0" applyFont="1" applyBorder="1" applyAlignment="1">
      <alignment/>
    </xf>
    <xf numFmtId="0" fontId="47" fillId="0" borderId="0" xfId="0" applyFont="1" applyAlignment="1">
      <alignment/>
    </xf>
    <xf numFmtId="3" fontId="3" fillId="7" borderId="15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3" fontId="3" fillId="23" borderId="15" xfId="0" applyNumberFormat="1" applyFont="1" applyFill="1" applyBorder="1" applyAlignment="1">
      <alignment/>
    </xf>
    <xf numFmtId="0" fontId="2" fillId="23" borderId="0" xfId="0" applyFont="1" applyFill="1" applyAlignment="1">
      <alignment/>
    </xf>
    <xf numFmtId="3" fontId="2" fillId="25" borderId="15" xfId="0" applyNumberFormat="1" applyFont="1" applyFill="1" applyBorder="1" applyAlignment="1">
      <alignment/>
    </xf>
    <xf numFmtId="3" fontId="3" fillId="25" borderId="15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44" fillId="0" borderId="15" xfId="0" applyFont="1" applyBorder="1" applyAlignment="1" quotePrefix="1">
      <alignment horizontal="left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2" fillId="0" borderId="30" xfId="95" applyNumberFormat="1" applyFont="1" applyBorder="1" applyProtection="1">
      <alignment/>
      <protection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2" fillId="0" borderId="31" xfId="95" applyNumberFormat="1" applyFont="1" applyFill="1" applyBorder="1">
      <alignment/>
      <protection/>
    </xf>
    <xf numFmtId="3" fontId="2" fillId="0" borderId="32" xfId="95" applyNumberFormat="1" applyFont="1" applyBorder="1" applyProtection="1">
      <alignment/>
      <protection/>
    </xf>
    <xf numFmtId="3" fontId="2" fillId="0" borderId="31" xfId="95" applyNumberFormat="1" applyFont="1" applyBorder="1" applyProtection="1">
      <alignment/>
      <protection/>
    </xf>
    <xf numFmtId="0" fontId="2" fillId="0" borderId="0" xfId="98" applyFont="1" applyFill="1">
      <alignment/>
      <protection/>
    </xf>
    <xf numFmtId="0" fontId="2" fillId="0" borderId="0" xfId="98" applyFont="1" applyFill="1" applyAlignment="1">
      <alignment wrapText="1"/>
      <protection/>
    </xf>
    <xf numFmtId="3" fontId="2" fillId="0" borderId="0" xfId="98" applyNumberFormat="1" applyFont="1" applyFill="1">
      <alignment/>
      <protection/>
    </xf>
    <xf numFmtId="3" fontId="2" fillId="0" borderId="0" xfId="98" applyNumberFormat="1" applyFont="1" applyFill="1" applyAlignment="1">
      <alignment shrinkToFit="1"/>
      <protection/>
    </xf>
    <xf numFmtId="3" fontId="51" fillId="0" borderId="0" xfId="98" applyNumberFormat="1" applyFont="1" applyFill="1" applyAlignment="1">
      <alignment horizontal="right"/>
      <protection/>
    </xf>
    <xf numFmtId="4" fontId="2" fillId="0" borderId="0" xfId="98" applyNumberFormat="1" applyFont="1" applyFill="1">
      <alignment/>
      <protection/>
    </xf>
    <xf numFmtId="3" fontId="7" fillId="0" borderId="0" xfId="98" applyNumberFormat="1" applyFont="1" applyFill="1">
      <alignment/>
      <protection/>
    </xf>
    <xf numFmtId="3" fontId="3" fillId="0" borderId="0" xfId="98" applyNumberFormat="1" applyFont="1" applyFill="1" applyAlignment="1">
      <alignment horizontal="right"/>
      <protection/>
    </xf>
    <xf numFmtId="3" fontId="3" fillId="0" borderId="33" xfId="98" applyNumberFormat="1" applyFont="1" applyFill="1" applyBorder="1" applyAlignment="1">
      <alignment horizontal="center" vertical="center" wrapText="1"/>
      <protection/>
    </xf>
    <xf numFmtId="3" fontId="54" fillId="0" borderId="34" xfId="98" applyNumberFormat="1" applyFont="1" applyFill="1" applyBorder="1" applyAlignment="1">
      <alignment horizontal="center" vertical="center" wrapText="1"/>
      <protection/>
    </xf>
    <xf numFmtId="3" fontId="54" fillId="0" borderId="35" xfId="98" applyNumberFormat="1" applyFont="1" applyFill="1" applyBorder="1" applyAlignment="1">
      <alignment horizontal="center" vertical="center" wrapText="1" shrinkToFit="1"/>
      <protection/>
    </xf>
    <xf numFmtId="3" fontId="54" fillId="0" borderId="35" xfId="98" applyNumberFormat="1" applyFont="1" applyFill="1" applyBorder="1" applyAlignment="1">
      <alignment horizontal="center" vertical="center" wrapText="1"/>
      <protection/>
    </xf>
    <xf numFmtId="3" fontId="54" fillId="0" borderId="36" xfId="98" applyNumberFormat="1" applyFont="1" applyFill="1" applyBorder="1" applyAlignment="1">
      <alignment horizontal="center" vertical="center" wrapText="1"/>
      <protection/>
    </xf>
    <xf numFmtId="4" fontId="55" fillId="0" borderId="0" xfId="98" applyNumberFormat="1" applyFont="1" applyFill="1" applyBorder="1" applyAlignment="1">
      <alignment horizontal="center"/>
      <protection/>
    </xf>
    <xf numFmtId="0" fontId="55" fillId="0" borderId="0" xfId="98" applyFont="1" applyFill="1" applyBorder="1" applyAlignment="1">
      <alignment horizontal="center"/>
      <protection/>
    </xf>
    <xf numFmtId="0" fontId="55" fillId="0" borderId="0" xfId="98" applyFont="1" applyFill="1" applyAlignment="1">
      <alignment horizontal="center"/>
      <protection/>
    </xf>
    <xf numFmtId="3" fontId="54" fillId="0" borderId="33" xfId="98" applyNumberFormat="1" applyFont="1" applyFill="1" applyBorder="1" applyAlignment="1">
      <alignment horizontal="center" vertical="center" wrapText="1"/>
      <protection/>
    </xf>
    <xf numFmtId="3" fontId="3" fillId="0" borderId="37" xfId="98" applyNumberFormat="1" applyFont="1" applyFill="1" applyBorder="1" applyAlignment="1">
      <alignment vertical="center" wrapText="1"/>
      <protection/>
    </xf>
    <xf numFmtId="3" fontId="2" fillId="0" borderId="21" xfId="98" applyNumberFormat="1" applyFont="1" applyFill="1" applyBorder="1" applyAlignment="1">
      <alignment vertical="center" wrapText="1"/>
      <protection/>
    </xf>
    <xf numFmtId="4" fontId="2" fillId="0" borderId="0" xfId="98" applyNumberFormat="1" applyFont="1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20" borderId="0" xfId="98" applyFont="1" applyFill="1" applyBorder="1">
      <alignment/>
      <protection/>
    </xf>
    <xf numFmtId="0" fontId="2" fillId="20" borderId="0" xfId="98" applyFont="1" applyFill="1">
      <alignment/>
      <protection/>
    </xf>
    <xf numFmtId="0" fontId="2" fillId="20" borderId="38" xfId="98" applyFont="1" applyFill="1" applyBorder="1">
      <alignment/>
      <protection/>
    </xf>
    <xf numFmtId="0" fontId="2" fillId="20" borderId="15" xfId="98" applyFont="1" applyFill="1" applyBorder="1">
      <alignment/>
      <protection/>
    </xf>
    <xf numFmtId="3" fontId="55" fillId="0" borderId="0" xfId="98" applyNumberFormat="1" applyFont="1" applyFill="1" applyBorder="1" applyAlignment="1">
      <alignment horizontal="center"/>
      <protection/>
    </xf>
    <xf numFmtId="167" fontId="2" fillId="0" borderId="0" xfId="98" applyNumberFormat="1" applyFont="1" applyFill="1">
      <alignment/>
      <protection/>
    </xf>
    <xf numFmtId="3" fontId="2" fillId="0" borderId="0" xfId="98" applyNumberFormat="1" applyFont="1" applyFill="1" applyBorder="1" applyAlignment="1">
      <alignment vertical="center" wrapText="1"/>
      <protection/>
    </xf>
    <xf numFmtId="0" fontId="2" fillId="0" borderId="0" xfId="104" applyFont="1">
      <alignment/>
      <protection/>
    </xf>
    <xf numFmtId="0" fontId="51" fillId="0" borderId="0" xfId="104" applyFont="1" applyAlignment="1">
      <alignment horizontal="right"/>
      <protection/>
    </xf>
    <xf numFmtId="0" fontId="7" fillId="0" borderId="0" xfId="104" applyFont="1">
      <alignment/>
      <protection/>
    </xf>
    <xf numFmtId="0" fontId="2" fillId="0" borderId="0" xfId="104" applyFont="1" applyAlignment="1">
      <alignment horizontal="right"/>
      <protection/>
    </xf>
    <xf numFmtId="0" fontId="7" fillId="0" borderId="0" xfId="103" applyFont="1">
      <alignment/>
      <protection/>
    </xf>
    <xf numFmtId="0" fontId="8" fillId="0" borderId="0" xfId="103" applyFont="1">
      <alignment/>
      <protection/>
    </xf>
    <xf numFmtId="0" fontId="8" fillId="0" borderId="22" xfId="103" applyFont="1" applyBorder="1" applyAlignment="1">
      <alignment horizontal="center"/>
      <protection/>
    </xf>
    <xf numFmtId="0" fontId="8" fillId="0" borderId="26" xfId="103" applyFont="1" applyBorder="1" applyAlignment="1">
      <alignment horizontal="center"/>
      <protection/>
    </xf>
    <xf numFmtId="0" fontId="7" fillId="0" borderId="18" xfId="103" applyFont="1" applyBorder="1">
      <alignment/>
      <protection/>
    </xf>
    <xf numFmtId="3" fontId="7" fillId="0" borderId="15" xfId="103" applyNumberFormat="1" applyFont="1" applyBorder="1" applyAlignment="1">
      <alignment horizontal="right"/>
      <protection/>
    </xf>
    <xf numFmtId="3" fontId="7" fillId="0" borderId="19" xfId="103" applyNumberFormat="1" applyFont="1" applyBorder="1" applyAlignment="1">
      <alignment horizontal="right"/>
      <protection/>
    </xf>
    <xf numFmtId="0" fontId="7" fillId="0" borderId="20" xfId="103" applyFont="1" applyBorder="1">
      <alignment/>
      <protection/>
    </xf>
    <xf numFmtId="0" fontId="7" fillId="20" borderId="39" xfId="103" applyFont="1" applyFill="1" applyBorder="1">
      <alignment/>
      <protection/>
    </xf>
    <xf numFmtId="0" fontId="8" fillId="20" borderId="35" xfId="103" applyFont="1" applyFill="1" applyBorder="1">
      <alignment/>
      <protection/>
    </xf>
    <xf numFmtId="3" fontId="8" fillId="20" borderId="35" xfId="103" applyNumberFormat="1" applyFont="1" applyFill="1" applyBorder="1" applyAlignment="1">
      <alignment horizontal="right"/>
      <protection/>
    </xf>
    <xf numFmtId="3" fontId="8" fillId="20" borderId="36" xfId="103" applyNumberFormat="1" applyFont="1" applyFill="1" applyBorder="1" applyAlignment="1">
      <alignment horizontal="right"/>
      <protection/>
    </xf>
    <xf numFmtId="3" fontId="7" fillId="20" borderId="0" xfId="104" applyNumberFormat="1" applyFont="1" applyFill="1" applyBorder="1">
      <alignment/>
      <protection/>
    </xf>
    <xf numFmtId="0" fontId="2" fillId="20" borderId="0" xfId="104" applyFont="1" applyFill="1">
      <alignment/>
      <protection/>
    </xf>
    <xf numFmtId="0" fontId="7" fillId="0" borderId="0" xfId="104" applyFont="1" applyBorder="1">
      <alignment/>
      <protection/>
    </xf>
    <xf numFmtId="3" fontId="7" fillId="0" borderId="0" xfId="104" applyNumberFormat="1" applyFont="1" applyBorder="1">
      <alignment/>
      <protection/>
    </xf>
    <xf numFmtId="3" fontId="1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0" borderId="0" xfId="96" applyFont="1">
      <alignment/>
      <protection/>
    </xf>
    <xf numFmtId="0" fontId="2" fillId="0" borderId="23" xfId="96" applyFont="1" applyBorder="1" applyAlignment="1">
      <alignment horizontal="center"/>
      <protection/>
    </xf>
    <xf numFmtId="0" fontId="2" fillId="0" borderId="24" xfId="96" applyFont="1" applyBorder="1" applyAlignment="1">
      <alignment horizontal="center"/>
      <protection/>
    </xf>
    <xf numFmtId="0" fontId="3" fillId="0" borderId="24" xfId="96" applyFont="1" applyBorder="1" applyAlignment="1">
      <alignment horizontal="center"/>
      <protection/>
    </xf>
    <xf numFmtId="0" fontId="3" fillId="0" borderId="40" xfId="96" applyFont="1" applyBorder="1" applyAlignment="1">
      <alignment horizontal="center"/>
      <protection/>
    </xf>
    <xf numFmtId="0" fontId="2" fillId="0" borderId="27" xfId="96" applyFont="1" applyBorder="1" applyAlignment="1">
      <alignment horizontal="center"/>
      <protection/>
    </xf>
    <xf numFmtId="0" fontId="3" fillId="0" borderId="22" xfId="96" applyFont="1" applyBorder="1" applyAlignment="1">
      <alignment horizontal="center"/>
      <protection/>
    </xf>
    <xf numFmtId="0" fontId="3" fillId="0" borderId="41" xfId="96" applyFont="1" applyBorder="1" applyAlignment="1">
      <alignment horizontal="center"/>
      <protection/>
    </xf>
    <xf numFmtId="0" fontId="2" fillId="0" borderId="20" xfId="96" applyFont="1" applyBorder="1">
      <alignment/>
      <protection/>
    </xf>
    <xf numFmtId="0" fontId="2" fillId="0" borderId="21" xfId="96" applyFont="1" applyBorder="1">
      <alignment/>
      <protection/>
    </xf>
    <xf numFmtId="14" fontId="2" fillId="0" borderId="21" xfId="96" applyNumberFormat="1" applyFont="1" applyBorder="1">
      <alignment/>
      <protection/>
    </xf>
    <xf numFmtId="3" fontId="2" fillId="0" borderId="21" xfId="96" applyNumberFormat="1" applyFont="1" applyBorder="1">
      <alignment/>
      <protection/>
    </xf>
    <xf numFmtId="3" fontId="2" fillId="0" borderId="15" xfId="96" applyNumberFormat="1" applyFont="1" applyBorder="1">
      <alignment/>
      <protection/>
    </xf>
    <xf numFmtId="3" fontId="1" fillId="0" borderId="0" xfId="0" applyNumberFormat="1" applyFont="1" applyAlignment="1">
      <alignment horizontal="center"/>
    </xf>
    <xf numFmtId="0" fontId="2" fillId="0" borderId="18" xfId="96" applyFont="1" applyBorder="1">
      <alignment/>
      <protection/>
    </xf>
    <xf numFmtId="0" fontId="2" fillId="0" borderId="15" xfId="96" applyFont="1" applyBorder="1">
      <alignment/>
      <protection/>
    </xf>
    <xf numFmtId="14" fontId="2" fillId="0" borderId="15" xfId="96" applyNumberFormat="1" applyFont="1" applyBorder="1">
      <alignment/>
      <protection/>
    </xf>
    <xf numFmtId="0" fontId="3" fillId="20" borderId="27" xfId="96" applyFont="1" applyFill="1" applyBorder="1">
      <alignment/>
      <protection/>
    </xf>
    <xf numFmtId="0" fontId="3" fillId="20" borderId="22" xfId="96" applyFont="1" applyFill="1" applyBorder="1">
      <alignment/>
      <protection/>
    </xf>
    <xf numFmtId="3" fontId="3" fillId="20" borderId="22" xfId="96" applyNumberFormat="1" applyFont="1" applyFill="1" applyBorder="1">
      <alignment/>
      <protection/>
    </xf>
    <xf numFmtId="3" fontId="2" fillId="0" borderId="0" xfId="96" applyNumberFormat="1" applyFont="1" applyFill="1" applyBorder="1">
      <alignment/>
      <protection/>
    </xf>
    <xf numFmtId="3" fontId="57" fillId="20" borderId="0" xfId="0" applyNumberFormat="1" applyFont="1" applyFill="1" applyAlignment="1">
      <alignment/>
    </xf>
    <xf numFmtId="0" fontId="3" fillId="20" borderId="42" xfId="96" applyFont="1" applyFill="1" applyBorder="1" applyAlignment="1">
      <alignment horizontal="center"/>
      <protection/>
    </xf>
    <xf numFmtId="0" fontId="3" fillId="20" borderId="26" xfId="96" applyFont="1" applyFill="1" applyBorder="1" applyAlignment="1">
      <alignment horizontal="center"/>
      <protection/>
    </xf>
    <xf numFmtId="3" fontId="2" fillId="20" borderId="43" xfId="96" applyNumberFormat="1" applyFont="1" applyFill="1" applyBorder="1">
      <alignment/>
      <protection/>
    </xf>
    <xf numFmtId="3" fontId="3" fillId="20" borderId="44" xfId="96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2" fillId="0" borderId="0" xfId="96" applyFont="1" applyFill="1" applyBorder="1">
      <alignment/>
      <protection/>
    </xf>
    <xf numFmtId="0" fontId="2" fillId="0" borderId="0" xfId="100" applyFont="1" applyBorder="1" applyAlignment="1">
      <alignment horizontal="right"/>
      <protection/>
    </xf>
    <xf numFmtId="0" fontId="2" fillId="0" borderId="22" xfId="100" applyFont="1" applyBorder="1" applyAlignment="1">
      <alignment horizontal="center" wrapText="1"/>
      <protection/>
    </xf>
    <xf numFmtId="0" fontId="2" fillId="0" borderId="26" xfId="100" applyFont="1" applyBorder="1" applyAlignment="1">
      <alignment horizontal="center" wrapText="1"/>
      <protection/>
    </xf>
    <xf numFmtId="0" fontId="2" fillId="0" borderId="39" xfId="100" applyFont="1" applyBorder="1" applyAlignment="1">
      <alignment horizontal="center"/>
      <protection/>
    </xf>
    <xf numFmtId="0" fontId="2" fillId="0" borderId="35" xfId="100" applyFont="1" applyBorder="1" applyAlignment="1">
      <alignment horizontal="center"/>
      <protection/>
    </xf>
    <xf numFmtId="0" fontId="2" fillId="0" borderId="36" xfId="100" applyFont="1" applyBorder="1" applyAlignment="1">
      <alignment horizontal="center"/>
      <protection/>
    </xf>
    <xf numFmtId="0" fontId="7" fillId="0" borderId="20" xfId="100" applyFont="1" applyBorder="1" applyAlignment="1">
      <alignment horizontal="center" vertical="center"/>
      <protection/>
    </xf>
    <xf numFmtId="0" fontId="7" fillId="0" borderId="21" xfId="100" applyFont="1" applyBorder="1" applyAlignment="1">
      <alignment horizontal="center" vertical="center" wrapText="1"/>
      <protection/>
    </xf>
    <xf numFmtId="0" fontId="7" fillId="0" borderId="21" xfId="100" applyFont="1" applyBorder="1" applyAlignment="1">
      <alignment horizontal="center" vertical="center"/>
      <protection/>
    </xf>
    <xf numFmtId="3" fontId="7" fillId="0" borderId="43" xfId="100" applyNumberFormat="1" applyFont="1" applyBorder="1" applyAlignment="1">
      <alignment horizontal="right" vertical="center" indent="1"/>
      <protection/>
    </xf>
    <xf numFmtId="0" fontId="2" fillId="0" borderId="0" xfId="0" applyFont="1" applyAlignment="1">
      <alignment horizontal="center" vertical="center"/>
    </xf>
    <xf numFmtId="0" fontId="7" fillId="0" borderId="18" xfId="100" applyFont="1" applyBorder="1" applyAlignment="1">
      <alignment horizontal="center" vertical="center"/>
      <protection/>
    </xf>
    <xf numFmtId="0" fontId="7" fillId="0" borderId="15" xfId="100" applyFont="1" applyBorder="1" applyAlignment="1">
      <alignment horizontal="center" vertical="center" wrapText="1"/>
      <protection/>
    </xf>
    <xf numFmtId="0" fontId="7" fillId="0" borderId="15" xfId="100" applyFont="1" applyBorder="1" applyAlignment="1">
      <alignment horizontal="center" vertical="center"/>
      <protection/>
    </xf>
    <xf numFmtId="3" fontId="7" fillId="0" borderId="19" xfId="100" applyNumberFormat="1" applyFont="1" applyBorder="1" applyAlignment="1">
      <alignment horizontal="right" vertical="center" indent="1"/>
      <protection/>
    </xf>
    <xf numFmtId="0" fontId="2" fillId="0" borderId="18" xfId="100" applyFont="1" applyBorder="1" applyAlignment="1">
      <alignment horizontal="center" vertical="center"/>
      <protection/>
    </xf>
    <xf numFmtId="0" fontId="2" fillId="0" borderId="45" xfId="100" applyFont="1" applyBorder="1" applyAlignment="1">
      <alignment horizontal="center" vertical="center"/>
      <protection/>
    </xf>
    <xf numFmtId="0" fontId="7" fillId="0" borderId="25" xfId="100" applyFont="1" applyBorder="1" applyAlignment="1">
      <alignment horizontal="center" vertical="center" wrapText="1"/>
      <protection/>
    </xf>
    <xf numFmtId="0" fontId="7" fillId="0" borderId="25" xfId="100" applyFont="1" applyBorder="1" applyAlignment="1">
      <alignment horizontal="center" vertical="center"/>
      <protection/>
    </xf>
    <xf numFmtId="3" fontId="7" fillId="0" borderId="29" xfId="100" applyNumberFormat="1" applyFont="1" applyBorder="1" applyAlignment="1">
      <alignment horizontal="right" vertical="center" indent="1"/>
      <protection/>
    </xf>
    <xf numFmtId="3" fontId="48" fillId="20" borderId="36" xfId="100" applyNumberFormat="1" applyFont="1" applyFill="1" applyBorder="1" applyAlignment="1">
      <alignment horizontal="right" indent="1"/>
      <protection/>
    </xf>
    <xf numFmtId="0" fontId="7" fillId="0" borderId="0" xfId="98" applyFont="1" applyFill="1">
      <alignment/>
      <protection/>
    </xf>
    <xf numFmtId="0" fontId="7" fillId="0" borderId="0" xfId="93" applyFont="1">
      <alignment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3" fillId="0" borderId="42" xfId="101" applyNumberFormat="1" applyFont="1" applyFill="1" applyBorder="1" applyAlignment="1" applyProtection="1">
      <alignment horizontal="center" vertical="center"/>
      <protection/>
    </xf>
    <xf numFmtId="3" fontId="8" fillId="1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7" fillId="25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center" wrapText="1"/>
    </xf>
    <xf numFmtId="3" fontId="8" fillId="7" borderId="15" xfId="0" applyNumberFormat="1" applyFont="1" applyFill="1" applyBorder="1" applyAlignment="1">
      <alignment/>
    </xf>
    <xf numFmtId="3" fontId="8" fillId="23" borderId="15" xfId="0" applyNumberFormat="1" applyFont="1" applyFill="1" applyBorder="1" applyAlignment="1">
      <alignment/>
    </xf>
    <xf numFmtId="0" fontId="2" fillId="0" borderId="15" xfId="101" applyFont="1" applyFill="1" applyBorder="1" applyAlignment="1" applyProtection="1">
      <alignment horizontal="left" vertical="center" wrapText="1" indent="2"/>
      <protection/>
    </xf>
    <xf numFmtId="3" fontId="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101" applyFont="1" applyFill="1" applyBorder="1" applyAlignment="1" applyProtection="1">
      <alignment horizontal="left" vertical="center" wrapText="1" indent="3"/>
      <protection/>
    </xf>
    <xf numFmtId="3" fontId="3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 indent="2"/>
      <protection/>
    </xf>
    <xf numFmtId="3" fontId="7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/>
      <protection/>
    </xf>
    <xf numFmtId="3" fontId="7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0" xfId="0" applyFont="1" applyFill="1" applyAlignment="1">
      <alignment/>
    </xf>
    <xf numFmtId="3" fontId="8" fillId="0" borderId="19" xfId="0" applyNumberFormat="1" applyFont="1" applyBorder="1" applyAlignment="1">
      <alignment/>
    </xf>
    <xf numFmtId="3" fontId="8" fillId="25" borderId="19" xfId="0" applyNumberFormat="1" applyFont="1" applyFill="1" applyBorder="1" applyAlignment="1">
      <alignment/>
    </xf>
    <xf numFmtId="3" fontId="8" fillId="10" borderId="19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32" fillId="0" borderId="19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101" applyFont="1" applyFill="1" applyBorder="1" applyAlignment="1" applyProtection="1">
      <alignment vertical="center" wrapText="1"/>
      <protection/>
    </xf>
    <xf numFmtId="3" fontId="8" fillId="20" borderId="19" xfId="0" applyNumberFormat="1" applyFont="1" applyFill="1" applyBorder="1" applyAlignment="1">
      <alignment/>
    </xf>
    <xf numFmtId="0" fontId="4" fillId="0" borderId="15" xfId="10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/>
    </xf>
    <xf numFmtId="3" fontId="7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2" fillId="0" borderId="29" xfId="95" applyNumberFormat="1" applyFont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2" fillId="25" borderId="47" xfId="0" applyFont="1" applyFill="1" applyBorder="1" applyAlignment="1">
      <alignment/>
    </xf>
    <xf numFmtId="0" fontId="2" fillId="2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7" borderId="47" xfId="0" applyFont="1" applyFill="1" applyBorder="1" applyAlignment="1">
      <alignment/>
    </xf>
    <xf numFmtId="0" fontId="2" fillId="23" borderId="47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5" xfId="0" applyFont="1" applyFill="1" applyBorder="1" applyAlignment="1">
      <alignment wrapText="1"/>
    </xf>
    <xf numFmtId="3" fontId="2" fillId="0" borderId="19" xfId="0" applyNumberFormat="1" applyFont="1" applyBorder="1" applyAlignment="1">
      <alignment horizontal="center" vertical="center" wrapText="1"/>
    </xf>
    <xf numFmtId="0" fontId="36" fillId="0" borderId="49" xfId="101" applyFont="1" applyFill="1" applyBorder="1" applyAlignment="1" applyProtection="1">
      <alignment horizontal="left" vertical="center" wrapText="1" indent="3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20" borderId="18" xfId="10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9" xfId="101" applyNumberFormat="1" applyFont="1" applyFill="1" applyBorder="1" applyAlignment="1" applyProtection="1">
      <alignment horizontal="right" vertical="center" wrapText="1"/>
      <protection/>
    </xf>
    <xf numFmtId="49" fontId="2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101" applyFont="1" applyFill="1" applyBorder="1" applyAlignment="1" applyProtection="1">
      <alignment horizontal="left" vertical="center" wrapText="1" indent="1"/>
      <protection/>
    </xf>
    <xf numFmtId="3" fontId="2" fillId="0" borderId="19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5" applyFont="1" applyBorder="1" applyAlignment="1" applyProtection="1">
      <alignment horizontal="left" indent="3"/>
      <protection/>
    </xf>
    <xf numFmtId="0" fontId="3" fillId="0" borderId="27" xfId="101" applyFont="1" applyFill="1" applyBorder="1" applyAlignment="1" applyProtection="1">
      <alignment horizontal="center" vertical="center" wrapText="1"/>
      <protection/>
    </xf>
    <xf numFmtId="49" fontId="2" fillId="0" borderId="22" xfId="101" applyNumberFormat="1" applyFont="1" applyFill="1" applyBorder="1" applyAlignment="1" applyProtection="1">
      <alignment horizontal="left" vertical="center" indent="3"/>
      <protection/>
    </xf>
    <xf numFmtId="3" fontId="2" fillId="0" borderId="26" xfId="101" applyNumberFormat="1" applyFont="1" applyFill="1" applyBorder="1" applyAlignment="1" applyProtection="1">
      <alignment horizontal="right" vertical="center" wrapText="1"/>
      <protection locked="0"/>
    </xf>
    <xf numFmtId="167" fontId="9" fillId="0" borderId="0" xfId="101" applyNumberFormat="1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right"/>
      <protection/>
    </xf>
    <xf numFmtId="0" fontId="3" fillId="0" borderId="22" xfId="101" applyFont="1" applyFill="1" applyBorder="1" applyAlignment="1" applyProtection="1">
      <alignment horizontal="center" vertical="center" wrapText="1"/>
      <protection/>
    </xf>
    <xf numFmtId="0" fontId="3" fillId="0" borderId="26" xfId="101" applyFont="1" applyFill="1" applyBorder="1" applyAlignment="1" applyProtection="1">
      <alignment horizontal="center" vertical="center" wrapText="1"/>
      <protection/>
    </xf>
    <xf numFmtId="0" fontId="3" fillId="20" borderId="39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center" vertical="center" wrapText="1"/>
      <protection/>
    </xf>
    <xf numFmtId="3" fontId="3" fillId="20" borderId="36" xfId="101" applyNumberFormat="1" applyFont="1" applyFill="1" applyBorder="1" applyAlignment="1" applyProtection="1">
      <alignment horizontal="right" vertical="center" wrapText="1"/>
      <protection/>
    </xf>
    <xf numFmtId="49" fontId="2" fillId="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101" applyNumberFormat="1" applyFont="1" applyFill="1" applyBorder="1" applyAlignment="1" applyProtection="1">
      <alignment horizontal="center" vertical="center" wrapText="1"/>
      <protection/>
    </xf>
    <xf numFmtId="3" fontId="3" fillId="20" borderId="35" xfId="101" applyNumberFormat="1" applyFont="1" applyFill="1" applyBorder="1" applyAlignment="1" applyProtection="1">
      <alignment horizontal="center" vertical="center" wrapText="1"/>
      <protection/>
    </xf>
    <xf numFmtId="49" fontId="2" fillId="2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1" xfId="101" applyFont="1" applyFill="1" applyBorder="1" applyAlignment="1" applyProtection="1">
      <alignment horizontal="left" vertical="center" wrapText="1" indent="2"/>
      <protection/>
    </xf>
    <xf numFmtId="3" fontId="2" fillId="20" borderId="21" xfId="101" applyNumberFormat="1" applyFont="1" applyFill="1" applyBorder="1" applyAlignment="1" applyProtection="1">
      <alignment horizontal="center" vertical="center" wrapText="1"/>
      <protection/>
    </xf>
    <xf numFmtId="49" fontId="2" fillId="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21" xfId="101" applyFont="1" applyFill="1" applyBorder="1" applyAlignment="1" applyProtection="1">
      <alignment horizontal="left" vertical="center" wrapText="1" indent="2"/>
      <protection/>
    </xf>
    <xf numFmtId="3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32" fillId="0" borderId="21" xfId="101" applyFont="1" applyFill="1" applyBorder="1" applyAlignment="1" applyProtection="1">
      <alignment horizontal="left" vertical="center" wrapText="1" indent="2"/>
      <protection/>
    </xf>
    <xf numFmtId="3" fontId="32" fillId="0" borderId="21" xfId="101" applyNumberFormat="1" applyFont="1" applyFill="1" applyBorder="1" applyAlignment="1" applyProtection="1">
      <alignment horizontal="center" vertical="center" wrapText="1"/>
      <protection/>
    </xf>
    <xf numFmtId="4" fontId="2" fillId="0" borderId="21" xfId="101" applyNumberFormat="1" applyFont="1" applyFill="1" applyBorder="1" applyAlignment="1" applyProtection="1">
      <alignment horizontal="center" vertical="center" wrapText="1"/>
      <protection/>
    </xf>
    <xf numFmtId="171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2" fillId="0" borderId="22" xfId="101" applyFont="1" applyFill="1" applyBorder="1" applyAlignment="1" applyProtection="1">
      <alignment horizontal="left" vertical="center" wrapText="1" indent="2"/>
      <protection/>
    </xf>
    <xf numFmtId="3" fontId="2" fillId="0" borderId="22" xfId="101" applyNumberFormat="1" applyFont="1" applyFill="1" applyBorder="1" applyAlignment="1" applyProtection="1">
      <alignment horizontal="center" vertical="center" wrapText="1"/>
      <protection/>
    </xf>
    <xf numFmtId="49" fontId="2" fillId="0" borderId="45" xfId="101" applyNumberFormat="1" applyFont="1" applyFill="1" applyBorder="1" applyAlignment="1" applyProtection="1">
      <alignment horizontal="left" vertical="center" wrapText="1" indent="1"/>
      <protection/>
    </xf>
    <xf numFmtId="3" fontId="32" fillId="0" borderId="15" xfId="101" applyNumberFormat="1" applyFont="1" applyFill="1" applyBorder="1" applyAlignment="1" applyProtection="1">
      <alignment horizontal="center" vertical="center" wrapText="1"/>
      <protection/>
    </xf>
    <xf numFmtId="49" fontId="2" fillId="0" borderId="27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22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/>
    </xf>
    <xf numFmtId="16" fontId="7" fillId="0" borderId="15" xfId="0" applyNumberFormat="1" applyFont="1" applyBorder="1" applyAlignment="1" quotePrefix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 horizontal="center" wrapText="1"/>
    </xf>
    <xf numFmtId="3" fontId="7" fillId="0" borderId="15" xfId="95" applyNumberFormat="1" applyFont="1" applyBorder="1" applyAlignment="1" applyProtection="1">
      <alignment horizontal="right"/>
      <protection/>
    </xf>
    <xf numFmtId="0" fontId="4" fillId="0" borderId="15" xfId="101" applyFont="1" applyFill="1" applyBorder="1" applyAlignment="1" applyProtection="1">
      <alignment horizontal="left" vertical="center" wrapText="1" indent="3"/>
      <protection/>
    </xf>
    <xf numFmtId="0" fontId="2" fillId="0" borderId="15" xfId="104" applyFont="1" applyBorder="1">
      <alignment/>
      <protection/>
    </xf>
    <xf numFmtId="0" fontId="7" fillId="0" borderId="21" xfId="95" applyFont="1" applyBorder="1" applyAlignment="1" applyProtection="1">
      <alignment horizontal="left" indent="3"/>
      <protection/>
    </xf>
    <xf numFmtId="3" fontId="7" fillId="0" borderId="21" xfId="95" applyNumberFormat="1" applyFont="1" applyBorder="1" applyAlignment="1" applyProtection="1">
      <alignment horizontal="right"/>
      <protection/>
    </xf>
    <xf numFmtId="3" fontId="7" fillId="0" borderId="21" xfId="103" applyNumberFormat="1" applyFont="1" applyBorder="1" applyAlignment="1">
      <alignment horizontal="right"/>
      <protection/>
    </xf>
    <xf numFmtId="3" fontId="7" fillId="0" borderId="43" xfId="103" applyNumberFormat="1" applyFont="1" applyBorder="1" applyAlignment="1">
      <alignment horizontal="right"/>
      <protection/>
    </xf>
    <xf numFmtId="0" fontId="7" fillId="0" borderId="45" xfId="103" applyFont="1" applyBorder="1">
      <alignment/>
      <protection/>
    </xf>
    <xf numFmtId="49" fontId="7" fillId="0" borderId="25" xfId="103" applyNumberFormat="1" applyFont="1" applyBorder="1" applyAlignment="1">
      <alignment horizontal="left" vertical="center" wrapText="1"/>
      <protection/>
    </xf>
    <xf numFmtId="3" fontId="7" fillId="0" borderId="25" xfId="103" applyNumberFormat="1" applyFont="1" applyBorder="1" applyAlignment="1">
      <alignment horizontal="right"/>
      <protection/>
    </xf>
    <xf numFmtId="3" fontId="7" fillId="0" borderId="29" xfId="103" applyNumberFormat="1" applyFont="1" applyBorder="1" applyAlignment="1">
      <alignment horizontal="right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/>
    </xf>
    <xf numFmtId="49" fontId="3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2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9" xfId="101" applyNumberFormat="1" applyFont="1" applyFill="1" applyBorder="1" applyAlignment="1" applyProtection="1">
      <alignment horizontal="right" vertical="center" wrapText="1"/>
      <protection locked="0"/>
    </xf>
    <xf numFmtId="0" fontId="37" fillId="20" borderId="15" xfId="101" applyFont="1" applyFill="1" applyBorder="1" applyAlignment="1" applyProtection="1">
      <alignment vertical="center" wrapText="1"/>
      <protection/>
    </xf>
    <xf numFmtId="0" fontId="32" fillId="0" borderId="15" xfId="0" applyFont="1" applyBorder="1" applyAlignment="1">
      <alignment horizontal="left" indent="1"/>
    </xf>
    <xf numFmtId="0" fontId="32" fillId="0" borderId="15" xfId="0" applyFont="1" applyBorder="1" applyAlignment="1" quotePrefix="1">
      <alignment horizontal="left" indent="5"/>
    </xf>
    <xf numFmtId="49" fontId="3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3" fillId="20" borderId="15" xfId="101" applyNumberFormat="1" applyFont="1" applyFill="1" applyBorder="1" applyAlignment="1" applyProtection="1">
      <alignment horizontal="center" vertical="center" wrapText="1"/>
      <protection/>
    </xf>
    <xf numFmtId="49" fontId="3" fillId="20" borderId="39" xfId="101" applyNumberFormat="1" applyFont="1" applyFill="1" applyBorder="1" applyAlignment="1" applyProtection="1">
      <alignment horizontal="left" vertical="center" wrapText="1" indent="1"/>
      <protection/>
    </xf>
    <xf numFmtId="3" fontId="37" fillId="0" borderId="51" xfId="101" applyNumberFormat="1" applyFont="1" applyFill="1" applyBorder="1" applyAlignment="1" applyProtection="1">
      <alignment horizontal="right" vertical="center" wrapText="1"/>
      <protection/>
    </xf>
    <xf numFmtId="3" fontId="3" fillId="20" borderId="19" xfId="95" applyNumberFormat="1" applyFont="1" applyFill="1" applyBorder="1" applyProtection="1">
      <alignment/>
      <protection/>
    </xf>
    <xf numFmtId="3" fontId="2" fillId="0" borderId="43" xfId="95" applyNumberFormat="1" applyFont="1" applyBorder="1" applyProtection="1">
      <alignment/>
      <protection/>
    </xf>
    <xf numFmtId="3" fontId="3" fillId="20" borderId="42" xfId="95" applyNumberFormat="1" applyFont="1" applyFill="1" applyBorder="1" applyProtection="1">
      <alignment/>
      <protection/>
    </xf>
    <xf numFmtId="3" fontId="9" fillId="20" borderId="19" xfId="95" applyNumberFormat="1" applyFont="1" applyFill="1" applyBorder="1" applyProtection="1">
      <alignment/>
      <protection/>
    </xf>
    <xf numFmtId="3" fontId="2" fillId="0" borderId="19" xfId="96" applyNumberFormat="1" applyFont="1" applyFill="1" applyBorder="1">
      <alignment/>
      <protection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93" applyFont="1" applyAlignment="1">
      <alignment horizontal="right"/>
      <protection/>
    </xf>
    <xf numFmtId="0" fontId="7" fillId="0" borderId="0" xfId="102" applyFont="1" applyAlignment="1">
      <alignment vertical="center" wrapText="1"/>
      <protection/>
    </xf>
    <xf numFmtId="0" fontId="7" fillId="0" borderId="0" xfId="102" applyFont="1">
      <alignment/>
      <protection/>
    </xf>
    <xf numFmtId="0" fontId="8" fillId="0" borderId="0" xfId="102" applyFont="1" applyAlignment="1">
      <alignment horizontal="right" vertical="center" wrapText="1"/>
      <protection/>
    </xf>
    <xf numFmtId="0" fontId="45" fillId="0" borderId="39" xfId="102" applyFont="1" applyFill="1" applyBorder="1" applyAlignment="1">
      <alignment vertical="center" wrapText="1"/>
      <protection/>
    </xf>
    <xf numFmtId="0" fontId="45" fillId="0" borderId="35" xfId="102" applyFont="1" applyFill="1" applyBorder="1" applyAlignment="1">
      <alignment horizontal="center" vertical="center" wrapText="1"/>
      <protection/>
    </xf>
    <xf numFmtId="0" fontId="45" fillId="0" borderId="36" xfId="102" applyFont="1" applyFill="1" applyBorder="1" applyAlignment="1">
      <alignment horizontal="center" vertical="center" wrapText="1"/>
      <protection/>
    </xf>
    <xf numFmtId="0" fontId="7" fillId="0" borderId="20" xfId="102" applyFont="1" applyBorder="1" applyAlignment="1">
      <alignment vertical="center" wrapText="1"/>
      <protection/>
    </xf>
    <xf numFmtId="3" fontId="7" fillId="0" borderId="21" xfId="102" applyNumberFormat="1" applyFont="1" applyBorder="1" applyAlignment="1">
      <alignment vertical="center" wrapText="1"/>
      <protection/>
    </xf>
    <xf numFmtId="3" fontId="7" fillId="0" borderId="43" xfId="102" applyNumberFormat="1" applyFont="1" applyBorder="1" applyAlignment="1">
      <alignment vertical="center" wrapText="1"/>
      <protection/>
    </xf>
    <xf numFmtId="0" fontId="59" fillId="0" borderId="18" xfId="102" applyFont="1" applyBorder="1" applyAlignment="1">
      <alignment vertical="center" wrapText="1"/>
      <protection/>
    </xf>
    <xf numFmtId="3" fontId="59" fillId="0" borderId="15" xfId="102" applyNumberFormat="1" applyFont="1" applyBorder="1" applyAlignment="1">
      <alignment vertical="center" wrapText="1"/>
      <protection/>
    </xf>
    <xf numFmtId="0" fontId="7" fillId="0" borderId="18" xfId="102" applyFont="1" applyBorder="1" applyAlignment="1">
      <alignment vertical="center" wrapText="1"/>
      <protection/>
    </xf>
    <xf numFmtId="3" fontId="7" fillId="0" borderId="15" xfId="102" applyNumberFormat="1" applyFont="1" applyBorder="1" applyAlignment="1">
      <alignment vertical="center" wrapText="1"/>
      <protection/>
    </xf>
    <xf numFmtId="0" fontId="7" fillId="0" borderId="18" xfId="102" applyFont="1" applyFill="1" applyBorder="1" applyAlignment="1">
      <alignment vertical="center" wrapText="1"/>
      <protection/>
    </xf>
    <xf numFmtId="0" fontId="7" fillId="0" borderId="45" xfId="102" applyFont="1" applyBorder="1" applyAlignment="1">
      <alignment vertical="center" wrapText="1"/>
      <protection/>
    </xf>
    <xf numFmtId="3" fontId="7" fillId="0" borderId="25" xfId="102" applyNumberFormat="1" applyFont="1" applyBorder="1" applyAlignment="1">
      <alignment vertical="center" wrapText="1"/>
      <protection/>
    </xf>
    <xf numFmtId="3" fontId="45" fillId="0" borderId="35" xfId="102" applyNumberFormat="1" applyFont="1" applyFill="1" applyBorder="1" applyAlignment="1">
      <alignment vertical="center" wrapText="1"/>
      <protection/>
    </xf>
    <xf numFmtId="3" fontId="45" fillId="0" borderId="36" xfId="102" applyNumberFormat="1" applyFont="1" applyFill="1" applyBorder="1" applyAlignment="1">
      <alignment vertical="center" wrapText="1"/>
      <protection/>
    </xf>
    <xf numFmtId="0" fontId="7" fillId="0" borderId="0" xfId="98" applyFont="1" applyFill="1" applyAlignment="1">
      <alignment horizontal="right"/>
      <protection/>
    </xf>
    <xf numFmtId="3" fontId="7" fillId="0" borderId="0" xfId="98" applyNumberFormat="1" applyFont="1" applyFill="1" applyAlignment="1">
      <alignment/>
      <protection/>
    </xf>
    <xf numFmtId="3" fontId="7" fillId="0" borderId="0" xfId="98" applyNumberFormat="1" applyFont="1" applyFill="1" applyAlignment="1">
      <alignment horizontal="right"/>
      <protection/>
    </xf>
    <xf numFmtId="0" fontId="59" fillId="0" borderId="0" xfId="98" applyFont="1" applyFill="1" applyAlignment="1">
      <alignment horizontal="right" vertical="center" wrapText="1"/>
      <protection/>
    </xf>
    <xf numFmtId="3" fontId="8" fillId="0" borderId="0" xfId="98" applyNumberFormat="1" applyFont="1" applyFill="1" applyAlignment="1">
      <alignment horizontal="right"/>
      <protection/>
    </xf>
    <xf numFmtId="0" fontId="8" fillId="0" borderId="0" xfId="98" applyFont="1" applyFill="1" applyAlignment="1">
      <alignment horizontal="left"/>
      <protection/>
    </xf>
    <xf numFmtId="3" fontId="8" fillId="0" borderId="0" xfId="98" applyNumberFormat="1" applyFont="1" applyFill="1" applyAlignment="1">
      <alignment horizontal="left"/>
      <protection/>
    </xf>
    <xf numFmtId="0" fontId="7" fillId="0" borderId="0" xfId="98" applyFont="1" applyFill="1" applyAlignment="1">
      <alignment horizontal="left"/>
      <protection/>
    </xf>
    <xf numFmtId="3" fontId="7" fillId="0" borderId="0" xfId="98" applyNumberFormat="1" applyFont="1" applyFill="1" applyAlignment="1">
      <alignment horizontal="left"/>
      <protection/>
    </xf>
    <xf numFmtId="3" fontId="8" fillId="0" borderId="0" xfId="98" applyNumberFormat="1" applyFont="1" applyFill="1" applyAlignment="1">
      <alignment/>
      <protection/>
    </xf>
    <xf numFmtId="0" fontId="0" fillId="0" borderId="0" xfId="0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6" fillId="0" borderId="0" xfId="0" applyNumberFormat="1" applyFont="1" applyFill="1" applyAlignment="1">
      <alignment horizontal="right"/>
    </xf>
    <xf numFmtId="3" fontId="7" fillId="0" borderId="15" xfId="98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 quotePrefix="1">
      <alignment horizontal="justify"/>
    </xf>
    <xf numFmtId="0" fontId="7" fillId="0" borderId="15" xfId="0" applyFont="1" applyFill="1" applyBorder="1" applyAlignment="1" quotePrefix="1">
      <alignment horizontal="left"/>
    </xf>
    <xf numFmtId="3" fontId="7" fillId="0" borderId="19" xfId="98" applyNumberFormat="1" applyFont="1" applyFill="1" applyBorder="1" applyAlignment="1">
      <alignment horizontal="right" vertical="center" wrapText="1"/>
      <protection/>
    </xf>
    <xf numFmtId="0" fontId="45" fillId="0" borderId="22" xfId="0" applyFont="1" applyFill="1" applyBorder="1" applyAlignment="1">
      <alignment wrapText="1"/>
    </xf>
    <xf numFmtId="3" fontId="8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0" applyFont="1" applyFill="1" applyBorder="1" applyAlignment="1">
      <alignment horizontal="center"/>
    </xf>
    <xf numFmtId="16" fontId="7" fillId="0" borderId="18" xfId="0" applyNumberFormat="1" applyFont="1" applyFill="1" applyBorder="1" applyAlignment="1" quotePrefix="1">
      <alignment horizontal="center"/>
    </xf>
    <xf numFmtId="0" fontId="7" fillId="0" borderId="18" xfId="0" applyFont="1" applyFill="1" applyBorder="1" applyAlignment="1" quotePrefix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justify" wrapText="1"/>
    </xf>
    <xf numFmtId="3" fontId="7" fillId="0" borderId="30" xfId="102" applyNumberFormat="1" applyFont="1" applyBorder="1" applyAlignment="1">
      <alignment vertical="center" wrapText="1"/>
      <protection/>
    </xf>
    <xf numFmtId="3" fontId="59" fillId="0" borderId="31" xfId="102" applyNumberFormat="1" applyFont="1" applyBorder="1" applyAlignment="1">
      <alignment vertical="center" wrapText="1"/>
      <protection/>
    </xf>
    <xf numFmtId="3" fontId="7" fillId="0" borderId="31" xfId="102" applyNumberFormat="1" applyFont="1" applyBorder="1" applyAlignment="1">
      <alignment vertical="center" wrapText="1"/>
      <protection/>
    </xf>
    <xf numFmtId="3" fontId="7" fillId="0" borderId="32" xfId="102" applyNumberFormat="1" applyFont="1" applyBorder="1" applyAlignment="1">
      <alignment vertical="center" wrapText="1"/>
      <protection/>
    </xf>
    <xf numFmtId="3" fontId="7" fillId="0" borderId="15" xfId="103" applyNumberFormat="1" applyFont="1" applyBorder="1" applyAlignment="1">
      <alignment horizontal="right" vertical="center"/>
      <protection/>
    </xf>
    <xf numFmtId="3" fontId="7" fillId="0" borderId="21" xfId="103" applyNumberFormat="1" applyFont="1" applyBorder="1" applyAlignment="1">
      <alignment horizontal="right" vertical="center"/>
      <protection/>
    </xf>
    <xf numFmtId="0" fontId="8" fillId="0" borderId="21" xfId="0" applyFont="1" applyBorder="1" applyAlignment="1">
      <alignment horizontal="justify"/>
    </xf>
    <xf numFmtId="3" fontId="3" fillId="0" borderId="21" xfId="0" applyNumberFormat="1" applyFont="1" applyBorder="1" applyAlignment="1">
      <alignment/>
    </xf>
    <xf numFmtId="0" fontId="50" fillId="0" borderId="0" xfId="99" applyFont="1" applyBorder="1" applyAlignment="1">
      <alignment/>
      <protection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15" xfId="0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2" fillId="0" borderId="25" xfId="101" applyFont="1" applyFill="1" applyBorder="1" applyAlignment="1" applyProtection="1">
      <alignment horizontal="left" vertical="center" wrapText="1" indent="2"/>
      <protection/>
    </xf>
    <xf numFmtId="3" fontId="62" fillId="0" borderId="15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5" xfId="96" applyNumberFormat="1" applyFont="1" applyBorder="1">
      <alignment/>
      <protection/>
    </xf>
    <xf numFmtId="0" fontId="53" fillId="0" borderId="0" xfId="98" applyFont="1" applyFill="1" applyAlignment="1">
      <alignment vertical="center" wrapText="1"/>
      <protection/>
    </xf>
    <xf numFmtId="0" fontId="45" fillId="0" borderId="5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justify"/>
    </xf>
    <xf numFmtId="0" fontId="2" fillId="0" borderId="38" xfId="0" applyFont="1" applyFill="1" applyBorder="1" applyAlignment="1" quotePrefix="1">
      <alignment horizontal="justify"/>
    </xf>
    <xf numFmtId="0" fontId="3" fillId="0" borderId="38" xfId="0" applyFont="1" applyFill="1" applyBorder="1" applyAlignment="1">
      <alignment horizontal="justify" wrapText="1"/>
    </xf>
    <xf numFmtId="0" fontId="3" fillId="0" borderId="38" xfId="0" applyFont="1" applyFill="1" applyBorder="1" applyAlignment="1">
      <alignment/>
    </xf>
    <xf numFmtId="0" fontId="2" fillId="0" borderId="38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2" fillId="0" borderId="38" xfId="101" applyFont="1" applyFill="1" applyBorder="1" applyAlignment="1" applyProtection="1">
      <alignment horizontal="left" vertical="center" wrapText="1"/>
      <protection/>
    </xf>
    <xf numFmtId="0" fontId="2" fillId="0" borderId="38" xfId="101" applyFont="1" applyFill="1" applyBorder="1" applyAlignment="1" applyProtection="1">
      <alignment horizontal="left" vertical="center" wrapText="1" indent="2"/>
      <protection/>
    </xf>
    <xf numFmtId="0" fontId="37" fillId="0" borderId="38" xfId="101" applyFont="1" applyFill="1" applyBorder="1" applyAlignment="1" applyProtection="1">
      <alignment vertical="center" wrapText="1"/>
      <protection/>
    </xf>
    <xf numFmtId="0" fontId="9" fillId="0" borderId="5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51" xfId="0" applyFont="1" applyFill="1" applyBorder="1" applyAlignment="1">
      <alignment horizontal="center" vertical="center"/>
    </xf>
    <xf numFmtId="3" fontId="3" fillId="0" borderId="34" xfId="98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justify"/>
    </xf>
    <xf numFmtId="212" fontId="2" fillId="0" borderId="15" xfId="97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6" fillId="0" borderId="15" xfId="101" applyFont="1" applyFill="1" applyBorder="1" applyAlignment="1" applyProtection="1">
      <alignment horizontal="left" vertical="center" wrapText="1"/>
      <protection/>
    </xf>
    <xf numFmtId="0" fontId="37" fillId="0" borderId="15" xfId="101" applyFont="1" applyFill="1" applyBorder="1" applyAlignment="1" applyProtection="1">
      <alignment vertical="center" wrapText="1"/>
      <protection/>
    </xf>
    <xf numFmtId="3" fontId="2" fillId="0" borderId="30" xfId="98" applyNumberFormat="1" applyFont="1" applyFill="1" applyBorder="1" applyAlignment="1">
      <alignment vertical="center" wrapText="1"/>
      <protection/>
    </xf>
    <xf numFmtId="3" fontId="3" fillId="0" borderId="53" xfId="98" applyNumberFormat="1" applyFont="1" applyFill="1" applyBorder="1" applyAlignment="1">
      <alignment vertical="center" wrapText="1"/>
      <protection/>
    </xf>
    <xf numFmtId="3" fontId="32" fillId="0" borderId="30" xfId="98" applyNumberFormat="1" applyFont="1" applyFill="1" applyBorder="1" applyAlignment="1">
      <alignment vertical="center" wrapText="1"/>
      <protection/>
    </xf>
    <xf numFmtId="3" fontId="3" fillId="0" borderId="54" xfId="98" applyNumberFormat="1" applyFont="1" applyFill="1" applyBorder="1" applyAlignment="1">
      <alignment vertical="center" wrapText="1"/>
      <protection/>
    </xf>
    <xf numFmtId="3" fontId="2" fillId="0" borderId="15" xfId="98" applyNumberFormat="1" applyFont="1" applyFill="1" applyBorder="1" applyAlignment="1">
      <alignment vertical="center" wrapText="1"/>
      <protection/>
    </xf>
    <xf numFmtId="3" fontId="3" fillId="0" borderId="15" xfId="98" applyNumberFormat="1" applyFont="1" applyFill="1" applyBorder="1" applyAlignment="1">
      <alignment vertical="center" wrapText="1"/>
      <protection/>
    </xf>
    <xf numFmtId="3" fontId="32" fillId="0" borderId="15" xfId="98" applyNumberFormat="1" applyFont="1" applyFill="1" applyBorder="1" applyAlignment="1">
      <alignment vertical="center" wrapText="1"/>
      <protection/>
    </xf>
    <xf numFmtId="3" fontId="3" fillId="0" borderId="15" xfId="0" applyNumberFormat="1" applyFont="1" applyFill="1" applyBorder="1" applyAlignment="1">
      <alignment/>
    </xf>
    <xf numFmtId="3" fontId="2" fillId="0" borderId="0" xfId="95" applyNumberFormat="1" applyFont="1" applyAlignment="1" applyProtection="1">
      <alignment horizontal="right"/>
      <protection/>
    </xf>
    <xf numFmtId="3" fontId="5" fillId="0" borderId="50" xfId="101" applyNumberFormat="1" applyFont="1" applyFill="1" applyBorder="1" applyAlignment="1" applyProtection="1">
      <alignment horizontal="left" vertical="center"/>
      <protection/>
    </xf>
    <xf numFmtId="3" fontId="5" fillId="0" borderId="50" xfId="0" applyNumberFormat="1" applyFont="1" applyFill="1" applyBorder="1" applyAlignment="1" applyProtection="1">
      <alignment horizontal="right"/>
      <protection/>
    </xf>
    <xf numFmtId="0" fontId="35" fillId="0" borderId="16" xfId="0" applyFont="1" applyBorder="1" applyAlignment="1">
      <alignment vertical="center" wrapText="1"/>
    </xf>
    <xf numFmtId="3" fontId="2" fillId="0" borderId="43" xfId="98" applyNumberFormat="1" applyFont="1" applyFill="1" applyBorder="1" applyAlignment="1">
      <alignment vertical="center" wrapText="1"/>
      <protection/>
    </xf>
    <xf numFmtId="3" fontId="2" fillId="0" borderId="19" xfId="98" applyNumberFormat="1" applyFont="1" applyFill="1" applyBorder="1" applyAlignment="1">
      <alignment vertical="center" wrapText="1"/>
      <protection/>
    </xf>
    <xf numFmtId="3" fontId="3" fillId="0" borderId="19" xfId="98" applyNumberFormat="1" applyFont="1" applyFill="1" applyBorder="1" applyAlignment="1">
      <alignment vertical="center" wrapText="1"/>
      <protection/>
    </xf>
    <xf numFmtId="0" fontId="9" fillId="0" borderId="22" xfId="0" applyFont="1" applyFill="1" applyBorder="1" applyAlignment="1">
      <alignment wrapText="1"/>
    </xf>
    <xf numFmtId="3" fontId="3" fillId="0" borderId="55" xfId="98" applyNumberFormat="1" applyFont="1" applyFill="1" applyBorder="1" applyAlignment="1">
      <alignment vertical="center" wrapText="1"/>
      <protection/>
    </xf>
    <xf numFmtId="3" fontId="3" fillId="0" borderId="48" xfId="98" applyNumberFormat="1" applyFont="1" applyFill="1" applyBorder="1" applyAlignment="1">
      <alignment vertical="center" wrapText="1"/>
      <protection/>
    </xf>
    <xf numFmtId="3" fontId="3" fillId="0" borderId="22" xfId="98" applyNumberFormat="1" applyFont="1" applyFill="1" applyBorder="1" applyAlignment="1">
      <alignment vertical="center" wrapText="1"/>
      <protection/>
    </xf>
    <xf numFmtId="3" fontId="3" fillId="0" borderId="26" xfId="98" applyNumberFormat="1" applyFont="1" applyFill="1" applyBorder="1" applyAlignment="1">
      <alignment vertical="center" wrapText="1"/>
      <protection/>
    </xf>
    <xf numFmtId="3" fontId="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Border="1" applyAlignment="1" quotePrefix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3" fontId="3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3" fontId="3" fillId="0" borderId="56" xfId="98" applyNumberFormat="1" applyFont="1" applyFill="1" applyBorder="1" applyAlignment="1">
      <alignment vertical="center" wrapText="1"/>
      <protection/>
    </xf>
    <xf numFmtId="3" fontId="7" fillId="0" borderId="57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101" applyFont="1" applyFill="1" applyBorder="1" applyAlignment="1" applyProtection="1">
      <alignment horizontal="left" vertical="center" wrapText="1" indent="2"/>
      <protection/>
    </xf>
    <xf numFmtId="169" fontId="2" fillId="0" borderId="15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49" fontId="36" fillId="0" borderId="15" xfId="101" applyNumberFormat="1" applyFont="1" applyFill="1" applyBorder="1" applyAlignment="1" applyProtection="1">
      <alignment horizontal="left" vertical="center" indent="3"/>
      <protection/>
    </xf>
    <xf numFmtId="0" fontId="1" fillId="0" borderId="0" xfId="0" applyFont="1" applyAlignment="1">
      <alignment horizontal="center"/>
    </xf>
    <xf numFmtId="3" fontId="7" fillId="0" borderId="21" xfId="0" applyNumberFormat="1" applyFont="1" applyBorder="1" applyAlignment="1">
      <alignment/>
    </xf>
    <xf numFmtId="16" fontId="2" fillId="0" borderId="20" xfId="0" applyNumberFormat="1" applyFont="1" applyBorder="1" applyAlignment="1" quotePrefix="1">
      <alignment horizontal="right" vertical="center"/>
    </xf>
    <xf numFmtId="0" fontId="2" fillId="0" borderId="20" xfId="0" applyFont="1" applyBorder="1" applyAlignment="1" quotePrefix="1">
      <alignment horizontal="right" vertical="center"/>
    </xf>
    <xf numFmtId="3" fontId="45" fillId="0" borderId="24" xfId="0" applyNumberFormat="1" applyFont="1" applyBorder="1" applyAlignment="1">
      <alignment/>
    </xf>
    <xf numFmtId="3" fontId="45" fillId="0" borderId="42" xfId="0" applyNumberFormat="1" applyFont="1" applyBorder="1" applyAlignment="1">
      <alignment/>
    </xf>
    <xf numFmtId="49" fontId="2" fillId="20" borderId="18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45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vertical="center" wrapText="1" indent="1"/>
      <protection/>
    </xf>
    <xf numFmtId="3" fontId="2" fillId="20" borderId="15" xfId="101" applyNumberFormat="1" applyFont="1" applyFill="1" applyBorder="1" applyAlignment="1" applyProtection="1">
      <alignment horizontal="center" vertical="center" wrapText="1"/>
      <protection/>
    </xf>
    <xf numFmtId="3" fontId="2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20" borderId="25" xfId="101" applyNumberFormat="1" applyFont="1" applyFill="1" applyBorder="1" applyAlignment="1" applyProtection="1">
      <alignment horizontal="center" vertical="center" wrapText="1"/>
      <protection/>
    </xf>
    <xf numFmtId="3" fontId="2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21" xfId="10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indent="1"/>
      <protection/>
    </xf>
    <xf numFmtId="49" fontId="2" fillId="20" borderId="21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 applyProtection="1">
      <alignment/>
      <protection/>
    </xf>
    <xf numFmtId="3" fontId="2" fillId="20" borderId="19" xfId="95" applyNumberFormat="1" applyFont="1" applyFill="1" applyBorder="1" applyProtection="1">
      <alignment/>
      <protection/>
    </xf>
    <xf numFmtId="0" fontId="36" fillId="20" borderId="15" xfId="101" applyFont="1" applyFill="1" applyBorder="1" applyAlignment="1" applyProtection="1">
      <alignment horizontal="left" vertical="center" wrapText="1"/>
      <protection/>
    </xf>
    <xf numFmtId="49" fontId="2" fillId="20" borderId="15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>
      <alignment/>
      <protection/>
    </xf>
    <xf numFmtId="3" fontId="2" fillId="20" borderId="19" xfId="95" applyNumberFormat="1" applyFont="1" applyFill="1" applyBorder="1">
      <alignment/>
      <protection/>
    </xf>
    <xf numFmtId="0" fontId="36" fillId="20" borderId="21" xfId="101" applyFont="1" applyFill="1" applyBorder="1" applyAlignment="1" applyProtection="1">
      <alignment horizontal="left" vertical="center" wrapText="1"/>
      <protection/>
    </xf>
    <xf numFmtId="0" fontId="36" fillId="20" borderId="15" xfId="101" applyFont="1" applyFill="1" applyBorder="1" applyAlignment="1" applyProtection="1">
      <alignment horizontal="left" vertical="center" wrapText="1" indent="1"/>
      <protection/>
    </xf>
    <xf numFmtId="3" fontId="36" fillId="20" borderId="15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4" xfId="101" applyFont="1" applyFill="1" applyBorder="1" applyAlignment="1" applyProtection="1">
      <alignment horizontal="left" vertical="center" wrapText="1" indent="1"/>
      <protection/>
    </xf>
    <xf numFmtId="3" fontId="2" fillId="20" borderId="24" xfId="101" applyNumberFormat="1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Alignment="1">
      <alignment/>
    </xf>
    <xf numFmtId="3" fontId="7" fillId="0" borderId="59" xfId="98" applyNumberFormat="1" applyFont="1" applyFill="1" applyBorder="1" applyAlignment="1">
      <alignment horizontal="right" vertical="center" wrapText="1"/>
      <protection/>
    </xf>
    <xf numFmtId="3" fontId="3" fillId="0" borderId="3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2" fillId="0" borderId="60" xfId="98" applyNumberFormat="1" applyFont="1" applyFill="1" applyBorder="1" applyAlignment="1">
      <alignment vertical="center" wrapText="1"/>
      <protection/>
    </xf>
    <xf numFmtId="0" fontId="52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63" fillId="0" borderId="0" xfId="99" applyFont="1" applyAlignment="1">
      <alignment horizontal="center"/>
      <protection/>
    </xf>
    <xf numFmtId="0" fontId="2" fillId="0" borderId="15" xfId="95" applyFont="1" applyBorder="1" applyProtection="1">
      <alignment/>
      <protection/>
    </xf>
    <xf numFmtId="0" fontId="32" fillId="0" borderId="0" xfId="0" applyFont="1" applyAlignment="1">
      <alignment horizontal="right"/>
    </xf>
    <xf numFmtId="3" fontId="3" fillId="0" borderId="15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60" fillId="0" borderId="58" xfId="101" applyFont="1" applyFill="1" applyBorder="1" applyAlignment="1" applyProtection="1">
      <alignment horizontal="center" vertical="center" wrapText="1"/>
      <protection/>
    </xf>
    <xf numFmtId="3" fontId="45" fillId="0" borderId="58" xfId="0" applyNumberFormat="1" applyFont="1" applyBorder="1" applyAlignment="1">
      <alignment horizontal="right"/>
    </xf>
    <xf numFmtId="3" fontId="8" fillId="7" borderId="19" xfId="0" applyNumberFormat="1" applyFont="1" applyFill="1" applyBorder="1" applyAlignment="1">
      <alignment/>
    </xf>
    <xf numFmtId="3" fontId="8" fillId="23" borderId="19" xfId="0" applyNumberFormat="1" applyFont="1" applyFill="1" applyBorder="1" applyAlignment="1">
      <alignment/>
    </xf>
    <xf numFmtId="3" fontId="3" fillId="20" borderId="31" xfId="101" applyNumberFormat="1" applyFont="1" applyFill="1" applyBorder="1" applyAlignment="1" applyProtection="1">
      <alignment horizontal="right" vertical="center" wrapText="1"/>
      <protection/>
    </xf>
    <xf numFmtId="3" fontId="2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95" applyNumberFormat="1" applyFont="1" applyBorder="1" applyProtection="1">
      <alignment/>
      <protection/>
    </xf>
    <xf numFmtId="3" fontId="2" fillId="0" borderId="41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101" applyNumberFormat="1" applyFont="1" applyFill="1" applyBorder="1" applyAlignment="1" applyProtection="1">
      <alignment horizontal="left" vertical="center" indent="3"/>
      <protection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3" fillId="20" borderId="18" xfId="101" applyNumberFormat="1" applyFont="1" applyFill="1" applyBorder="1" applyAlignment="1" applyProtection="1">
      <alignment horizontal="right" vertical="center" wrapText="1"/>
      <protection/>
    </xf>
    <xf numFmtId="3" fontId="2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95" applyNumberFormat="1" applyFont="1" applyBorder="1" applyProtection="1">
      <alignment/>
      <protection/>
    </xf>
    <xf numFmtId="3" fontId="2" fillId="0" borderId="27" xfId="10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25" borderId="18" xfId="0" applyNumberFormat="1" applyFont="1" applyFill="1" applyBorder="1" applyAlignment="1">
      <alignment/>
    </xf>
    <xf numFmtId="3" fontId="8" fillId="10" borderId="18" xfId="0" applyNumberFormat="1" applyFont="1" applyFill="1" applyBorder="1" applyAlignment="1">
      <alignment/>
    </xf>
    <xf numFmtId="3" fontId="45" fillId="0" borderId="18" xfId="0" applyNumberFormat="1" applyFont="1" applyBorder="1" applyAlignment="1">
      <alignment/>
    </xf>
    <xf numFmtId="3" fontId="7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96" applyNumberFormat="1" applyFont="1" applyBorder="1">
      <alignment/>
      <protection/>
    </xf>
    <xf numFmtId="3" fontId="7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0" applyNumberFormat="1" applyFont="1" applyBorder="1" applyAlignment="1">
      <alignment/>
    </xf>
    <xf numFmtId="3" fontId="37" fillId="0" borderId="62" xfId="101" applyNumberFormat="1" applyFont="1" applyFill="1" applyBorder="1" applyAlignment="1" applyProtection="1">
      <alignment horizontal="right" vertical="center" wrapText="1"/>
      <protection/>
    </xf>
    <xf numFmtId="3" fontId="3" fillId="20" borderId="38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>
      <alignment/>
      <protection/>
    </xf>
    <xf numFmtId="3" fontId="2" fillId="0" borderId="63" xfId="95" applyNumberFormat="1" applyFont="1" applyFill="1" applyBorder="1">
      <alignment/>
      <protection/>
    </xf>
    <xf numFmtId="3" fontId="2" fillId="0" borderId="60" xfId="95" applyNumberFormat="1" applyFont="1" applyBorder="1" applyProtection="1">
      <alignment/>
      <protection/>
    </xf>
    <xf numFmtId="3" fontId="2" fillId="0" borderId="64" xfId="95" applyNumberFormat="1" applyFont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5" applyNumberFormat="1" applyFont="1" applyFill="1" applyBorder="1">
      <alignment/>
      <protection/>
    </xf>
    <xf numFmtId="3" fontId="2" fillId="0" borderId="65" xfId="95" applyNumberFormat="1" applyFont="1" applyBorder="1" applyProtection="1">
      <alignment/>
      <protection/>
    </xf>
    <xf numFmtId="3" fontId="3" fillId="20" borderId="66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 applyProtection="1">
      <alignment/>
      <protection/>
    </xf>
    <xf numFmtId="3" fontId="36" fillId="0" borderId="4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3" xfId="95" applyNumberFormat="1" applyFont="1" applyBorder="1" applyProtection="1">
      <alignment/>
      <protection/>
    </xf>
    <xf numFmtId="3" fontId="9" fillId="20" borderId="38" xfId="95" applyNumberFormat="1" applyFont="1" applyFill="1" applyBorder="1" applyProtection="1">
      <alignment/>
      <protection/>
    </xf>
    <xf numFmtId="3" fontId="2" fillId="0" borderId="38" xfId="95" applyNumberFormat="1" applyFont="1" applyFill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6" applyNumberFormat="1" applyFont="1" applyFill="1" applyBorder="1">
      <alignment/>
      <protection/>
    </xf>
    <xf numFmtId="3" fontId="2" fillId="0" borderId="52" xfId="95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3" fontId="3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2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7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71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3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40" xfId="101" applyNumberFormat="1" applyFont="1" applyFill="1" applyBorder="1" applyAlignment="1" applyProtection="1">
      <alignment horizontal="center" vertical="center"/>
      <protection/>
    </xf>
    <xf numFmtId="0" fontId="37" fillId="20" borderId="18" xfId="101" applyFont="1" applyFill="1" applyBorder="1" applyAlignment="1" applyProtection="1">
      <alignment horizontal="left" vertical="center" wrapText="1" inden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8" fillId="0" borderId="18" xfId="101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center"/>
    </xf>
    <xf numFmtId="49" fontId="36" fillId="0" borderId="18" xfId="101" applyNumberFormat="1" applyFont="1" applyFill="1" applyBorder="1" applyAlignment="1" applyProtection="1">
      <alignment horizontal="center" vertical="center" wrapTex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6" fillId="0" borderId="18" xfId="101" applyNumberFormat="1" applyFont="1" applyFill="1" applyBorder="1" applyAlignment="1" applyProtection="1">
      <alignment horizontal="left" vertical="center" wrapText="1" indent="1"/>
      <protection/>
    </xf>
    <xf numFmtId="49" fontId="36" fillId="0" borderId="27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22" xfId="101" applyFont="1" applyFill="1" applyBorder="1" applyAlignment="1" applyProtection="1">
      <alignment horizontal="left" vertical="center" wrapText="1" indent="2"/>
      <protection/>
    </xf>
    <xf numFmtId="0" fontId="37" fillId="0" borderId="31" xfId="101" applyFont="1" applyFill="1" applyBorder="1" applyAlignment="1" applyProtection="1">
      <alignment horizontal="center" vertical="center" wrapText="1"/>
      <protection/>
    </xf>
    <xf numFmtId="167" fontId="37" fillId="20" borderId="31" xfId="101" applyNumberFormat="1" applyFont="1" applyFill="1" applyBorder="1" applyAlignment="1" applyProtection="1">
      <alignment vertical="center" wrapText="1"/>
      <protection/>
    </xf>
    <xf numFmtId="167" fontId="36" fillId="20" borderId="31" xfId="101" applyNumberFormat="1" applyFont="1" applyFill="1" applyBorder="1" applyAlignment="1" applyProtection="1">
      <alignment vertical="center" wrapText="1"/>
      <protection locked="0"/>
    </xf>
    <xf numFmtId="167" fontId="36" fillId="0" borderId="31" xfId="101" applyNumberFormat="1" applyFont="1" applyFill="1" applyBorder="1" applyAlignment="1" applyProtection="1">
      <alignment vertical="center" wrapText="1"/>
      <protection locked="0"/>
    </xf>
    <xf numFmtId="167" fontId="38" fillId="0" borderId="31" xfId="101" applyNumberFormat="1" applyFont="1" applyFill="1" applyBorder="1" applyAlignment="1" applyProtection="1">
      <alignment vertical="center" wrapText="1"/>
      <protection locked="0"/>
    </xf>
    <xf numFmtId="1" fontId="38" fillId="20" borderId="31" xfId="101" applyNumberFormat="1" applyFont="1" applyFill="1" applyBorder="1" applyAlignment="1" applyProtection="1">
      <alignment vertical="center" wrapText="1"/>
      <protection locked="0"/>
    </xf>
    <xf numFmtId="3" fontId="36" fillId="0" borderId="31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Border="1" applyAlignment="1">
      <alignment/>
    </xf>
    <xf numFmtId="3" fontId="36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41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67" xfId="101" applyNumberFormat="1" applyFont="1" applyFill="1" applyBorder="1" applyAlignment="1" applyProtection="1">
      <alignment horizontal="center" vertical="center"/>
      <protection/>
    </xf>
    <xf numFmtId="0" fontId="37" fillId="0" borderId="68" xfId="101" applyFont="1" applyFill="1" applyBorder="1" applyAlignment="1" applyProtection="1">
      <alignment horizontal="center" vertical="center" wrapText="1"/>
      <protection/>
    </xf>
    <xf numFmtId="167" fontId="37" fillId="20" borderId="68" xfId="101" applyNumberFormat="1" applyFont="1" applyFill="1" applyBorder="1" applyAlignment="1" applyProtection="1">
      <alignment vertical="center" wrapText="1"/>
      <protection/>
    </xf>
    <xf numFmtId="167" fontId="36" fillId="20" borderId="68" xfId="101" applyNumberFormat="1" applyFont="1" applyFill="1" applyBorder="1" applyAlignment="1" applyProtection="1">
      <alignment vertical="center" wrapText="1"/>
      <protection locked="0"/>
    </xf>
    <xf numFmtId="167" fontId="36" fillId="0" borderId="68" xfId="101" applyNumberFormat="1" applyFont="1" applyFill="1" applyBorder="1" applyAlignment="1" applyProtection="1">
      <alignment vertical="center" wrapText="1"/>
      <protection locked="0"/>
    </xf>
    <xf numFmtId="167" fontId="38" fillId="0" borderId="68" xfId="101" applyNumberFormat="1" applyFont="1" applyFill="1" applyBorder="1" applyAlignment="1" applyProtection="1">
      <alignment vertical="center" wrapText="1"/>
      <protection locked="0"/>
    </xf>
    <xf numFmtId="1" fontId="38" fillId="20" borderId="68" xfId="101" applyNumberFormat="1" applyFont="1" applyFill="1" applyBorder="1" applyAlignment="1" applyProtection="1">
      <alignment vertical="center" wrapText="1"/>
      <protection locked="0"/>
    </xf>
    <xf numFmtId="3" fontId="36" fillId="0" borderId="68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68" xfId="0" applyFont="1" applyBorder="1" applyAlignment="1">
      <alignment/>
    </xf>
    <xf numFmtId="3" fontId="36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69" xfId="101" applyNumberFormat="1" applyFont="1" applyFill="1" applyBorder="1" applyAlignment="1" applyProtection="1">
      <alignment horizontal="right" vertical="center" wrapText="1"/>
      <protection locked="0"/>
    </xf>
    <xf numFmtId="167" fontId="35" fillId="0" borderId="0" xfId="0" applyNumberFormat="1" applyFont="1" applyAlignment="1">
      <alignment/>
    </xf>
    <xf numFmtId="3" fontId="8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7" fillId="25" borderId="38" xfId="0" applyNumberFormat="1" applyFont="1" applyFill="1" applyBorder="1" applyAlignment="1">
      <alignment/>
    </xf>
    <xf numFmtId="3" fontId="8" fillId="10" borderId="38" xfId="0" applyNumberFormat="1" applyFont="1" applyFill="1" applyBorder="1" applyAlignment="1">
      <alignment/>
    </xf>
    <xf numFmtId="3" fontId="45" fillId="0" borderId="38" xfId="0" applyNumberFormat="1" applyFont="1" applyBorder="1" applyAlignment="1">
      <alignment/>
    </xf>
    <xf numFmtId="3" fontId="7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96" applyNumberFormat="1" applyFont="1" applyBorder="1">
      <alignment/>
      <protection/>
    </xf>
    <xf numFmtId="3" fontId="7" fillId="20" borderId="3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Border="1" applyAlignment="1">
      <alignment/>
    </xf>
    <xf numFmtId="16" fontId="2" fillId="0" borderId="18" xfId="0" applyNumberFormat="1" applyFont="1" applyBorder="1" applyAlignment="1" quotePrefix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16" fontId="2" fillId="0" borderId="18" xfId="0" applyNumberFormat="1" applyFont="1" applyFill="1" applyBorder="1" applyAlignment="1" quotePrefix="1">
      <alignment horizontal="right" vertical="center"/>
    </xf>
    <xf numFmtId="0" fontId="2" fillId="0" borderId="18" xfId="0" applyFont="1" applyFill="1" applyBorder="1" applyAlignment="1" quotePrefix="1">
      <alignment horizontal="right" vertical="center"/>
    </xf>
    <xf numFmtId="0" fontId="8" fillId="0" borderId="63" xfId="0" applyFont="1" applyBorder="1" applyAlignment="1">
      <alignment horizontal="justify"/>
    </xf>
    <xf numFmtId="0" fontId="7" fillId="0" borderId="63" xfId="0" applyFont="1" applyBorder="1" applyAlignment="1" quotePrefix="1">
      <alignment horizontal="justify"/>
    </xf>
    <xf numFmtId="0" fontId="8" fillId="25" borderId="63" xfId="0" applyFont="1" applyFill="1" applyBorder="1" applyAlignment="1">
      <alignment horizontal="justify" wrapText="1"/>
    </xf>
    <xf numFmtId="0" fontId="8" fillId="0" borderId="63" xfId="0" applyFont="1" applyBorder="1" applyAlignment="1">
      <alignment horizontal="justify" wrapText="1"/>
    </xf>
    <xf numFmtId="0" fontId="8" fillId="10" borderId="63" xfId="0" applyFont="1" applyFill="1" applyBorder="1" applyAlignment="1">
      <alignment/>
    </xf>
    <xf numFmtId="0" fontId="7" fillId="0" borderId="63" xfId="0" applyFont="1" applyBorder="1" applyAlignment="1" quotePrefix="1">
      <alignment horizontal="left"/>
    </xf>
    <xf numFmtId="0" fontId="8" fillId="25" borderId="63" xfId="0" applyFont="1" applyFill="1" applyBorder="1" applyAlignment="1">
      <alignment wrapText="1"/>
    </xf>
    <xf numFmtId="0" fontId="8" fillId="0" borderId="63" xfId="0" applyFont="1" applyBorder="1" applyAlignment="1">
      <alignment wrapText="1"/>
    </xf>
    <xf numFmtId="0" fontId="45" fillId="0" borderId="63" xfId="0" applyFont="1" applyFill="1" applyBorder="1" applyAlignment="1">
      <alignment wrapText="1"/>
    </xf>
    <xf numFmtId="0" fontId="7" fillId="0" borderId="63" xfId="101" applyFont="1" applyFill="1" applyBorder="1" applyAlignment="1" applyProtection="1">
      <alignment horizontal="left" vertical="center" wrapText="1"/>
      <protection/>
    </xf>
    <xf numFmtId="0" fontId="7" fillId="0" borderId="63" xfId="101" applyFont="1" applyFill="1" applyBorder="1" applyAlignment="1" applyProtection="1">
      <alignment horizontal="left" vertical="center" wrapText="1" indent="2"/>
      <protection/>
    </xf>
    <xf numFmtId="0" fontId="6" fillId="20" borderId="63" xfId="101" applyFont="1" applyFill="1" applyBorder="1" applyAlignment="1" applyProtection="1">
      <alignment vertical="center" wrapText="1"/>
      <protection/>
    </xf>
    <xf numFmtId="0" fontId="45" fillId="0" borderId="72" xfId="0" applyFont="1" applyFill="1" applyBorder="1" applyAlignment="1">
      <alignment wrapText="1"/>
    </xf>
    <xf numFmtId="0" fontId="7" fillId="0" borderId="31" xfId="0" applyFont="1" applyBorder="1" applyAlignment="1">
      <alignment horizontal="justify"/>
    </xf>
    <xf numFmtId="0" fontId="7" fillId="0" borderId="31" xfId="0" applyFont="1" applyFill="1" applyBorder="1" applyAlignment="1">
      <alignment horizontal="justify"/>
    </xf>
    <xf numFmtId="212" fontId="46" fillId="0" borderId="31" xfId="97" applyNumberFormat="1" applyFont="1" applyFill="1" applyBorder="1" applyAlignment="1">
      <alignment horizontal="left" vertical="center" wrapText="1"/>
      <protection/>
    </xf>
    <xf numFmtId="0" fontId="7" fillId="0" borderId="31" xfId="0" applyFont="1" applyBorder="1" applyAlignment="1">
      <alignment/>
    </xf>
    <xf numFmtId="0" fontId="8" fillId="7" borderId="31" xfId="0" applyFont="1" applyFill="1" applyBorder="1" applyAlignment="1">
      <alignment wrapText="1"/>
    </xf>
    <xf numFmtId="0" fontId="8" fillId="23" borderId="31" xfId="0" applyFont="1" applyFill="1" applyBorder="1" applyAlignment="1">
      <alignment wrapText="1"/>
    </xf>
    <xf numFmtId="0" fontId="7" fillId="25" borderId="31" xfId="0" applyFont="1" applyFill="1" applyBorder="1" applyAlignment="1">
      <alignment wrapText="1"/>
    </xf>
    <xf numFmtId="0" fontId="8" fillId="10" borderId="31" xfId="0" applyFont="1" applyFill="1" applyBorder="1" applyAlignment="1">
      <alignment/>
    </xf>
    <xf numFmtId="0" fontId="7" fillId="0" borderId="31" xfId="0" applyFont="1" applyFill="1" applyBorder="1" applyAlignment="1">
      <alignment wrapText="1"/>
    </xf>
    <xf numFmtId="0" fontId="45" fillId="0" borderId="31" xfId="0" applyFont="1" applyBorder="1" applyAlignment="1">
      <alignment/>
    </xf>
    <xf numFmtId="0" fontId="4" fillId="0" borderId="31" xfId="101" applyFont="1" applyFill="1" applyBorder="1" applyAlignment="1" applyProtection="1">
      <alignment horizontal="left" vertical="center" wrapText="1"/>
      <protection/>
    </xf>
    <xf numFmtId="0" fontId="6" fillId="20" borderId="31" xfId="101" applyFont="1" applyFill="1" applyBorder="1" applyAlignment="1" applyProtection="1">
      <alignment vertical="center" wrapText="1"/>
      <protection/>
    </xf>
    <xf numFmtId="0" fontId="45" fillId="0" borderId="41" xfId="0" applyFont="1" applyFill="1" applyBorder="1" applyAlignment="1">
      <alignment wrapText="1"/>
    </xf>
    <xf numFmtId="3" fontId="8" fillId="7" borderId="18" xfId="0" applyNumberFormat="1" applyFont="1" applyFill="1" applyBorder="1" applyAlignment="1">
      <alignment/>
    </xf>
    <xf numFmtId="3" fontId="8" fillId="23" borderId="18" xfId="0" applyNumberFormat="1" applyFont="1" applyFill="1" applyBorder="1" applyAlignment="1">
      <alignment/>
    </xf>
    <xf numFmtId="0" fontId="45" fillId="0" borderId="40" xfId="0" applyFont="1" applyBorder="1" applyAlignment="1">
      <alignment wrapText="1"/>
    </xf>
    <xf numFmtId="0" fontId="59" fillId="0" borderId="30" xfId="0" applyFont="1" applyBorder="1" applyAlignment="1">
      <alignment horizontal="left" wrapText="1" indent="1"/>
    </xf>
    <xf numFmtId="0" fontId="59" fillId="0" borderId="30" xfId="0" applyFont="1" applyBorder="1" applyAlignment="1">
      <alignment horizontal="left" wrapText="1" indent="4"/>
    </xf>
    <xf numFmtId="0" fontId="60" fillId="0" borderId="41" xfId="101" applyFont="1" applyFill="1" applyBorder="1" applyAlignment="1" applyProtection="1">
      <alignment vertical="center" wrapText="1"/>
      <protection/>
    </xf>
    <xf numFmtId="3" fontId="7" fillId="0" borderId="73" xfId="0" applyNumberFormat="1" applyFont="1" applyBorder="1" applyAlignment="1">
      <alignment horizontal="center" vertical="center" wrapText="1"/>
    </xf>
    <xf numFmtId="3" fontId="45" fillId="0" borderId="2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3" fontId="3" fillId="0" borderId="65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25" borderId="38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25" borderId="18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3" fillId="10" borderId="18" xfId="0" applyNumberFormat="1" applyFont="1" applyFill="1" applyBorder="1" applyAlignment="1">
      <alignment/>
    </xf>
    <xf numFmtId="3" fontId="3" fillId="10" borderId="19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25" borderId="18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45" fillId="0" borderId="27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" fontId="3" fillId="7" borderId="18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23" borderId="18" xfId="0" applyNumberFormat="1" applyFont="1" applyFill="1" applyBorder="1" applyAlignment="1">
      <alignment/>
    </xf>
    <xf numFmtId="3" fontId="3" fillId="23" borderId="19" xfId="0" applyNumberFormat="1" applyFont="1" applyFill="1" applyBorder="1" applyAlignment="1">
      <alignment/>
    </xf>
    <xf numFmtId="0" fontId="2" fillId="0" borderId="74" xfId="0" applyFont="1" applyBorder="1" applyAlignment="1">
      <alignment/>
    </xf>
    <xf numFmtId="3" fontId="7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169" fontId="2" fillId="0" borderId="23" xfId="0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169" fontId="3" fillId="0" borderId="42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0" fontId="8" fillId="0" borderId="23" xfId="0" applyFont="1" applyFill="1" applyBorder="1" applyAlignment="1" applyProtection="1">
      <alignment horizontal="right" vertical="center" wrapText="1"/>
      <protection/>
    </xf>
    <xf numFmtId="0" fontId="8" fillId="0" borderId="27" xfId="0" applyFont="1" applyFill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7" fillId="0" borderId="18" xfId="0" applyNumberFormat="1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43" fillId="0" borderId="22" xfId="0" applyFont="1" applyFill="1" applyBorder="1" applyAlignment="1">
      <alignment wrapText="1"/>
    </xf>
    <xf numFmtId="0" fontId="55" fillId="0" borderId="3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3" fontId="2" fillId="0" borderId="32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73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57" xfId="101" applyNumberFormat="1" applyFont="1" applyFill="1" applyBorder="1" applyAlignment="1" applyProtection="1">
      <alignment horizontal="center" vertical="center" wrapText="1"/>
      <protection/>
    </xf>
    <xf numFmtId="3" fontId="2" fillId="0" borderId="75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4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0" applyNumberFormat="1" applyFont="1" applyBorder="1" applyAlignment="1">
      <alignment/>
    </xf>
    <xf numFmtId="3" fontId="2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76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Border="1" applyAlignment="1">
      <alignment/>
    </xf>
    <xf numFmtId="3" fontId="2" fillId="0" borderId="77" xfId="101" applyNumberFormat="1" applyFont="1" applyFill="1" applyBorder="1" applyAlignment="1" applyProtection="1">
      <alignment horizontal="right" vertical="center" wrapText="1"/>
      <protection locked="0"/>
    </xf>
    <xf numFmtId="3" fontId="37" fillId="0" borderId="78" xfId="101" applyNumberFormat="1" applyFont="1" applyFill="1" applyBorder="1" applyAlignment="1" applyProtection="1">
      <alignment horizontal="center" vertical="center" wrapText="1"/>
      <protection/>
    </xf>
    <xf numFmtId="3" fontId="37" fillId="0" borderId="79" xfId="101" applyNumberFormat="1" applyFont="1" applyFill="1" applyBorder="1" applyAlignment="1" applyProtection="1">
      <alignment horizontal="center" vertical="center" wrapText="1"/>
      <protection/>
    </xf>
    <xf numFmtId="0" fontId="3" fillId="0" borderId="15" xfId="101" applyFont="1" applyFill="1" applyBorder="1" applyAlignment="1" applyProtection="1">
      <alignment horizontal="center" vertical="center" wrapText="1"/>
      <protection/>
    </xf>
    <xf numFmtId="167" fontId="3" fillId="0" borderId="40" xfId="101" applyNumberFormat="1" applyFont="1" applyFill="1" applyBorder="1" applyAlignment="1" applyProtection="1">
      <alignment horizontal="center" vertical="center" wrapText="1"/>
      <protection/>
    </xf>
    <xf numFmtId="167" fontId="3" fillId="0" borderId="78" xfId="101" applyNumberFormat="1" applyFont="1" applyFill="1" applyBorder="1" applyAlignment="1" applyProtection="1">
      <alignment horizontal="center" vertical="center" wrapText="1"/>
      <protection/>
    </xf>
    <xf numFmtId="167" fontId="3" fillId="0" borderId="79" xfId="101" applyNumberFormat="1" applyFont="1" applyFill="1" applyBorder="1" applyAlignment="1" applyProtection="1">
      <alignment horizontal="center" vertical="center" wrapText="1"/>
      <protection/>
    </xf>
    <xf numFmtId="0" fontId="3" fillId="0" borderId="23" xfId="101" applyFont="1" applyFill="1" applyBorder="1" applyAlignment="1" applyProtection="1">
      <alignment horizontal="center" vertical="center" wrapText="1"/>
      <protection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45" fillId="0" borderId="4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3" fillId="0" borderId="16" xfId="101" applyFont="1" applyFill="1" applyBorder="1" applyAlignment="1" applyProtection="1">
      <alignment horizontal="center" vertical="center" wrapText="1"/>
      <protection/>
    </xf>
    <xf numFmtId="0" fontId="3" fillId="0" borderId="61" xfId="101" applyFont="1" applyFill="1" applyBorder="1" applyAlignment="1" applyProtection="1">
      <alignment horizontal="center" vertical="center" wrapText="1"/>
      <protection/>
    </xf>
    <xf numFmtId="0" fontId="3" fillId="0" borderId="82" xfId="101" applyFont="1" applyFill="1" applyBorder="1" applyAlignment="1" applyProtection="1">
      <alignment horizontal="center" vertical="center" wrapText="1"/>
      <protection/>
    </xf>
    <xf numFmtId="0" fontId="3" fillId="0" borderId="50" xfId="101" applyFont="1" applyFill="1" applyBorder="1" applyAlignment="1" applyProtection="1">
      <alignment horizontal="center" vertical="center" wrapText="1"/>
      <protection/>
    </xf>
    <xf numFmtId="167" fontId="3" fillId="0" borderId="0" xfId="101" applyNumberFormat="1" applyFont="1" applyFill="1" applyBorder="1" applyAlignment="1" applyProtection="1">
      <alignment horizontal="center" vertical="center" wrapText="1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167" fontId="37" fillId="0" borderId="0" xfId="101" applyNumberFormat="1" applyFont="1" applyFill="1" applyBorder="1" applyAlignment="1" applyProtection="1">
      <alignment horizontal="center" vertical="center" wrapText="1"/>
      <protection/>
    </xf>
    <xf numFmtId="167" fontId="5" fillId="0" borderId="50" xfId="101" applyNumberFormat="1" applyFont="1" applyFill="1" applyBorder="1" applyAlignment="1" applyProtection="1">
      <alignment horizontal="left" vertical="center"/>
      <protection/>
    </xf>
    <xf numFmtId="0" fontId="37" fillId="0" borderId="16" xfId="101" applyFont="1" applyFill="1" applyBorder="1" applyAlignment="1" applyProtection="1">
      <alignment horizontal="center" vertical="center" wrapText="1"/>
      <protection/>
    </xf>
    <xf numFmtId="0" fontId="37" fillId="0" borderId="61" xfId="101" applyFont="1" applyFill="1" applyBorder="1" applyAlignment="1" applyProtection="1">
      <alignment horizontal="center" vertical="center" wrapText="1"/>
      <protection/>
    </xf>
    <xf numFmtId="0" fontId="37" fillId="0" borderId="82" xfId="101" applyFont="1" applyFill="1" applyBorder="1" applyAlignment="1" applyProtection="1">
      <alignment horizontal="center" vertical="center" wrapText="1"/>
      <protection/>
    </xf>
    <xf numFmtId="0" fontId="37" fillId="0" borderId="50" xfId="101" applyFont="1" applyFill="1" applyBorder="1" applyAlignment="1" applyProtection="1">
      <alignment horizontal="center" vertical="center" wrapText="1"/>
      <protection/>
    </xf>
    <xf numFmtId="3" fontId="37" fillId="0" borderId="40" xfId="101" applyNumberFormat="1" applyFont="1" applyFill="1" applyBorder="1" applyAlignment="1" applyProtection="1">
      <alignment horizontal="center" vertical="center" wrapText="1"/>
      <protection/>
    </xf>
    <xf numFmtId="0" fontId="37" fillId="0" borderId="23" xfId="101" applyFont="1" applyFill="1" applyBorder="1" applyAlignment="1" applyProtection="1">
      <alignment horizontal="center" vertical="center" wrapText="1"/>
      <protection/>
    </xf>
    <xf numFmtId="0" fontId="37" fillId="0" borderId="18" xfId="101" applyFont="1" applyFill="1" applyBorder="1" applyAlignment="1" applyProtection="1">
      <alignment horizontal="center" vertical="center" wrapText="1"/>
      <protection/>
    </xf>
    <xf numFmtId="0" fontId="37" fillId="0" borderId="24" xfId="101" applyFont="1" applyFill="1" applyBorder="1" applyAlignment="1" applyProtection="1">
      <alignment horizontal="center" vertical="center" wrapText="1"/>
      <protection/>
    </xf>
    <xf numFmtId="0" fontId="37" fillId="0" borderId="15" xfId="101" applyFont="1" applyFill="1" applyBorder="1" applyAlignment="1" applyProtection="1">
      <alignment horizontal="center" vertical="center" wrapText="1"/>
      <protection/>
    </xf>
    <xf numFmtId="167" fontId="5" fillId="0" borderId="0" xfId="101" applyNumberFormat="1" applyFont="1" applyFill="1" applyBorder="1" applyAlignment="1" applyProtection="1">
      <alignment horizontal="left" vertical="center"/>
      <protection/>
    </xf>
    <xf numFmtId="3" fontId="8" fillId="0" borderId="83" xfId="0" applyNumberFormat="1" applyFont="1" applyBorder="1" applyAlignment="1">
      <alignment horizontal="center"/>
    </xf>
    <xf numFmtId="3" fontId="8" fillId="0" borderId="84" xfId="0" applyNumberFormat="1" applyFont="1" applyBorder="1" applyAlignment="1">
      <alignment horizontal="center"/>
    </xf>
    <xf numFmtId="3" fontId="8" fillId="0" borderId="85" xfId="0" applyNumberFormat="1" applyFont="1" applyBorder="1" applyAlignment="1">
      <alignment horizontal="center"/>
    </xf>
    <xf numFmtId="3" fontId="8" fillId="0" borderId="78" xfId="0" applyNumberFormat="1" applyFont="1" applyBorder="1" applyAlignment="1">
      <alignment horizontal="center"/>
    </xf>
    <xf numFmtId="3" fontId="8" fillId="0" borderId="81" xfId="0" applyNumberFormat="1" applyFont="1" applyBorder="1" applyAlignment="1">
      <alignment horizontal="center"/>
    </xf>
    <xf numFmtId="3" fontId="8" fillId="0" borderId="7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5" fillId="0" borderId="86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/>
    </xf>
    <xf numFmtId="3" fontId="8" fillId="0" borderId="63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52" fillId="0" borderId="0" xfId="98" applyNumberFormat="1" applyFont="1" applyFill="1" applyAlignment="1">
      <alignment horizontal="center"/>
      <protection/>
    </xf>
    <xf numFmtId="0" fontId="52" fillId="0" borderId="0" xfId="98" applyFont="1" applyFill="1" applyAlignment="1">
      <alignment horizontal="center" vertical="center" wrapText="1"/>
      <protection/>
    </xf>
    <xf numFmtId="0" fontId="53" fillId="0" borderId="0" xfId="98" applyFont="1" applyFill="1" applyAlignment="1">
      <alignment horizontal="center" vertical="center" wrapText="1"/>
      <protection/>
    </xf>
    <xf numFmtId="0" fontId="8" fillId="0" borderId="16" xfId="103" applyFont="1" applyBorder="1" applyAlignment="1">
      <alignment horizontal="center" wrapText="1"/>
      <protection/>
    </xf>
    <xf numFmtId="0" fontId="8" fillId="0" borderId="61" xfId="103" applyFont="1" applyBorder="1" applyAlignment="1">
      <alignment horizontal="center" wrapText="1"/>
      <protection/>
    </xf>
    <xf numFmtId="0" fontId="8" fillId="0" borderId="0" xfId="103" applyFont="1" applyAlignment="1">
      <alignment horizontal="left" vertical="center"/>
      <protection/>
    </xf>
    <xf numFmtId="0" fontId="8" fillId="0" borderId="24" xfId="103" applyFont="1" applyBorder="1" applyAlignment="1">
      <alignment horizontal="center"/>
      <protection/>
    </xf>
    <xf numFmtId="0" fontId="8" fillId="0" borderId="42" xfId="103" applyFont="1" applyBorder="1" applyAlignment="1">
      <alignment horizontal="center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0" fontId="37" fillId="0" borderId="58" xfId="101" applyFont="1" applyFill="1" applyBorder="1" applyAlignment="1" applyProtection="1">
      <alignment horizontal="center" vertical="center" wrapText="1"/>
      <protection/>
    </xf>
    <xf numFmtId="0" fontId="8" fillId="0" borderId="17" xfId="103" applyFont="1" applyBorder="1" applyAlignment="1">
      <alignment horizontal="center"/>
      <protection/>
    </xf>
    <xf numFmtId="0" fontId="8" fillId="0" borderId="58" xfId="103" applyFont="1" applyBorder="1" applyAlignment="1">
      <alignment horizontal="center"/>
      <protection/>
    </xf>
    <xf numFmtId="0" fontId="48" fillId="20" borderId="39" xfId="100" applyFont="1" applyFill="1" applyBorder="1" applyAlignment="1">
      <alignment horizontal="center"/>
      <protection/>
    </xf>
    <xf numFmtId="0" fontId="48" fillId="20" borderId="35" xfId="100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" fillId="0" borderId="16" xfId="100" applyFont="1" applyBorder="1" applyAlignment="1">
      <alignment horizontal="center" vertical="center" wrapText="1"/>
      <protection/>
    </xf>
    <xf numFmtId="0" fontId="2" fillId="0" borderId="61" xfId="100" applyFont="1" applyBorder="1" applyAlignment="1">
      <alignment horizontal="center" vertical="center" wrapText="1"/>
      <protection/>
    </xf>
    <xf numFmtId="0" fontId="2" fillId="0" borderId="24" xfId="100" applyFont="1" applyBorder="1" applyAlignment="1">
      <alignment horizontal="center" vertical="center"/>
      <protection/>
    </xf>
    <xf numFmtId="0" fontId="2" fillId="0" borderId="22" xfId="100" applyFont="1" applyBorder="1" applyAlignment="1">
      <alignment horizontal="center" vertical="center"/>
      <protection/>
    </xf>
    <xf numFmtId="0" fontId="2" fillId="0" borderId="24" xfId="100" applyFont="1" applyBorder="1" applyAlignment="1">
      <alignment horizontal="center"/>
      <protection/>
    </xf>
    <xf numFmtId="0" fontId="2" fillId="0" borderId="42" xfId="100" applyFont="1" applyBorder="1" applyAlignment="1">
      <alignment horizontal="center"/>
      <protection/>
    </xf>
    <xf numFmtId="0" fontId="48" fillId="0" borderId="0" xfId="98" applyFont="1" applyFill="1" applyAlignment="1">
      <alignment horizontal="center" vertical="center" wrapText="1"/>
      <protection/>
    </xf>
    <xf numFmtId="0" fontId="8" fillId="0" borderId="24" xfId="98" applyFont="1" applyFill="1" applyBorder="1" applyAlignment="1">
      <alignment horizontal="center" vertical="center" wrapText="1"/>
      <protection/>
    </xf>
    <xf numFmtId="0" fontId="8" fillId="0" borderId="15" xfId="98" applyFont="1" applyFill="1" applyBorder="1" applyAlignment="1">
      <alignment horizontal="center" vertical="center" wrapText="1"/>
      <protection/>
    </xf>
    <xf numFmtId="0" fontId="8" fillId="0" borderId="42" xfId="98" applyFont="1" applyFill="1" applyBorder="1" applyAlignment="1">
      <alignment horizontal="center" vertical="center" wrapText="1"/>
      <protection/>
    </xf>
    <xf numFmtId="0" fontId="8" fillId="0" borderId="19" xfId="98" applyFont="1" applyFill="1" applyBorder="1" applyAlignment="1">
      <alignment horizontal="center" vertical="center" wrapText="1"/>
      <protection/>
    </xf>
    <xf numFmtId="0" fontId="61" fillId="0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8" fillId="0" borderId="0" xfId="102" applyFont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090115fejlesztések-felújítások" xfId="95"/>
    <cellStyle name="Normál_2010. ktgvetés JÓ LESZ ÚJ" xfId="96"/>
    <cellStyle name="Normál_97ûrlap" xfId="97"/>
    <cellStyle name="Normál_CC minta táblarendszer" xfId="98"/>
    <cellStyle name="Normál_Intézményi összesítő ÚJ tábla" xfId="99"/>
    <cellStyle name="Normál_kovetetttam2009" xfId="100"/>
    <cellStyle name="Normál_KVRENMUNKA" xfId="101"/>
    <cellStyle name="Normál_minta táblarendszer" xfId="102"/>
    <cellStyle name="Normál_Munka1" xfId="103"/>
    <cellStyle name="Normál_Többéves2009.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4.8515625" style="3" customWidth="1"/>
    <col min="2" max="2" width="74.00390625" style="3" customWidth="1"/>
    <col min="3" max="3" width="18.421875" style="11" customWidth="1"/>
    <col min="4" max="16384" width="9.140625" style="3" customWidth="1"/>
  </cols>
  <sheetData>
    <row r="1" ht="18.75">
      <c r="B1" s="10" t="s">
        <v>500</v>
      </c>
    </row>
    <row r="2" spans="2:3" ht="15.75">
      <c r="B2" s="10" t="s">
        <v>473</v>
      </c>
      <c r="C2" s="3"/>
    </row>
    <row r="3" ht="15.75">
      <c r="C3" s="10"/>
    </row>
    <row r="4" ht="15.75">
      <c r="C4" s="10"/>
    </row>
    <row r="5" spans="1:2" ht="12.75" customHeight="1">
      <c r="A5" s="771" t="s">
        <v>11</v>
      </c>
      <c r="B5" s="771"/>
    </row>
    <row r="6" spans="1:2" ht="12.75" customHeight="1">
      <c r="A6" s="12"/>
      <c r="B6" s="12"/>
    </row>
    <row r="9" ht="15.75">
      <c r="A9" s="13" t="s">
        <v>12</v>
      </c>
    </row>
    <row r="11" ht="15.75">
      <c r="B11" s="3" t="s">
        <v>482</v>
      </c>
    </row>
    <row r="12" ht="15.75">
      <c r="B12" s="3" t="s">
        <v>13</v>
      </c>
    </row>
    <row r="13" ht="15.75">
      <c r="B13" s="3" t="s">
        <v>14</v>
      </c>
    </row>
    <row r="14" ht="15.75">
      <c r="B14" s="3" t="s">
        <v>15</v>
      </c>
    </row>
    <row r="15" spans="2:7" ht="15.75">
      <c r="B15" s="14"/>
      <c r="G15" s="3" t="s">
        <v>498</v>
      </c>
    </row>
    <row r="16" ht="15.75">
      <c r="B16" s="14"/>
    </row>
    <row r="17" ht="15.75">
      <c r="A17" s="13" t="s">
        <v>16</v>
      </c>
    </row>
    <row r="19" ht="15.75">
      <c r="B19" s="3" t="s">
        <v>9</v>
      </c>
    </row>
    <row r="20" ht="15.75">
      <c r="B20" s="3" t="s">
        <v>8</v>
      </c>
    </row>
    <row r="21" ht="15.75">
      <c r="B21" s="3" t="s">
        <v>7</v>
      </c>
    </row>
    <row r="22" ht="15.75">
      <c r="B22" s="14"/>
    </row>
    <row r="23" ht="15.75">
      <c r="B23" s="14"/>
    </row>
    <row r="24" ht="15.75">
      <c r="A24" s="13" t="s">
        <v>17</v>
      </c>
    </row>
    <row r="26" ht="15.75">
      <c r="B26" s="3" t="s">
        <v>18</v>
      </c>
    </row>
  </sheetData>
  <sheetProtection selectLockedCells="1" selectUnlockedCells="1"/>
  <mergeCells count="1">
    <mergeCell ref="A5:B5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3.421875" style="0" customWidth="1"/>
    <col min="6" max="7" width="12.28125" style="0" customWidth="1"/>
    <col min="8" max="8" width="13.00390625" style="0" customWidth="1"/>
    <col min="9" max="9" width="12.28125" style="0" customWidth="1"/>
  </cols>
  <sheetData>
    <row r="1" spans="3:9" ht="19.5">
      <c r="C1" s="87"/>
      <c r="D1" s="87"/>
      <c r="E1" s="87"/>
      <c r="G1" s="87"/>
      <c r="H1" s="87"/>
      <c r="I1" s="260" t="s">
        <v>509</v>
      </c>
    </row>
    <row r="2" spans="1:9" s="117" customFormat="1" ht="20.25">
      <c r="A2" s="1"/>
      <c r="B2" s="3"/>
      <c r="C2" s="536" t="s">
        <v>5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416</v>
      </c>
      <c r="E4" s="822"/>
      <c r="F4" s="823"/>
      <c r="G4" s="821" t="s">
        <v>477</v>
      </c>
      <c r="H4" s="822"/>
      <c r="I4" s="823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17918</v>
      </c>
      <c r="E6" s="17">
        <v>95887</v>
      </c>
      <c r="F6" s="15">
        <f aca="true" t="shared" si="0" ref="F6:F17">SUM(D6:E6)</f>
        <v>113805</v>
      </c>
      <c r="G6" s="17">
        <f>17918+318</f>
        <v>18236</v>
      </c>
      <c r="H6" s="17">
        <f>95887+1593</f>
        <v>97480</v>
      </c>
      <c r="I6" s="15">
        <f aca="true" t="shared" si="1" ref="I6:I17">SUM(G6:H6)</f>
        <v>115716</v>
      </c>
    </row>
    <row r="7" spans="2:9" s="1" customFormat="1" ht="15.75">
      <c r="B7" s="323" t="s">
        <v>255</v>
      </c>
      <c r="C7" s="90" t="s">
        <v>209</v>
      </c>
      <c r="D7" s="17">
        <v>4269</v>
      </c>
      <c r="E7" s="17">
        <v>27626</v>
      </c>
      <c r="F7" s="15">
        <f t="shared" si="0"/>
        <v>31895</v>
      </c>
      <c r="G7" s="17">
        <f>4269+86</f>
        <v>4355</v>
      </c>
      <c r="H7" s="17">
        <f>27626+432</f>
        <v>28058</v>
      </c>
      <c r="I7" s="15">
        <f t="shared" si="1"/>
        <v>32413</v>
      </c>
    </row>
    <row r="8" spans="2:9" s="1" customFormat="1" ht="15.75">
      <c r="B8" s="323" t="s">
        <v>33</v>
      </c>
      <c r="C8" s="90" t="s">
        <v>210</v>
      </c>
      <c r="D8" s="17">
        <v>4837</v>
      </c>
      <c r="E8" s="17">
        <v>157548</v>
      </c>
      <c r="F8" s="15">
        <f t="shared" si="0"/>
        <v>162385</v>
      </c>
      <c r="G8" s="17">
        <v>4837</v>
      </c>
      <c r="H8" s="17">
        <f>157548+12719</f>
        <v>170267</v>
      </c>
      <c r="I8" s="15">
        <f t="shared" si="1"/>
        <v>175104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27024</v>
      </c>
      <c r="E18" s="94">
        <f t="shared" si="2"/>
        <v>281061</v>
      </c>
      <c r="F18" s="94">
        <f t="shared" si="2"/>
        <v>308085</v>
      </c>
      <c r="G18" s="94">
        <f t="shared" si="2"/>
        <v>27428</v>
      </c>
      <c r="H18" s="94">
        <f t="shared" si="2"/>
        <v>295805</v>
      </c>
      <c r="I18" s="94">
        <f t="shared" si="2"/>
        <v>323233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27024</v>
      </c>
      <c r="E33" s="99">
        <f t="shared" si="6"/>
        <v>281061</v>
      </c>
      <c r="F33" s="99">
        <f t="shared" si="6"/>
        <v>308085</v>
      </c>
      <c r="G33" s="99">
        <f t="shared" si="6"/>
        <v>27428</v>
      </c>
      <c r="H33" s="99">
        <f t="shared" si="6"/>
        <v>295805</v>
      </c>
      <c r="I33" s="99">
        <f t="shared" si="6"/>
        <v>323233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416</v>
      </c>
      <c r="E35" s="822"/>
      <c r="F35" s="823"/>
      <c r="G35" s="821" t="s">
        <v>477</v>
      </c>
      <c r="H35" s="822"/>
      <c r="I35" s="823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/>
      <c r="E38" s="17">
        <v>27190</v>
      </c>
      <c r="F38" s="15">
        <f t="shared" si="7"/>
        <v>27190</v>
      </c>
      <c r="G38" s="17"/>
      <c r="H38" s="17">
        <v>27190</v>
      </c>
      <c r="I38" s="15">
        <f t="shared" si="8"/>
        <v>27190</v>
      </c>
    </row>
    <row r="39" spans="2:9" s="1" customFormat="1" ht="15.75">
      <c r="B39" s="262" t="s">
        <v>33</v>
      </c>
      <c r="C39" s="100" t="s">
        <v>222</v>
      </c>
      <c r="D39" s="17">
        <v>31478</v>
      </c>
      <c r="E39" s="17">
        <v>248464</v>
      </c>
      <c r="F39" s="15">
        <f t="shared" si="7"/>
        <v>279942</v>
      </c>
      <c r="G39" s="17">
        <v>31478</v>
      </c>
      <c r="H39" s="17">
        <v>248464</v>
      </c>
      <c r="I39" s="15">
        <f t="shared" si="8"/>
        <v>279942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/>
      <c r="E45" s="17"/>
      <c r="F45" s="15">
        <f t="shared" si="7"/>
        <v>0</v>
      </c>
      <c r="G45" s="17"/>
      <c r="H45" s="17"/>
      <c r="I45" s="15">
        <f t="shared" si="8"/>
        <v>0</v>
      </c>
    </row>
    <row r="46" spans="2:9" s="1" customFormat="1" ht="15.75">
      <c r="B46" s="262" t="s">
        <v>274</v>
      </c>
      <c r="C46" s="5" t="s">
        <v>226</v>
      </c>
      <c r="D46" s="17"/>
      <c r="E46" s="17">
        <v>50</v>
      </c>
      <c r="F46" s="15">
        <f t="shared" si="7"/>
        <v>50</v>
      </c>
      <c r="G46" s="17"/>
      <c r="H46" s="17">
        <v>50</v>
      </c>
      <c r="I46" s="15">
        <f t="shared" si="8"/>
        <v>50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31478</v>
      </c>
      <c r="E47" s="108">
        <f>SUM(E37:E46)</f>
        <v>275704</v>
      </c>
      <c r="F47" s="108">
        <f t="shared" si="7"/>
        <v>307182</v>
      </c>
      <c r="G47" s="108">
        <f>SUM(G37:G46)</f>
        <v>31478</v>
      </c>
      <c r="H47" s="108">
        <f>SUM(H37:H46)</f>
        <v>275704</v>
      </c>
      <c r="I47" s="108">
        <f t="shared" si="8"/>
        <v>307182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4454</v>
      </c>
      <c r="E48" s="110">
        <f>SUM(E47-E18)</f>
        <v>-5357</v>
      </c>
      <c r="F48" s="110">
        <f t="shared" si="7"/>
        <v>-903</v>
      </c>
      <c r="G48" s="110">
        <f>SUM(G47-G18)</f>
        <v>4050</v>
      </c>
      <c r="H48" s="110">
        <f>SUM(H47-H18)</f>
        <v>-20101</v>
      </c>
      <c r="I48" s="110">
        <f t="shared" si="8"/>
        <v>-16051</v>
      </c>
    </row>
    <row r="49" spans="1:9" s="114" customFormat="1" ht="15.75">
      <c r="A49" s="1"/>
      <c r="B49" s="262" t="s">
        <v>276</v>
      </c>
      <c r="C49" s="104" t="s">
        <v>202</v>
      </c>
      <c r="D49" s="112"/>
      <c r="E49" s="112">
        <v>903</v>
      </c>
      <c r="F49" s="113">
        <f t="shared" si="7"/>
        <v>903</v>
      </c>
      <c r="G49" s="112">
        <f>318+86</f>
        <v>404</v>
      </c>
      <c r="H49" s="112">
        <f>903+12719+1593+432</f>
        <v>15647</v>
      </c>
      <c r="I49" s="113">
        <f t="shared" si="8"/>
        <v>16051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31478</v>
      </c>
      <c r="E51" s="94">
        <f t="shared" si="9"/>
        <v>276607</v>
      </c>
      <c r="F51" s="94">
        <f t="shared" si="9"/>
        <v>308085</v>
      </c>
      <c r="G51" s="94">
        <f t="shared" si="9"/>
        <v>31882</v>
      </c>
      <c r="H51" s="94">
        <f t="shared" si="9"/>
        <v>291351</v>
      </c>
      <c r="I51" s="94">
        <f t="shared" si="9"/>
        <v>323233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31478</v>
      </c>
      <c r="E66" s="99">
        <f t="shared" si="13"/>
        <v>276607</v>
      </c>
      <c r="F66" s="99">
        <f t="shared" si="13"/>
        <v>308085</v>
      </c>
      <c r="G66" s="99">
        <f t="shared" si="13"/>
        <v>31882</v>
      </c>
      <c r="H66" s="99">
        <f t="shared" si="13"/>
        <v>291351</v>
      </c>
      <c r="I66" s="99">
        <f t="shared" si="13"/>
        <v>323233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6.5</v>
      </c>
      <c r="E68" s="494">
        <v>47.5</v>
      </c>
      <c r="F68" s="495">
        <f>SUM(D68:E68)</f>
        <v>54</v>
      </c>
      <c r="G68" s="494">
        <v>6.5</v>
      </c>
      <c r="H68" s="494">
        <v>47.5</v>
      </c>
      <c r="I68" s="495">
        <f>SUM(G68:H68)</f>
        <v>54</v>
      </c>
    </row>
    <row r="69" spans="2:9" s="1" customFormat="1" ht="15.75">
      <c r="B69" s="3"/>
      <c r="C69" s="429" t="s">
        <v>421</v>
      </c>
      <c r="D69" s="494">
        <v>4</v>
      </c>
      <c r="E69" s="494"/>
      <c r="F69" s="495">
        <f>SUM(D69:E69)</f>
        <v>4</v>
      </c>
      <c r="G69" s="494">
        <v>4</v>
      </c>
      <c r="H69" s="494"/>
      <c r="I69" s="495">
        <f>SUM(G69:H69)</f>
        <v>4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+D66-D33</f>
        <v>4454</v>
      </c>
      <c r="E73" s="16">
        <f t="shared" si="14"/>
        <v>-4454</v>
      </c>
      <c r="F73" s="16">
        <f t="shared" si="14"/>
        <v>0</v>
      </c>
      <c r="G73" s="16">
        <f t="shared" si="14"/>
        <v>4454</v>
      </c>
      <c r="H73" s="16">
        <f t="shared" si="14"/>
        <v>-4454</v>
      </c>
      <c r="I73" s="16">
        <f t="shared" si="14"/>
        <v>0</v>
      </c>
    </row>
    <row r="74" spans="2:9" s="1" customFormat="1" ht="15.75">
      <c r="B74" s="3"/>
      <c r="D74" s="16"/>
      <c r="E74" s="16"/>
      <c r="F74" s="16">
        <v>308085</v>
      </c>
      <c r="G74" s="16"/>
      <c r="H74" s="16"/>
      <c r="I74" s="16">
        <v>308085</v>
      </c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35:F35"/>
    <mergeCell ref="G35:I35"/>
    <mergeCell ref="D4:F4"/>
    <mergeCell ref="G4:I4"/>
  </mergeCells>
  <printOptions horizontalCentered="1"/>
  <pageMargins left="0.6692913385826772" right="0.5905511811023623" top="0.7480314960629921" bottom="0.7874015748031497" header="0.5118110236220472" footer="0.5118110236220472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B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3.28125" style="0" customWidth="1"/>
  </cols>
  <sheetData>
    <row r="1" spans="3:9" ht="19.5">
      <c r="C1" s="87"/>
      <c r="D1" s="87"/>
      <c r="E1" s="87"/>
      <c r="G1" s="87"/>
      <c r="H1" s="87"/>
      <c r="I1" s="260" t="s">
        <v>510</v>
      </c>
    </row>
    <row r="2" spans="1:9" s="117" customFormat="1" ht="20.25">
      <c r="A2" s="1"/>
      <c r="B2" s="3"/>
      <c r="C2" s="536" t="s">
        <v>6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416</v>
      </c>
      <c r="E4" s="822"/>
      <c r="F4" s="823"/>
      <c r="G4" s="821" t="s">
        <v>477</v>
      </c>
      <c r="H4" s="822"/>
      <c r="I4" s="823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169600</v>
      </c>
      <c r="E6" s="17">
        <v>12961</v>
      </c>
      <c r="F6" s="15">
        <f aca="true" t="shared" si="0" ref="F6:F17">SUM(D6:E6)</f>
        <v>182561</v>
      </c>
      <c r="G6" s="17">
        <f>169600+2803</f>
        <v>172403</v>
      </c>
      <c r="H6" s="17">
        <v>12961</v>
      </c>
      <c r="I6" s="15">
        <f aca="true" t="shared" si="1" ref="I6:I17">SUM(G6:H6)</f>
        <v>185364</v>
      </c>
    </row>
    <row r="7" spans="2:9" s="1" customFormat="1" ht="15.75">
      <c r="B7" s="323" t="s">
        <v>255</v>
      </c>
      <c r="C7" s="90" t="s">
        <v>209</v>
      </c>
      <c r="D7" s="17">
        <v>45331</v>
      </c>
      <c r="E7" s="17">
        <v>3104</v>
      </c>
      <c r="F7" s="15">
        <f t="shared" si="0"/>
        <v>48435</v>
      </c>
      <c r="G7" s="17">
        <f>45331+757</f>
        <v>46088</v>
      </c>
      <c r="H7" s="17">
        <v>3104</v>
      </c>
      <c r="I7" s="15">
        <f t="shared" si="1"/>
        <v>49192</v>
      </c>
    </row>
    <row r="8" spans="2:9" s="1" customFormat="1" ht="15.75">
      <c r="B8" s="323" t="s">
        <v>33</v>
      </c>
      <c r="C8" s="90" t="s">
        <v>210</v>
      </c>
      <c r="D8" s="17">
        <v>174398</v>
      </c>
      <c r="E8" s="17">
        <v>2872</v>
      </c>
      <c r="F8" s="15">
        <f t="shared" si="0"/>
        <v>177270</v>
      </c>
      <c r="G8" s="17">
        <f>174398+578</f>
        <v>174976</v>
      </c>
      <c r="H8" s="17">
        <v>2872</v>
      </c>
      <c r="I8" s="15">
        <f t="shared" si="1"/>
        <v>177848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389329</v>
      </c>
      <c r="E18" s="94">
        <f t="shared" si="2"/>
        <v>18937</v>
      </c>
      <c r="F18" s="94">
        <f t="shared" si="2"/>
        <v>408266</v>
      </c>
      <c r="G18" s="94">
        <f t="shared" si="2"/>
        <v>393467</v>
      </c>
      <c r="H18" s="94">
        <f t="shared" si="2"/>
        <v>18937</v>
      </c>
      <c r="I18" s="94">
        <f t="shared" si="2"/>
        <v>412404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389329</v>
      </c>
      <c r="E33" s="99">
        <f t="shared" si="6"/>
        <v>18937</v>
      </c>
      <c r="F33" s="99">
        <f t="shared" si="6"/>
        <v>408266</v>
      </c>
      <c r="G33" s="99">
        <f t="shared" si="6"/>
        <v>393467</v>
      </c>
      <c r="H33" s="99">
        <f t="shared" si="6"/>
        <v>18937</v>
      </c>
      <c r="I33" s="99">
        <f t="shared" si="6"/>
        <v>412404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416</v>
      </c>
      <c r="E35" s="822"/>
      <c r="F35" s="823"/>
      <c r="G35" s="821" t="s">
        <v>477</v>
      </c>
      <c r="H35" s="822"/>
      <c r="I35" s="823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133082</v>
      </c>
      <c r="E38" s="17">
        <v>1381</v>
      </c>
      <c r="F38" s="15">
        <f t="shared" si="7"/>
        <v>134463</v>
      </c>
      <c r="G38" s="17">
        <v>133082</v>
      </c>
      <c r="H38" s="17">
        <v>1381</v>
      </c>
      <c r="I38" s="15">
        <f t="shared" si="8"/>
        <v>134463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49</v>
      </c>
      <c r="C40" s="100" t="s">
        <v>223</v>
      </c>
      <c r="D40" s="17">
        <v>3863</v>
      </c>
      <c r="E40" s="17"/>
      <c r="F40" s="15">
        <f t="shared" si="7"/>
        <v>3863</v>
      </c>
      <c r="G40" s="17">
        <v>3863</v>
      </c>
      <c r="H40" s="17"/>
      <c r="I40" s="15">
        <f t="shared" si="8"/>
        <v>3863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229173</v>
      </c>
      <c r="E45" s="17"/>
      <c r="F45" s="15">
        <f t="shared" si="7"/>
        <v>229173</v>
      </c>
      <c r="G45" s="17">
        <f>229173+3560</f>
        <v>232733</v>
      </c>
      <c r="H45" s="17"/>
      <c r="I45" s="15">
        <f t="shared" si="8"/>
        <v>232733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366118</v>
      </c>
      <c r="E47" s="108">
        <f>SUM(E37:E46)</f>
        <v>1381</v>
      </c>
      <c r="F47" s="108">
        <f t="shared" si="7"/>
        <v>367499</v>
      </c>
      <c r="G47" s="108">
        <f>SUM(G37:G46)</f>
        <v>369678</v>
      </c>
      <c r="H47" s="108">
        <f>SUM(H37:H46)</f>
        <v>1381</v>
      </c>
      <c r="I47" s="108">
        <f t="shared" si="8"/>
        <v>371059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-23211</v>
      </c>
      <c r="E48" s="110">
        <f>SUM(E47-E18)</f>
        <v>-17556</v>
      </c>
      <c r="F48" s="110">
        <f t="shared" si="7"/>
        <v>-40767</v>
      </c>
      <c r="G48" s="110">
        <f>SUM(G47-G18)</f>
        <v>-23789</v>
      </c>
      <c r="H48" s="110">
        <f>SUM(H47-H18)</f>
        <v>-17556</v>
      </c>
      <c r="I48" s="110">
        <f t="shared" si="8"/>
        <v>-41345</v>
      </c>
    </row>
    <row r="49" spans="1:9" s="114" customFormat="1" ht="15.75">
      <c r="A49" s="1"/>
      <c r="B49" s="262" t="s">
        <v>276</v>
      </c>
      <c r="C49" s="104" t="s">
        <v>202</v>
      </c>
      <c r="D49" s="112">
        <v>23211</v>
      </c>
      <c r="E49" s="112">
        <v>17556</v>
      </c>
      <c r="F49" s="113">
        <f t="shared" si="7"/>
        <v>40767</v>
      </c>
      <c r="G49" s="112">
        <f>23211+578</f>
        <v>23789</v>
      </c>
      <c r="H49" s="112">
        <v>17556</v>
      </c>
      <c r="I49" s="113">
        <f t="shared" si="8"/>
        <v>41345</v>
      </c>
    </row>
    <row r="50" spans="1:9" s="114" customFormat="1" ht="15.75">
      <c r="A50" s="1"/>
      <c r="B50" s="262"/>
      <c r="C50" s="105" t="s">
        <v>441</v>
      </c>
      <c r="D50" s="489">
        <f>+'3 Műk Bev'!E94</f>
        <v>1779</v>
      </c>
      <c r="E50" s="489">
        <f>+'3 Műk Bev'!E87+'3 Műk Bev'!E88+'3 Műk Bev'!E93+'3 Műk Bev'!E91</f>
        <v>18000</v>
      </c>
      <c r="F50" s="467"/>
      <c r="G50" s="489">
        <f>+'3 Műk Bev'!F94</f>
        <v>1779</v>
      </c>
      <c r="H50" s="489">
        <f>+'3 Műk Bev'!F87+'3 Műk Bev'!F88+'3 Műk Bev'!F93+'3 Műk Bev'!F91</f>
        <v>18000</v>
      </c>
      <c r="I50" s="467"/>
    </row>
    <row r="51" spans="2:9" s="1" customFormat="1" ht="15.75">
      <c r="B51" s="262" t="s">
        <v>277</v>
      </c>
      <c r="C51" s="8" t="s">
        <v>227</v>
      </c>
      <c r="D51" s="17"/>
      <c r="E51" s="17"/>
      <c r="F51" s="15">
        <f t="shared" si="7"/>
        <v>0</v>
      </c>
      <c r="G51" s="17"/>
      <c r="H51" s="17"/>
      <c r="I51" s="15">
        <f>SUM(G51:H51)</f>
        <v>0</v>
      </c>
    </row>
    <row r="52" spans="2:9" s="1" customFormat="1" ht="15.75">
      <c r="B52" s="262" t="s">
        <v>279</v>
      </c>
      <c r="C52" s="93" t="s">
        <v>238</v>
      </c>
      <c r="D52" s="94">
        <f aca="true" t="shared" si="9" ref="D52:I52">SUM(D47,D49,D51)</f>
        <v>389329</v>
      </c>
      <c r="E52" s="94">
        <f t="shared" si="9"/>
        <v>18937</v>
      </c>
      <c r="F52" s="94">
        <f t="shared" si="9"/>
        <v>408266</v>
      </c>
      <c r="G52" s="94">
        <f t="shared" si="9"/>
        <v>393467</v>
      </c>
      <c r="H52" s="94">
        <f t="shared" si="9"/>
        <v>18937</v>
      </c>
      <c r="I52" s="94">
        <f t="shared" si="9"/>
        <v>412404</v>
      </c>
    </row>
    <row r="53" spans="2:9" s="1" customFormat="1" ht="15.75">
      <c r="B53" s="262" t="s">
        <v>280</v>
      </c>
      <c r="C53" s="100" t="s">
        <v>228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281</v>
      </c>
      <c r="C54" s="100" t="s">
        <v>229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282</v>
      </c>
      <c r="C55" s="100" t="s">
        <v>230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283</v>
      </c>
      <c r="C56" s="100" t="s">
        <v>231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284</v>
      </c>
      <c r="C57" s="100" t="s">
        <v>232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285</v>
      </c>
      <c r="C58" s="8" t="s">
        <v>233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286</v>
      </c>
      <c r="C59" s="5" t="s">
        <v>234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287</v>
      </c>
      <c r="C60" s="102" t="s">
        <v>203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288</v>
      </c>
      <c r="C61" s="103" t="s">
        <v>244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289</v>
      </c>
      <c r="C62" s="104" t="s">
        <v>204</v>
      </c>
      <c r="D62" s="112"/>
      <c r="E62" s="112">
        <v>0</v>
      </c>
      <c r="F62" s="113">
        <f t="shared" si="10"/>
        <v>0</v>
      </c>
      <c r="G62" s="112"/>
      <c r="H62" s="112">
        <v>0</v>
      </c>
      <c r="I62" s="113">
        <f t="shared" si="11"/>
        <v>0</v>
      </c>
    </row>
    <row r="63" spans="2:9" s="1" customFormat="1" ht="15.75">
      <c r="B63" s="262" t="s">
        <v>290</v>
      </c>
      <c r="C63" s="100" t="s">
        <v>235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350</v>
      </c>
      <c r="C64" s="105" t="s">
        <v>205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351</v>
      </c>
      <c r="C65" s="105" t="s">
        <v>206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291</v>
      </c>
      <c r="C66" s="93" t="s">
        <v>239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292</v>
      </c>
      <c r="C67" s="106" t="s">
        <v>207</v>
      </c>
      <c r="D67" s="99">
        <f aca="true" t="shared" si="13" ref="D67:I67">SUM(D52,D66)</f>
        <v>389329</v>
      </c>
      <c r="E67" s="99">
        <f t="shared" si="13"/>
        <v>18937</v>
      </c>
      <c r="F67" s="99">
        <f t="shared" si="13"/>
        <v>408266</v>
      </c>
      <c r="G67" s="99">
        <f t="shared" si="13"/>
        <v>393467</v>
      </c>
      <c r="H67" s="99">
        <f t="shared" si="13"/>
        <v>18937</v>
      </c>
      <c r="I67" s="99">
        <f t="shared" si="13"/>
        <v>412404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420</v>
      </c>
      <c r="D69" s="494">
        <v>93</v>
      </c>
      <c r="E69" s="494">
        <v>4</v>
      </c>
      <c r="F69" s="495">
        <f>SUM(D69:E69)</f>
        <v>97</v>
      </c>
      <c r="G69" s="494">
        <v>93</v>
      </c>
      <c r="H69" s="494">
        <v>4</v>
      </c>
      <c r="I69" s="495">
        <f>SUM(G69:H69)</f>
        <v>97</v>
      </c>
    </row>
    <row r="70" spans="2:9" s="1" customFormat="1" ht="15.75">
      <c r="B70" s="3"/>
      <c r="C70" s="429" t="s">
        <v>421</v>
      </c>
      <c r="D70" s="494">
        <v>9</v>
      </c>
      <c r="E70" s="494"/>
      <c r="F70" s="495">
        <f>SUM(D70:E70)</f>
        <v>9</v>
      </c>
      <c r="G70" s="494">
        <v>9</v>
      </c>
      <c r="H70" s="494"/>
      <c r="I70" s="495">
        <f>SUM(G70:H70)</f>
        <v>9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874015748031497" right="0.5118110236220472" top="0.7874015748031497" bottom="0.7086614173228347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2.7109375" style="0" customWidth="1"/>
  </cols>
  <sheetData>
    <row r="1" spans="3:9" ht="19.5">
      <c r="C1" s="87"/>
      <c r="D1" s="87"/>
      <c r="E1" s="87"/>
      <c r="G1" s="87"/>
      <c r="H1" s="87"/>
      <c r="I1" s="260" t="s">
        <v>511</v>
      </c>
    </row>
    <row r="2" spans="1:9" s="117" customFormat="1" ht="20.25">
      <c r="A2" s="1"/>
      <c r="B2" s="3"/>
      <c r="C2" s="536" t="s">
        <v>9</v>
      </c>
      <c r="F2" s="10"/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416</v>
      </c>
      <c r="E4" s="822"/>
      <c r="F4" s="823"/>
      <c r="G4" s="821" t="s">
        <v>477</v>
      </c>
      <c r="H4" s="822"/>
      <c r="I4" s="823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180292</v>
      </c>
      <c r="E6" s="17">
        <v>0</v>
      </c>
      <c r="F6" s="15">
        <f aca="true" t="shared" si="0" ref="F6:F17">SUM(D6:E6)</f>
        <v>180292</v>
      </c>
      <c r="G6" s="17">
        <v>183200</v>
      </c>
      <c r="H6" s="17">
        <v>1686</v>
      </c>
      <c r="I6" s="15">
        <f aca="true" t="shared" si="1" ref="I6:I17">SUM(G6:H6)</f>
        <v>184886</v>
      </c>
    </row>
    <row r="7" spans="2:9" s="1" customFormat="1" ht="15.75">
      <c r="B7" s="323" t="s">
        <v>255</v>
      </c>
      <c r="C7" s="90" t="s">
        <v>209</v>
      </c>
      <c r="D7" s="17">
        <v>49068</v>
      </c>
      <c r="E7" s="17">
        <v>0</v>
      </c>
      <c r="F7" s="15">
        <f t="shared" si="0"/>
        <v>49068</v>
      </c>
      <c r="G7" s="17">
        <v>49859</v>
      </c>
      <c r="H7" s="17">
        <v>371</v>
      </c>
      <c r="I7" s="15">
        <f t="shared" si="1"/>
        <v>50230</v>
      </c>
    </row>
    <row r="8" spans="2:9" s="1" customFormat="1" ht="15.75">
      <c r="B8" s="323" t="s">
        <v>33</v>
      </c>
      <c r="C8" s="90" t="s">
        <v>210</v>
      </c>
      <c r="D8" s="17">
        <v>171477</v>
      </c>
      <c r="E8" s="17">
        <v>0</v>
      </c>
      <c r="F8" s="15">
        <f t="shared" si="0"/>
        <v>171477</v>
      </c>
      <c r="G8" s="17">
        <v>179716</v>
      </c>
      <c r="H8" s="17">
        <v>322</v>
      </c>
      <c r="I8" s="15">
        <f t="shared" si="1"/>
        <v>180038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33053</v>
      </c>
      <c r="I10" s="15">
        <f t="shared" si="1"/>
        <v>33053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>
        <v>12626</v>
      </c>
      <c r="I13" s="15">
        <f t="shared" si="1"/>
        <v>12626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>
        <v>20427</v>
      </c>
      <c r="I14" s="15">
        <f t="shared" si="1"/>
        <v>20427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400837</v>
      </c>
      <c r="E18" s="94">
        <f t="shared" si="2"/>
        <v>0</v>
      </c>
      <c r="F18" s="94">
        <f t="shared" si="2"/>
        <v>400837</v>
      </c>
      <c r="G18" s="94">
        <f t="shared" si="2"/>
        <v>412775</v>
      </c>
      <c r="H18" s="94">
        <f t="shared" si="2"/>
        <v>35432</v>
      </c>
      <c r="I18" s="94">
        <f t="shared" si="2"/>
        <v>448207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400837</v>
      </c>
      <c r="E33" s="99">
        <f t="shared" si="6"/>
        <v>0</v>
      </c>
      <c r="F33" s="99">
        <f t="shared" si="6"/>
        <v>400837</v>
      </c>
      <c r="G33" s="99">
        <f t="shared" si="6"/>
        <v>412775</v>
      </c>
      <c r="H33" s="99">
        <f t="shared" si="6"/>
        <v>35432</v>
      </c>
      <c r="I33" s="99">
        <f t="shared" si="6"/>
        <v>448207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416</v>
      </c>
      <c r="E35" s="822"/>
      <c r="F35" s="823"/>
      <c r="G35" s="821" t="s">
        <v>477</v>
      </c>
      <c r="H35" s="822"/>
      <c r="I35" s="823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62902</v>
      </c>
      <c r="E38" s="17"/>
      <c r="F38" s="15">
        <f t="shared" si="7"/>
        <v>62902</v>
      </c>
      <c r="G38" s="17">
        <f>62902-584</f>
        <v>62318</v>
      </c>
      <c r="H38" s="17"/>
      <c r="I38" s="15">
        <f t="shared" si="8"/>
        <v>62318</v>
      </c>
    </row>
    <row r="39" spans="2:9" s="1" customFormat="1" ht="15.75">
      <c r="B39" s="262" t="s">
        <v>33</v>
      </c>
      <c r="C39" s="100" t="s">
        <v>222</v>
      </c>
      <c r="D39" s="17">
        <v>3007</v>
      </c>
      <c r="E39" s="17"/>
      <c r="F39" s="15">
        <f t="shared" si="7"/>
        <v>3007</v>
      </c>
      <c r="G39" s="17">
        <v>3007</v>
      </c>
      <c r="H39" s="17"/>
      <c r="I39" s="15">
        <f t="shared" si="8"/>
        <v>3007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291388</v>
      </c>
      <c r="E45" s="17"/>
      <c r="F45" s="15">
        <f t="shared" si="7"/>
        <v>291388</v>
      </c>
      <c r="G45" s="17">
        <f>291388+2381+5293</f>
        <v>299062</v>
      </c>
      <c r="H45" s="17"/>
      <c r="I45" s="15">
        <f t="shared" si="8"/>
        <v>299062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357297</v>
      </c>
      <c r="E47" s="108">
        <f>SUM(E37:E46)</f>
        <v>0</v>
      </c>
      <c r="F47" s="108">
        <f t="shared" si="7"/>
        <v>357297</v>
      </c>
      <c r="G47" s="108">
        <f>SUM(G37:G46)</f>
        <v>364387</v>
      </c>
      <c r="H47" s="108">
        <f>SUM(H37:H46)</f>
        <v>0</v>
      </c>
      <c r="I47" s="108">
        <f t="shared" si="8"/>
        <v>364387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-43540</v>
      </c>
      <c r="E48" s="110">
        <f>SUM(E47-E18)</f>
        <v>0</v>
      </c>
      <c r="F48" s="110">
        <f t="shared" si="7"/>
        <v>-43540</v>
      </c>
      <c r="G48" s="110">
        <f>SUM(G47-G18)</f>
        <v>-48388</v>
      </c>
      <c r="H48" s="110">
        <f>SUM(H47-H18)</f>
        <v>-35432</v>
      </c>
      <c r="I48" s="110">
        <f t="shared" si="8"/>
        <v>-83820</v>
      </c>
    </row>
    <row r="49" spans="1:9" s="114" customFormat="1" ht="15.75">
      <c r="A49" s="1"/>
      <c r="B49" s="262" t="s">
        <v>276</v>
      </c>
      <c r="C49" s="104" t="s">
        <v>202</v>
      </c>
      <c r="D49" s="112">
        <f>1284+42256</f>
        <v>43540</v>
      </c>
      <c r="E49" s="112"/>
      <c r="F49" s="113">
        <f t="shared" si="7"/>
        <v>43540</v>
      </c>
      <c r="G49" s="112">
        <f>1284+42256+150-707</f>
        <v>42983</v>
      </c>
      <c r="H49" s="112"/>
      <c r="I49" s="113">
        <f t="shared" si="8"/>
        <v>42983</v>
      </c>
    </row>
    <row r="50" spans="1:9" s="114" customFormat="1" ht="15.75">
      <c r="A50" s="1"/>
      <c r="B50" s="262"/>
      <c r="C50" s="105" t="s">
        <v>453</v>
      </c>
      <c r="D50" s="489">
        <f>+'3 Műk Bev'!E97</f>
        <v>4502</v>
      </c>
      <c r="E50" s="489"/>
      <c r="F50" s="467"/>
      <c r="G50" s="489">
        <f>+'3 Műk Bev'!F97</f>
        <v>4502</v>
      </c>
      <c r="H50" s="489"/>
      <c r="I50" s="467"/>
    </row>
    <row r="51" spans="2:9" s="1" customFormat="1" ht="15.75">
      <c r="B51" s="262" t="s">
        <v>277</v>
      </c>
      <c r="C51" s="8" t="s">
        <v>227</v>
      </c>
      <c r="D51" s="17"/>
      <c r="E51" s="17"/>
      <c r="F51" s="15">
        <f t="shared" si="7"/>
        <v>0</v>
      </c>
      <c r="G51" s="17">
        <v>5405</v>
      </c>
      <c r="H51" s="17">
        <v>35432</v>
      </c>
      <c r="I51" s="15">
        <f>SUM(G51:H51)</f>
        <v>40837</v>
      </c>
    </row>
    <row r="52" spans="2:9" s="1" customFormat="1" ht="15.75">
      <c r="B52" s="262" t="s">
        <v>279</v>
      </c>
      <c r="C52" s="93" t="s">
        <v>238</v>
      </c>
      <c r="D52" s="94">
        <f aca="true" t="shared" si="9" ref="D52:I52">SUM(D47,D49,D51)</f>
        <v>400837</v>
      </c>
      <c r="E52" s="94">
        <f t="shared" si="9"/>
        <v>0</v>
      </c>
      <c r="F52" s="94">
        <f t="shared" si="9"/>
        <v>400837</v>
      </c>
      <c r="G52" s="94">
        <f t="shared" si="9"/>
        <v>412775</v>
      </c>
      <c r="H52" s="94">
        <f t="shared" si="9"/>
        <v>35432</v>
      </c>
      <c r="I52" s="94">
        <f t="shared" si="9"/>
        <v>448207</v>
      </c>
    </row>
    <row r="53" spans="2:9" s="1" customFormat="1" ht="15.75">
      <c r="B53" s="262" t="s">
        <v>280</v>
      </c>
      <c r="C53" s="100" t="s">
        <v>228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281</v>
      </c>
      <c r="C54" s="100" t="s">
        <v>229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282</v>
      </c>
      <c r="C55" s="100" t="s">
        <v>230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283</v>
      </c>
      <c r="C56" s="100" t="s">
        <v>231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284</v>
      </c>
      <c r="C57" s="100" t="s">
        <v>232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285</v>
      </c>
      <c r="C58" s="8" t="s">
        <v>233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286</v>
      </c>
      <c r="C59" s="5" t="s">
        <v>234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287</v>
      </c>
      <c r="C60" s="102" t="s">
        <v>203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288</v>
      </c>
      <c r="C61" s="103" t="s">
        <v>244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289</v>
      </c>
      <c r="C62" s="104" t="s">
        <v>204</v>
      </c>
      <c r="D62" s="112"/>
      <c r="E62" s="112"/>
      <c r="F62" s="113">
        <f t="shared" si="10"/>
        <v>0</v>
      </c>
      <c r="G62" s="112"/>
      <c r="H62" s="112"/>
      <c r="I62" s="113">
        <f t="shared" si="11"/>
        <v>0</v>
      </c>
    </row>
    <row r="63" spans="2:9" s="1" customFormat="1" ht="15.75">
      <c r="B63" s="262" t="s">
        <v>290</v>
      </c>
      <c r="C63" s="100" t="s">
        <v>235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350</v>
      </c>
      <c r="C64" s="105" t="s">
        <v>205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351</v>
      </c>
      <c r="C65" s="105" t="s">
        <v>206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291</v>
      </c>
      <c r="C66" s="93" t="s">
        <v>239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292</v>
      </c>
      <c r="C67" s="106" t="s">
        <v>207</v>
      </c>
      <c r="D67" s="99">
        <f aca="true" t="shared" si="13" ref="D67:I67">SUM(D52,D66)</f>
        <v>400837</v>
      </c>
      <c r="E67" s="99">
        <f t="shared" si="13"/>
        <v>0</v>
      </c>
      <c r="F67" s="99">
        <f t="shared" si="13"/>
        <v>400837</v>
      </c>
      <c r="G67" s="99">
        <f t="shared" si="13"/>
        <v>412775</v>
      </c>
      <c r="H67" s="99">
        <f t="shared" si="13"/>
        <v>35432</v>
      </c>
      <c r="I67" s="99">
        <f t="shared" si="13"/>
        <v>448207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420</v>
      </c>
      <c r="D69" s="498">
        <f>112-7.5</f>
        <v>104.5</v>
      </c>
      <c r="E69" s="498"/>
      <c r="F69" s="499">
        <f>SUM(D69:E69)</f>
        <v>104.5</v>
      </c>
      <c r="G69" s="498">
        <f>112-7.5</f>
        <v>104.5</v>
      </c>
      <c r="H69" s="498"/>
      <c r="I69" s="499">
        <f>SUM(G69:H69)</f>
        <v>104.5</v>
      </c>
    </row>
    <row r="70" spans="2:9" s="1" customFormat="1" ht="15.75">
      <c r="B70" s="3"/>
      <c r="C70" s="429" t="s">
        <v>421</v>
      </c>
      <c r="D70" s="498">
        <v>7.5</v>
      </c>
      <c r="E70" s="498"/>
      <c r="F70" s="499">
        <f>SUM(D70:E70)</f>
        <v>7.5</v>
      </c>
      <c r="G70" s="498">
        <v>7.5</v>
      </c>
      <c r="H70" s="498"/>
      <c r="I70" s="499">
        <f>SUM(G70:H70)</f>
        <v>7.5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9" s="1" customFormat="1" ht="15.75">
      <c r="B84" s="3"/>
      <c r="D84" s="16"/>
      <c r="E84" s="16"/>
      <c r="F84" s="16"/>
      <c r="G84" s="16"/>
      <c r="H84" s="16"/>
      <c r="I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480314960629921" right="0.4724409448818898" top="0.7480314960629921" bottom="0.6299212598425197" header="0.5118110236220472" footer="0.37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2.7109375" style="0" customWidth="1"/>
    <col min="6" max="7" width="12.28125" style="0" customWidth="1"/>
    <col min="8" max="8" width="12.8515625" style="0" customWidth="1"/>
    <col min="9" max="9" width="12.28125" style="0" customWidth="1"/>
  </cols>
  <sheetData>
    <row r="1" spans="3:9" ht="19.5">
      <c r="C1" s="87"/>
      <c r="D1" s="87"/>
      <c r="E1" s="87"/>
      <c r="G1" s="87"/>
      <c r="H1" s="87"/>
      <c r="I1" s="260" t="s">
        <v>512</v>
      </c>
    </row>
    <row r="2" spans="1:9" s="117" customFormat="1" ht="38.25" customHeight="1">
      <c r="A2" s="1"/>
      <c r="B2" s="3"/>
      <c r="C2" s="536" t="s">
        <v>8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416</v>
      </c>
      <c r="E4" s="822"/>
      <c r="F4" s="823"/>
      <c r="G4" s="821" t="s">
        <v>477</v>
      </c>
      <c r="H4" s="822"/>
      <c r="I4" s="823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f>19647+871</f>
        <v>20518</v>
      </c>
      <c r="E6" s="17"/>
      <c r="F6" s="15">
        <f aca="true" t="shared" si="0" ref="F6:F17">SUM(D6:E6)</f>
        <v>20518</v>
      </c>
      <c r="G6" s="17">
        <f>19647+871+207</f>
        <v>20725</v>
      </c>
      <c r="H6" s="17"/>
      <c r="I6" s="15">
        <f aca="true" t="shared" si="1" ref="I6:I17">SUM(G6:H6)</f>
        <v>20725</v>
      </c>
    </row>
    <row r="7" spans="2:9" s="1" customFormat="1" ht="15.75">
      <c r="B7" s="323" t="s">
        <v>255</v>
      </c>
      <c r="C7" s="90" t="s">
        <v>209</v>
      </c>
      <c r="D7" s="17">
        <f>5476+235</f>
        <v>5711</v>
      </c>
      <c r="E7" s="17"/>
      <c r="F7" s="15">
        <f t="shared" si="0"/>
        <v>5711</v>
      </c>
      <c r="G7" s="17">
        <f>5476+235+56</f>
        <v>5767</v>
      </c>
      <c r="H7" s="17"/>
      <c r="I7" s="15">
        <f t="shared" si="1"/>
        <v>5767</v>
      </c>
    </row>
    <row r="8" spans="2:9" s="1" customFormat="1" ht="15.75">
      <c r="B8" s="323" t="s">
        <v>33</v>
      </c>
      <c r="C8" s="90" t="s">
        <v>210</v>
      </c>
      <c r="D8" s="17">
        <f>11858+76+20</f>
        <v>11954</v>
      </c>
      <c r="E8" s="17"/>
      <c r="F8" s="15">
        <f t="shared" si="0"/>
        <v>11954</v>
      </c>
      <c r="G8" s="17">
        <f>11858+76+20+150+2193+52</f>
        <v>14349</v>
      </c>
      <c r="H8" s="17"/>
      <c r="I8" s="15">
        <f t="shared" si="1"/>
        <v>14349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38183</v>
      </c>
      <c r="E18" s="94">
        <f t="shared" si="2"/>
        <v>0</v>
      </c>
      <c r="F18" s="94">
        <f t="shared" si="2"/>
        <v>38183</v>
      </c>
      <c r="G18" s="94">
        <f t="shared" si="2"/>
        <v>40841</v>
      </c>
      <c r="H18" s="94">
        <f t="shared" si="2"/>
        <v>0</v>
      </c>
      <c r="I18" s="94">
        <f t="shared" si="2"/>
        <v>40841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38183</v>
      </c>
      <c r="E33" s="99">
        <f t="shared" si="6"/>
        <v>0</v>
      </c>
      <c r="F33" s="99">
        <f t="shared" si="6"/>
        <v>38183</v>
      </c>
      <c r="G33" s="99">
        <f t="shared" si="6"/>
        <v>40841</v>
      </c>
      <c r="H33" s="99">
        <f t="shared" si="6"/>
        <v>0</v>
      </c>
      <c r="I33" s="99">
        <f t="shared" si="6"/>
        <v>40841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416</v>
      </c>
      <c r="E35" s="822"/>
      <c r="F35" s="823"/>
      <c r="G35" s="821" t="s">
        <v>477</v>
      </c>
      <c r="H35" s="822"/>
      <c r="I35" s="823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f>6594+1106</f>
        <v>7700</v>
      </c>
      <c r="E38" s="17"/>
      <c r="F38" s="15">
        <f t="shared" si="7"/>
        <v>7700</v>
      </c>
      <c r="G38" s="17">
        <v>6646</v>
      </c>
      <c r="H38" s="17"/>
      <c r="I38" s="15">
        <f t="shared" si="8"/>
        <v>6646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>
        <v>1106</v>
      </c>
      <c r="H39" s="17"/>
      <c r="I39" s="15">
        <f t="shared" si="8"/>
        <v>1106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6597</v>
      </c>
      <c r="E45" s="17"/>
      <c r="F45" s="15">
        <f t="shared" si="7"/>
        <v>6597</v>
      </c>
      <c r="G45" s="17">
        <f>6597+263</f>
        <v>6860</v>
      </c>
      <c r="H45" s="17"/>
      <c r="I45" s="15">
        <f t="shared" si="8"/>
        <v>6860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14297</v>
      </c>
      <c r="E47" s="108">
        <f>SUM(E37:E46)</f>
        <v>0</v>
      </c>
      <c r="F47" s="108">
        <f t="shared" si="7"/>
        <v>14297</v>
      </c>
      <c r="G47" s="108">
        <f>SUM(G37:G46)</f>
        <v>14612</v>
      </c>
      <c r="H47" s="108">
        <f>SUM(H37:H46)</f>
        <v>0</v>
      </c>
      <c r="I47" s="108">
        <f t="shared" si="8"/>
        <v>14612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-23886</v>
      </c>
      <c r="E48" s="110">
        <f>SUM(E47-E18)</f>
        <v>0</v>
      </c>
      <c r="F48" s="110">
        <f t="shared" si="7"/>
        <v>-23886</v>
      </c>
      <c r="G48" s="110">
        <f>SUM(G47-G18)</f>
        <v>-26229</v>
      </c>
      <c r="H48" s="110">
        <f>SUM(H47-H18)</f>
        <v>0</v>
      </c>
      <c r="I48" s="110">
        <f t="shared" si="8"/>
        <v>-26229</v>
      </c>
    </row>
    <row r="49" spans="1:9" s="114" customFormat="1" ht="15.75">
      <c r="A49" s="1"/>
      <c r="B49" s="262" t="s">
        <v>276</v>
      </c>
      <c r="C49" s="104" t="s">
        <v>202</v>
      </c>
      <c r="D49" s="112">
        <f>23790+76+20</f>
        <v>23886</v>
      </c>
      <c r="E49" s="112"/>
      <c r="F49" s="113">
        <f t="shared" si="7"/>
        <v>23886</v>
      </c>
      <c r="G49" s="112">
        <f>23790+76+20+150+2193</f>
        <v>26229</v>
      </c>
      <c r="H49" s="112"/>
      <c r="I49" s="113">
        <f t="shared" si="8"/>
        <v>26229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38183</v>
      </c>
      <c r="E51" s="94">
        <f t="shared" si="9"/>
        <v>0</v>
      </c>
      <c r="F51" s="94">
        <f t="shared" si="9"/>
        <v>38183</v>
      </c>
      <c r="G51" s="94">
        <f t="shared" si="9"/>
        <v>40841</v>
      </c>
      <c r="H51" s="94">
        <f t="shared" si="9"/>
        <v>0</v>
      </c>
      <c r="I51" s="94">
        <f t="shared" si="9"/>
        <v>40841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38183</v>
      </c>
      <c r="E66" s="99">
        <f t="shared" si="13"/>
        <v>0</v>
      </c>
      <c r="F66" s="99">
        <f t="shared" si="13"/>
        <v>38183</v>
      </c>
      <c r="G66" s="99">
        <f t="shared" si="13"/>
        <v>40841</v>
      </c>
      <c r="H66" s="99">
        <f t="shared" si="13"/>
        <v>0</v>
      </c>
      <c r="I66" s="99">
        <f t="shared" si="13"/>
        <v>40841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9</v>
      </c>
      <c r="E68" s="494"/>
      <c r="F68" s="495">
        <f>SUM(D68:E68)</f>
        <v>9</v>
      </c>
      <c r="G68" s="494">
        <v>9</v>
      </c>
      <c r="H68" s="494"/>
      <c r="I68" s="495">
        <f>SUM(G68:H68)</f>
        <v>9</v>
      </c>
    </row>
    <row r="69" spans="2:9" s="1" customFormat="1" ht="15.75">
      <c r="B69" s="3"/>
      <c r="C69" s="429" t="s">
        <v>421</v>
      </c>
      <c r="D69" s="494">
        <v>1</v>
      </c>
      <c r="E69" s="494"/>
      <c r="F69" s="495">
        <f>SUM(D69:E69)</f>
        <v>1</v>
      </c>
      <c r="G69" s="494">
        <v>1</v>
      </c>
      <c r="H69" s="494"/>
      <c r="I69" s="495">
        <f>SUM(G69:H69)</f>
        <v>1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6" s="1" customFormat="1" ht="15.75">
      <c r="B73" s="3"/>
      <c r="D73" s="16"/>
      <c r="E73" s="16"/>
      <c r="F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67" bottom="0.7480314960629921" header="0.5118110236220472" footer="0.5118110236220472"/>
  <pageSetup horizontalDpi="600" verticalDpi="600" orientation="portrait" paperSize="9" scale="5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421875" style="0" customWidth="1"/>
    <col min="5" max="5" width="13.140625" style="0" customWidth="1"/>
    <col min="6" max="7" width="12.421875" style="0" customWidth="1"/>
    <col min="8" max="8" width="13.140625" style="0" customWidth="1"/>
    <col min="9" max="9" width="12.421875" style="0" customWidth="1"/>
  </cols>
  <sheetData>
    <row r="1" spans="3:9" ht="19.5">
      <c r="C1" s="87"/>
      <c r="D1" s="87"/>
      <c r="E1" s="87"/>
      <c r="G1" s="87"/>
      <c r="H1" s="87"/>
      <c r="I1" s="260" t="s">
        <v>513</v>
      </c>
    </row>
    <row r="2" spans="1:9" s="117" customFormat="1" ht="20.25">
      <c r="A2" s="1"/>
      <c r="B2" s="3"/>
      <c r="C2" s="536" t="s">
        <v>7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416</v>
      </c>
      <c r="E4" s="822"/>
      <c r="F4" s="823"/>
      <c r="G4" s="821" t="s">
        <v>477</v>
      </c>
      <c r="H4" s="822"/>
      <c r="I4" s="823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15151</v>
      </c>
      <c r="E6" s="17">
        <f>4921+1205+508</f>
        <v>6634</v>
      </c>
      <c r="F6" s="15">
        <f aca="true" t="shared" si="0" ref="F6:F17">SUM(D6:E6)</f>
        <v>21785</v>
      </c>
      <c r="G6" s="17">
        <f>15151+323</f>
        <v>15474</v>
      </c>
      <c r="H6" s="17">
        <f>4921+1205+508</f>
        <v>6634</v>
      </c>
      <c r="I6" s="15">
        <f aca="true" t="shared" si="1" ref="I6:I17">SUM(G6:H6)</f>
        <v>22108</v>
      </c>
    </row>
    <row r="7" spans="2:9" s="1" customFormat="1" ht="15.75">
      <c r="B7" s="323" t="s">
        <v>255</v>
      </c>
      <c r="C7" s="90" t="s">
        <v>209</v>
      </c>
      <c r="D7" s="17">
        <v>4221</v>
      </c>
      <c r="E7" s="17">
        <f>1329+325</f>
        <v>1654</v>
      </c>
      <c r="F7" s="15">
        <f t="shared" si="0"/>
        <v>5875</v>
      </c>
      <c r="G7" s="17">
        <f>4221+87</f>
        <v>4308</v>
      </c>
      <c r="H7" s="17">
        <f>1329+325</f>
        <v>1654</v>
      </c>
      <c r="I7" s="15">
        <f t="shared" si="1"/>
        <v>5962</v>
      </c>
    </row>
    <row r="8" spans="2:9" s="1" customFormat="1" ht="15.75">
      <c r="B8" s="323" t="s">
        <v>33</v>
      </c>
      <c r="C8" s="90" t="s">
        <v>210</v>
      </c>
      <c r="D8" s="17">
        <f>2020+6717-1238</f>
        <v>7499</v>
      </c>
      <c r="E8" s="17">
        <f>10978+1526</f>
        <v>12504</v>
      </c>
      <c r="F8" s="15">
        <f t="shared" si="0"/>
        <v>20003</v>
      </c>
      <c r="G8" s="17">
        <f>2020+6717-1238</f>
        <v>7499</v>
      </c>
      <c r="H8" s="17">
        <f>10978+1526</f>
        <v>12504</v>
      </c>
      <c r="I8" s="15">
        <f t="shared" si="1"/>
        <v>20003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26871</v>
      </c>
      <c r="E18" s="94">
        <f t="shared" si="2"/>
        <v>20792</v>
      </c>
      <c r="F18" s="94">
        <f t="shared" si="2"/>
        <v>47663</v>
      </c>
      <c r="G18" s="94">
        <f t="shared" si="2"/>
        <v>27281</v>
      </c>
      <c r="H18" s="94">
        <f t="shared" si="2"/>
        <v>20792</v>
      </c>
      <c r="I18" s="94">
        <f t="shared" si="2"/>
        <v>48073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5197</v>
      </c>
      <c r="F21" s="15">
        <f t="shared" si="3"/>
        <v>5197</v>
      </c>
      <c r="G21" s="15">
        <f>SUM(G22:G25)</f>
        <v>0</v>
      </c>
      <c r="H21" s="15">
        <f>SUM(H22:H25)</f>
        <v>5197</v>
      </c>
      <c r="I21" s="15">
        <f t="shared" si="4"/>
        <v>5197</v>
      </c>
    </row>
    <row r="22" spans="2:9" s="1" customFormat="1" ht="47.25">
      <c r="B22" s="326" t="s">
        <v>395</v>
      </c>
      <c r="C22" s="95" t="s">
        <v>249</v>
      </c>
      <c r="D22" s="17"/>
      <c r="E22" s="17">
        <v>5197</v>
      </c>
      <c r="F22" s="15">
        <f t="shared" si="3"/>
        <v>5197</v>
      </c>
      <c r="G22" s="17"/>
      <c r="H22" s="17">
        <v>5197</v>
      </c>
      <c r="I22" s="15">
        <f t="shared" si="4"/>
        <v>5197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5197</v>
      </c>
      <c r="F32" s="94">
        <f t="shared" si="5"/>
        <v>5197</v>
      </c>
      <c r="G32" s="94">
        <f t="shared" si="5"/>
        <v>0</v>
      </c>
      <c r="H32" s="94">
        <f t="shared" si="5"/>
        <v>5197</v>
      </c>
      <c r="I32" s="94">
        <f t="shared" si="5"/>
        <v>5197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26871</v>
      </c>
      <c r="E33" s="99">
        <f t="shared" si="6"/>
        <v>25989</v>
      </c>
      <c r="F33" s="99">
        <f t="shared" si="6"/>
        <v>52860</v>
      </c>
      <c r="G33" s="99">
        <f t="shared" si="6"/>
        <v>27281</v>
      </c>
      <c r="H33" s="99">
        <f t="shared" si="6"/>
        <v>25989</v>
      </c>
      <c r="I33" s="99">
        <f t="shared" si="6"/>
        <v>53270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416</v>
      </c>
      <c r="E35" s="822"/>
      <c r="F35" s="823"/>
      <c r="G35" s="821" t="s">
        <v>477</v>
      </c>
      <c r="H35" s="822"/>
      <c r="I35" s="823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762</v>
      </c>
      <c r="E38" s="17"/>
      <c r="F38" s="15">
        <f t="shared" si="7"/>
        <v>762</v>
      </c>
      <c r="G38" s="17">
        <v>762</v>
      </c>
      <c r="H38" s="17"/>
      <c r="I38" s="15">
        <f t="shared" si="8"/>
        <v>762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49</v>
      </c>
      <c r="C40" s="100" t="s">
        <v>223</v>
      </c>
      <c r="D40" s="17">
        <v>7117</v>
      </c>
      <c r="E40" s="17">
        <v>20792</v>
      </c>
      <c r="F40" s="15">
        <f t="shared" si="7"/>
        <v>27909</v>
      </c>
      <c r="G40" s="17">
        <v>7117</v>
      </c>
      <c r="H40" s="17">
        <v>20792</v>
      </c>
      <c r="I40" s="15">
        <f t="shared" si="8"/>
        <v>27909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6597</v>
      </c>
      <c r="E45" s="17"/>
      <c r="F45" s="15">
        <f t="shared" si="7"/>
        <v>6597</v>
      </c>
      <c r="G45" s="17">
        <f>6597+410</f>
        <v>7007</v>
      </c>
      <c r="H45" s="17"/>
      <c r="I45" s="15">
        <f t="shared" si="8"/>
        <v>7007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14476</v>
      </c>
      <c r="E47" s="108">
        <f>SUM(E37:E46)</f>
        <v>20792</v>
      </c>
      <c r="F47" s="108">
        <f t="shared" si="7"/>
        <v>35268</v>
      </c>
      <c r="G47" s="108">
        <f>SUM(G37:G46)</f>
        <v>14886</v>
      </c>
      <c r="H47" s="108">
        <f>SUM(H37:H46)</f>
        <v>20792</v>
      </c>
      <c r="I47" s="108">
        <f t="shared" si="8"/>
        <v>35678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-12395</v>
      </c>
      <c r="E48" s="110">
        <f>SUM(E47-E18)</f>
        <v>0</v>
      </c>
      <c r="F48" s="110">
        <f t="shared" si="7"/>
        <v>-12395</v>
      </c>
      <c r="G48" s="110">
        <f>SUM(G47-G18)</f>
        <v>-12395</v>
      </c>
      <c r="H48" s="110">
        <f>SUM(H47-H18)</f>
        <v>0</v>
      </c>
      <c r="I48" s="110">
        <f t="shared" si="8"/>
        <v>-12395</v>
      </c>
    </row>
    <row r="49" spans="1:9" s="114" customFormat="1" ht="15.75">
      <c r="A49" s="1"/>
      <c r="B49" s="262" t="s">
        <v>276</v>
      </c>
      <c r="C49" s="104" t="s">
        <v>202</v>
      </c>
      <c r="D49" s="112">
        <v>12395</v>
      </c>
      <c r="E49" s="112"/>
      <c r="F49" s="113">
        <f t="shared" si="7"/>
        <v>12395</v>
      </c>
      <c r="G49" s="112">
        <v>12395</v>
      </c>
      <c r="H49" s="112"/>
      <c r="I49" s="113">
        <f t="shared" si="8"/>
        <v>12395</v>
      </c>
    </row>
    <row r="50" spans="2:9" s="1" customFormat="1" ht="15.75">
      <c r="B50" s="262" t="s">
        <v>277</v>
      </c>
      <c r="C50" s="8" t="s">
        <v>227</v>
      </c>
      <c r="D50" s="17">
        <v>0</v>
      </c>
      <c r="E50" s="17">
        <v>0</v>
      </c>
      <c r="F50" s="15">
        <f t="shared" si="7"/>
        <v>0</v>
      </c>
      <c r="G50" s="17">
        <v>0</v>
      </c>
      <c r="H50" s="17">
        <v>0</v>
      </c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26871</v>
      </c>
      <c r="E51" s="94">
        <f t="shared" si="9"/>
        <v>20792</v>
      </c>
      <c r="F51" s="94">
        <f t="shared" si="9"/>
        <v>47663</v>
      </c>
      <c r="G51" s="94">
        <f t="shared" si="9"/>
        <v>27281</v>
      </c>
      <c r="H51" s="94">
        <f t="shared" si="9"/>
        <v>20792</v>
      </c>
      <c r="I51" s="94">
        <f t="shared" si="9"/>
        <v>48073</v>
      </c>
    </row>
    <row r="52" spans="2:9" s="1" customFormat="1" ht="15.75">
      <c r="B52" s="262" t="s">
        <v>280</v>
      </c>
      <c r="C52" s="100" t="s">
        <v>228</v>
      </c>
      <c r="D52" s="17">
        <v>0</v>
      </c>
      <c r="E52" s="17"/>
      <c r="F52" s="15">
        <f aca="true" t="shared" si="10" ref="F52:F64">SUM(D52:E52)</f>
        <v>0</v>
      </c>
      <c r="G52" s="17">
        <v>0</v>
      </c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>
        <v>5197</v>
      </c>
      <c r="F53" s="15">
        <f t="shared" si="10"/>
        <v>5197</v>
      </c>
      <c r="G53" s="17"/>
      <c r="H53" s="17">
        <v>5197</v>
      </c>
      <c r="I53" s="15">
        <f t="shared" si="11"/>
        <v>5197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5197</v>
      </c>
      <c r="F59" s="108">
        <f t="shared" si="10"/>
        <v>5197</v>
      </c>
      <c r="G59" s="108">
        <f>SUM(G52:G58)</f>
        <v>0</v>
      </c>
      <c r="H59" s="108">
        <f>SUM(H52:H58)</f>
        <v>5197</v>
      </c>
      <c r="I59" s="108">
        <f t="shared" si="11"/>
        <v>5197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5197</v>
      </c>
      <c r="F65" s="94">
        <f t="shared" si="12"/>
        <v>5197</v>
      </c>
      <c r="G65" s="94">
        <f t="shared" si="12"/>
        <v>0</v>
      </c>
      <c r="H65" s="94">
        <f t="shared" si="12"/>
        <v>5197</v>
      </c>
      <c r="I65" s="94">
        <f t="shared" si="12"/>
        <v>5197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26871</v>
      </c>
      <c r="E66" s="99">
        <f t="shared" si="13"/>
        <v>25989</v>
      </c>
      <c r="F66" s="99">
        <f t="shared" si="13"/>
        <v>52860</v>
      </c>
      <c r="G66" s="99">
        <f t="shared" si="13"/>
        <v>27281</v>
      </c>
      <c r="H66" s="99">
        <f t="shared" si="13"/>
        <v>25989</v>
      </c>
      <c r="I66" s="99">
        <f t="shared" si="13"/>
        <v>53270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8</v>
      </c>
      <c r="E68" s="494"/>
      <c r="F68" s="495">
        <f>SUM(D68:E68)</f>
        <v>8</v>
      </c>
      <c r="G68" s="494">
        <v>8</v>
      </c>
      <c r="H68" s="494"/>
      <c r="I68" s="495">
        <f>SUM(G68:H68)</f>
        <v>8</v>
      </c>
    </row>
    <row r="69" spans="2:9" s="1" customFormat="1" ht="15.75">
      <c r="B69" s="3"/>
      <c r="C69" s="429" t="s">
        <v>421</v>
      </c>
      <c r="D69" s="494"/>
      <c r="E69" s="494"/>
      <c r="F69" s="495">
        <f>SUM(D69:E69)</f>
        <v>0</v>
      </c>
      <c r="G69" s="494"/>
      <c r="H69" s="494"/>
      <c r="I69" s="495">
        <f>SUM(G69:H69)</f>
        <v>0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7480314960629921" bottom="0.7086614173228347" header="0.5118110236220472" footer="0.3937007874015748"/>
  <pageSetup fitToHeight="1" fitToWidth="1" horizontalDpi="600" verticalDpi="600" orientation="portrait" paperSize="9" scale="6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Q293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52" sqref="D52"/>
    </sheetView>
  </sheetViews>
  <sheetFormatPr defaultColWidth="9.140625" defaultRowHeight="12.75"/>
  <cols>
    <col min="1" max="1" width="4.140625" style="124" customWidth="1"/>
    <col min="2" max="2" width="46.8515625" style="125" customWidth="1"/>
    <col min="3" max="3" width="10.28125" style="126" customWidth="1"/>
    <col min="4" max="4" width="9.57421875" style="126" bestFit="1" customWidth="1"/>
    <col min="5" max="5" width="8.7109375" style="127" customWidth="1"/>
    <col min="6" max="6" width="9.57421875" style="126" customWidth="1"/>
    <col min="7" max="7" width="9.421875" style="126" customWidth="1"/>
    <col min="8" max="8" width="9.00390625" style="126" customWidth="1"/>
    <col min="9" max="9" width="9.28125" style="126" customWidth="1"/>
    <col min="10" max="10" width="10.140625" style="126" customWidth="1"/>
    <col min="11" max="11" width="11.421875" style="126" customWidth="1"/>
    <col min="12" max="12" width="12.421875" style="126" customWidth="1"/>
    <col min="13" max="13" width="9.7109375" style="126" customWidth="1"/>
    <col min="14" max="14" width="11.7109375" style="126" customWidth="1"/>
    <col min="15" max="15" width="11.28125" style="126" customWidth="1"/>
    <col min="16" max="16" width="9.140625" style="129" customWidth="1"/>
    <col min="17" max="16384" width="9.140625" style="124" customWidth="1"/>
  </cols>
  <sheetData>
    <row r="1" ht="15">
      <c r="O1" s="128" t="s">
        <v>251</v>
      </c>
    </row>
    <row r="2" spans="4:43" ht="15.75">
      <c r="D2" s="130"/>
      <c r="O2" s="10" t="s">
        <v>473</v>
      </c>
      <c r="AQ2" s="124" t="s">
        <v>252</v>
      </c>
    </row>
    <row r="3" spans="1:15" ht="20.25">
      <c r="A3" s="824" t="s">
        <v>257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</row>
    <row r="4" spans="1:15" ht="22.5" customHeight="1">
      <c r="A4" s="825" t="s">
        <v>488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</row>
    <row r="5" spans="1:15" ht="22.5" customHeight="1">
      <c r="A5" s="825" t="s">
        <v>258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</row>
    <row r="6" ht="13.5" thickBot="1">
      <c r="O6" s="131" t="s">
        <v>259</v>
      </c>
    </row>
    <row r="7" spans="1:22" s="139" customFormat="1" ht="44.25" customHeight="1" thickBot="1">
      <c r="A7" s="471" t="s">
        <v>30</v>
      </c>
      <c r="B7" s="436" t="s">
        <v>190</v>
      </c>
      <c r="C7" s="132" t="s">
        <v>443</v>
      </c>
      <c r="D7" s="133" t="s">
        <v>460</v>
      </c>
      <c r="E7" s="134" t="s">
        <v>260</v>
      </c>
      <c r="F7" s="135" t="s">
        <v>261</v>
      </c>
      <c r="G7" s="135" t="s">
        <v>262</v>
      </c>
      <c r="H7" s="135" t="s">
        <v>263</v>
      </c>
      <c r="I7" s="135" t="s">
        <v>264</v>
      </c>
      <c r="J7" s="135" t="s">
        <v>265</v>
      </c>
      <c r="K7" s="135" t="s">
        <v>266</v>
      </c>
      <c r="L7" s="135" t="s">
        <v>267</v>
      </c>
      <c r="M7" s="135" t="s">
        <v>268</v>
      </c>
      <c r="N7" s="135" t="s">
        <v>269</v>
      </c>
      <c r="O7" s="136" t="s">
        <v>270</v>
      </c>
      <c r="P7" s="137"/>
      <c r="Q7" s="138"/>
      <c r="R7" s="138"/>
      <c r="S7" s="138"/>
      <c r="T7" s="138"/>
      <c r="U7" s="138"/>
      <c r="V7" s="138"/>
    </row>
    <row r="8" spans="1:22" s="139" customFormat="1" ht="15" thickBot="1">
      <c r="A8" s="140">
        <v>1</v>
      </c>
      <c r="B8" s="133">
        <v>2</v>
      </c>
      <c r="C8" s="140">
        <v>3</v>
      </c>
      <c r="D8" s="133">
        <v>4</v>
      </c>
      <c r="E8" s="134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  <c r="N8" s="135">
        <v>14</v>
      </c>
      <c r="O8" s="136">
        <v>15</v>
      </c>
      <c r="P8" s="137"/>
      <c r="Q8" s="138"/>
      <c r="R8" s="138"/>
      <c r="S8" s="138"/>
      <c r="T8" s="138"/>
      <c r="U8" s="138"/>
      <c r="V8" s="138"/>
    </row>
    <row r="9" spans="1:22" ht="12.75">
      <c r="A9" s="270" t="s">
        <v>254</v>
      </c>
      <c r="B9" s="437" t="s">
        <v>208</v>
      </c>
      <c r="C9" s="141">
        <f>+'2 mell'!F8</f>
        <v>902173</v>
      </c>
      <c r="D9" s="142">
        <f>ROUND((+$C9)/12,0)</f>
        <v>75181</v>
      </c>
      <c r="E9" s="142">
        <f aca="true" t="shared" si="0" ref="E9:N9">ROUND((+$C$9)/12,0)</f>
        <v>75181</v>
      </c>
      <c r="F9" s="142">
        <f t="shared" si="0"/>
        <v>75181</v>
      </c>
      <c r="G9" s="142">
        <f t="shared" si="0"/>
        <v>75181</v>
      </c>
      <c r="H9" s="142">
        <f t="shared" si="0"/>
        <v>75181</v>
      </c>
      <c r="I9" s="142">
        <f t="shared" si="0"/>
        <v>75181</v>
      </c>
      <c r="J9" s="142">
        <f t="shared" si="0"/>
        <v>75181</v>
      </c>
      <c r="K9" s="142">
        <f t="shared" si="0"/>
        <v>75181</v>
      </c>
      <c r="L9" s="142">
        <f t="shared" si="0"/>
        <v>75181</v>
      </c>
      <c r="M9" s="142">
        <f t="shared" si="0"/>
        <v>75181</v>
      </c>
      <c r="N9" s="142">
        <f t="shared" si="0"/>
        <v>75181</v>
      </c>
      <c r="O9" s="472">
        <f>ROUND((+$C$9)/12,0)+1</f>
        <v>75182</v>
      </c>
      <c r="P9" s="143">
        <f>-SUM(D9:O9)+C9</f>
        <v>0</v>
      </c>
      <c r="Q9" s="144"/>
      <c r="R9" s="144"/>
      <c r="S9" s="144"/>
      <c r="T9" s="144"/>
      <c r="U9" s="144"/>
      <c r="V9" s="144"/>
    </row>
    <row r="10" spans="1:22" s="146" customFormat="1" ht="14.25" customHeight="1">
      <c r="A10" s="270" t="s">
        <v>255</v>
      </c>
      <c r="B10" s="437" t="s">
        <v>445</v>
      </c>
      <c r="C10" s="141">
        <f>+'2 mell'!F9</f>
        <v>223174</v>
      </c>
      <c r="D10" s="460">
        <f>ROUND((+$C10)/12,0)</f>
        <v>18598</v>
      </c>
      <c r="E10" s="464">
        <f aca="true" t="shared" si="1" ref="E10:N10">ROUND((+$C$10)/12,0)</f>
        <v>18598</v>
      </c>
      <c r="F10" s="464">
        <f t="shared" si="1"/>
        <v>18598</v>
      </c>
      <c r="G10" s="464">
        <f t="shared" si="1"/>
        <v>18598</v>
      </c>
      <c r="H10" s="464">
        <f t="shared" si="1"/>
        <v>18598</v>
      </c>
      <c r="I10" s="464">
        <f t="shared" si="1"/>
        <v>18598</v>
      </c>
      <c r="J10" s="464">
        <f t="shared" si="1"/>
        <v>18598</v>
      </c>
      <c r="K10" s="464">
        <f t="shared" si="1"/>
        <v>18598</v>
      </c>
      <c r="L10" s="464">
        <f t="shared" si="1"/>
        <v>18598</v>
      </c>
      <c r="M10" s="464">
        <f t="shared" si="1"/>
        <v>18598</v>
      </c>
      <c r="N10" s="464">
        <f t="shared" si="1"/>
        <v>18598</v>
      </c>
      <c r="O10" s="480">
        <f>ROUND((+$C$10)/12,0)-2</f>
        <v>18596</v>
      </c>
      <c r="P10" s="143">
        <f aca="true" t="shared" si="2" ref="P10:P48">-SUM(D10:O10)+C10</f>
        <v>0</v>
      </c>
      <c r="Q10" s="145"/>
      <c r="R10" s="145"/>
      <c r="S10" s="145"/>
      <c r="T10" s="145"/>
      <c r="U10" s="145"/>
      <c r="V10" s="145"/>
    </row>
    <row r="11" spans="1:22" ht="12.75">
      <c r="A11" s="270" t="s">
        <v>33</v>
      </c>
      <c r="B11" s="437" t="s">
        <v>210</v>
      </c>
      <c r="C11" s="141">
        <f>+'2 mell'!F10</f>
        <v>998823</v>
      </c>
      <c r="D11" s="460">
        <f>ROUND((+$C$11)/12,0)</f>
        <v>83235</v>
      </c>
      <c r="E11" s="460">
        <f aca="true" t="shared" si="3" ref="E11:N11">ROUND((+$C$11)/12,0)</f>
        <v>83235</v>
      </c>
      <c r="F11" s="460">
        <f t="shared" si="3"/>
        <v>83235</v>
      </c>
      <c r="G11" s="460">
        <f t="shared" si="3"/>
        <v>83235</v>
      </c>
      <c r="H11" s="460">
        <f t="shared" si="3"/>
        <v>83235</v>
      </c>
      <c r="I11" s="460">
        <f t="shared" si="3"/>
        <v>83235</v>
      </c>
      <c r="J11" s="460">
        <f t="shared" si="3"/>
        <v>83235</v>
      </c>
      <c r="K11" s="460">
        <f t="shared" si="3"/>
        <v>83235</v>
      </c>
      <c r="L11" s="460">
        <f t="shared" si="3"/>
        <v>83235</v>
      </c>
      <c r="M11" s="460">
        <f t="shared" si="3"/>
        <v>83235</v>
      </c>
      <c r="N11" s="460">
        <f t="shared" si="3"/>
        <v>83235</v>
      </c>
      <c r="O11" s="472">
        <f>ROUND((+$C$11)/12,0)+3</f>
        <v>83238</v>
      </c>
      <c r="P11" s="143">
        <f t="shared" si="2"/>
        <v>0</v>
      </c>
      <c r="Q11" s="144"/>
      <c r="R11" s="144"/>
      <c r="S11" s="144"/>
      <c r="T11" s="144"/>
      <c r="U11" s="144"/>
      <c r="V11" s="144"/>
    </row>
    <row r="12" spans="1:22" ht="12.75">
      <c r="A12" s="270" t="s">
        <v>49</v>
      </c>
      <c r="B12" s="437" t="s">
        <v>211</v>
      </c>
      <c r="C12" s="141">
        <f>+'2 mell'!F11</f>
        <v>0</v>
      </c>
      <c r="D12" s="460">
        <f>ROUND((+$C$12)/12,0)</f>
        <v>0</v>
      </c>
      <c r="E12" s="464">
        <f aca="true" t="shared" si="4" ref="E12:O12">ROUND((+$C$12)/12,0)</f>
        <v>0</v>
      </c>
      <c r="F12" s="464">
        <f t="shared" si="4"/>
        <v>0</v>
      </c>
      <c r="G12" s="464">
        <f t="shared" si="4"/>
        <v>0</v>
      </c>
      <c r="H12" s="464">
        <f t="shared" si="4"/>
        <v>0</v>
      </c>
      <c r="I12" s="464">
        <f t="shared" si="4"/>
        <v>0</v>
      </c>
      <c r="J12" s="464">
        <f t="shared" si="4"/>
        <v>0</v>
      </c>
      <c r="K12" s="464">
        <f t="shared" si="4"/>
        <v>0</v>
      </c>
      <c r="L12" s="464">
        <f t="shared" si="4"/>
        <v>0</v>
      </c>
      <c r="M12" s="464">
        <f t="shared" si="4"/>
        <v>0</v>
      </c>
      <c r="N12" s="464">
        <f t="shared" si="4"/>
        <v>0</v>
      </c>
      <c r="O12" s="480">
        <f t="shared" si="4"/>
        <v>0</v>
      </c>
      <c r="P12" s="143">
        <f t="shared" si="2"/>
        <v>0</v>
      </c>
      <c r="Q12" s="144"/>
      <c r="R12" s="144"/>
      <c r="S12" s="144"/>
      <c r="T12" s="144"/>
      <c r="U12" s="144"/>
      <c r="V12" s="144"/>
    </row>
    <row r="13" spans="1:22" ht="12.75">
      <c r="A13" s="270" t="s">
        <v>130</v>
      </c>
      <c r="B13" s="437" t="s">
        <v>212</v>
      </c>
      <c r="C13" s="141">
        <f>SUM(C14:C17)</f>
        <v>532150</v>
      </c>
      <c r="D13" s="461">
        <f aca="true" t="shared" si="5" ref="D13:O13">SUM(D14:D17)</f>
        <v>44346</v>
      </c>
      <c r="E13" s="465">
        <f t="shared" si="5"/>
        <v>44346</v>
      </c>
      <c r="F13" s="465">
        <f t="shared" si="5"/>
        <v>44346</v>
      </c>
      <c r="G13" s="465">
        <f t="shared" si="5"/>
        <v>44346</v>
      </c>
      <c r="H13" s="465">
        <f t="shared" si="5"/>
        <v>44346</v>
      </c>
      <c r="I13" s="465">
        <f t="shared" si="5"/>
        <v>44346</v>
      </c>
      <c r="J13" s="465">
        <f t="shared" si="5"/>
        <v>44346</v>
      </c>
      <c r="K13" s="465">
        <f t="shared" si="5"/>
        <v>44346</v>
      </c>
      <c r="L13" s="465">
        <f t="shared" si="5"/>
        <v>44346</v>
      </c>
      <c r="M13" s="465">
        <f t="shared" si="5"/>
        <v>44346</v>
      </c>
      <c r="N13" s="465">
        <f t="shared" si="5"/>
        <v>44346</v>
      </c>
      <c r="O13" s="463">
        <f t="shared" si="5"/>
        <v>44344</v>
      </c>
      <c r="P13" s="143">
        <f t="shared" si="2"/>
        <v>0</v>
      </c>
      <c r="Q13" s="144"/>
      <c r="R13" s="144"/>
      <c r="S13" s="144"/>
      <c r="T13" s="144"/>
      <c r="U13" s="144"/>
      <c r="V13" s="144"/>
    </row>
    <row r="14" spans="1:22" s="146" customFormat="1" ht="25.5">
      <c r="A14" s="481" t="s">
        <v>131</v>
      </c>
      <c r="B14" s="438" t="s">
        <v>385</v>
      </c>
      <c r="C14" s="141">
        <f>+'2 mell'!F13</f>
        <v>277381</v>
      </c>
      <c r="D14" s="460">
        <f>ROUND((+$C$14)/12,0)</f>
        <v>23115</v>
      </c>
      <c r="E14" s="464">
        <f aca="true" t="shared" si="6" ref="E14:N14">ROUND((+$C$14)/12,0)</f>
        <v>23115</v>
      </c>
      <c r="F14" s="464">
        <f t="shared" si="6"/>
        <v>23115</v>
      </c>
      <c r="G14" s="464">
        <f t="shared" si="6"/>
        <v>23115</v>
      </c>
      <c r="H14" s="464">
        <f t="shared" si="6"/>
        <v>23115</v>
      </c>
      <c r="I14" s="464">
        <f t="shared" si="6"/>
        <v>23115</v>
      </c>
      <c r="J14" s="464">
        <f t="shared" si="6"/>
        <v>23115</v>
      </c>
      <c r="K14" s="464">
        <f t="shared" si="6"/>
        <v>23115</v>
      </c>
      <c r="L14" s="464">
        <f t="shared" si="6"/>
        <v>23115</v>
      </c>
      <c r="M14" s="464">
        <f t="shared" si="6"/>
        <v>23115</v>
      </c>
      <c r="N14" s="464">
        <f t="shared" si="6"/>
        <v>23115</v>
      </c>
      <c r="O14" s="480">
        <f>ROUND((+$C$14)/12,0)+1</f>
        <v>23116</v>
      </c>
      <c r="P14" s="143">
        <f t="shared" si="2"/>
        <v>0</v>
      </c>
      <c r="Q14" s="145"/>
      <c r="R14" s="145"/>
      <c r="S14" s="145"/>
      <c r="T14" s="145"/>
      <c r="U14" s="145"/>
      <c r="V14" s="145"/>
    </row>
    <row r="15" spans="1:22" ht="12.75">
      <c r="A15" s="481" t="s">
        <v>139</v>
      </c>
      <c r="B15" s="438" t="s">
        <v>386</v>
      </c>
      <c r="C15" s="141">
        <f>+'2 mell'!F14</f>
        <v>254769</v>
      </c>
      <c r="D15" s="460">
        <f>ROUND((+$C$15)/12,0)</f>
        <v>21231</v>
      </c>
      <c r="E15" s="464">
        <f aca="true" t="shared" si="7" ref="E15:N15">ROUND((+$C$15)/12,0)</f>
        <v>21231</v>
      </c>
      <c r="F15" s="464">
        <f t="shared" si="7"/>
        <v>21231</v>
      </c>
      <c r="G15" s="464">
        <f t="shared" si="7"/>
        <v>21231</v>
      </c>
      <c r="H15" s="464">
        <f t="shared" si="7"/>
        <v>21231</v>
      </c>
      <c r="I15" s="464">
        <f t="shared" si="7"/>
        <v>21231</v>
      </c>
      <c r="J15" s="464">
        <f t="shared" si="7"/>
        <v>21231</v>
      </c>
      <c r="K15" s="464">
        <f t="shared" si="7"/>
        <v>21231</v>
      </c>
      <c r="L15" s="464">
        <f t="shared" si="7"/>
        <v>21231</v>
      </c>
      <c r="M15" s="464">
        <f t="shared" si="7"/>
        <v>21231</v>
      </c>
      <c r="N15" s="464">
        <f t="shared" si="7"/>
        <v>21231</v>
      </c>
      <c r="O15" s="480">
        <f>ROUND((+$C$15)/12,0)-3</f>
        <v>21228</v>
      </c>
      <c r="P15" s="143">
        <f t="shared" si="2"/>
        <v>0</v>
      </c>
      <c r="Q15" s="144"/>
      <c r="R15" s="144"/>
      <c r="S15" s="144"/>
      <c r="T15" s="144"/>
      <c r="U15" s="144"/>
      <c r="V15" s="144"/>
    </row>
    <row r="16" spans="1:22" ht="25.5">
      <c r="A16" s="481" t="s">
        <v>144</v>
      </c>
      <c r="B16" s="438" t="s">
        <v>387</v>
      </c>
      <c r="C16" s="141">
        <f>+'2 mell'!F15</f>
        <v>0</v>
      </c>
      <c r="D16" s="460">
        <f>ROUND((+$C$16)/12,0)</f>
        <v>0</v>
      </c>
      <c r="E16" s="464">
        <f aca="true" t="shared" si="8" ref="E16:O16">ROUND((+$C$16)/12,0)</f>
        <v>0</v>
      </c>
      <c r="F16" s="464">
        <f t="shared" si="8"/>
        <v>0</v>
      </c>
      <c r="G16" s="464">
        <f t="shared" si="8"/>
        <v>0</v>
      </c>
      <c r="H16" s="464">
        <f t="shared" si="8"/>
        <v>0</v>
      </c>
      <c r="I16" s="464">
        <f t="shared" si="8"/>
        <v>0</v>
      </c>
      <c r="J16" s="464">
        <f t="shared" si="8"/>
        <v>0</v>
      </c>
      <c r="K16" s="464">
        <f t="shared" si="8"/>
        <v>0</v>
      </c>
      <c r="L16" s="464">
        <f t="shared" si="8"/>
        <v>0</v>
      </c>
      <c r="M16" s="464">
        <f t="shared" si="8"/>
        <v>0</v>
      </c>
      <c r="N16" s="464">
        <f t="shared" si="8"/>
        <v>0</v>
      </c>
      <c r="O16" s="480">
        <f t="shared" si="8"/>
        <v>0</v>
      </c>
      <c r="P16" s="143">
        <f t="shared" si="2"/>
        <v>0</v>
      </c>
      <c r="Q16" s="144"/>
      <c r="R16" s="144"/>
      <c r="S16" s="144"/>
      <c r="T16" s="144"/>
      <c r="U16" s="144"/>
      <c r="V16" s="144"/>
    </row>
    <row r="17" spans="1:22" ht="25.5">
      <c r="A17" s="481" t="s">
        <v>149</v>
      </c>
      <c r="B17" s="438" t="s">
        <v>388</v>
      </c>
      <c r="C17" s="141">
        <f>+'2 mell'!F16</f>
        <v>0</v>
      </c>
      <c r="D17" s="460">
        <f>ROUND((+$C$17)/12,0)</f>
        <v>0</v>
      </c>
      <c r="E17" s="464">
        <f aca="true" t="shared" si="9" ref="E17:O17">ROUND((+$C$17)/12,0)</f>
        <v>0</v>
      </c>
      <c r="F17" s="464">
        <f t="shared" si="9"/>
        <v>0</v>
      </c>
      <c r="G17" s="464">
        <f t="shared" si="9"/>
        <v>0</v>
      </c>
      <c r="H17" s="464">
        <f t="shared" si="9"/>
        <v>0</v>
      </c>
      <c r="I17" s="464">
        <f t="shared" si="9"/>
        <v>0</v>
      </c>
      <c r="J17" s="464">
        <f t="shared" si="9"/>
        <v>0</v>
      </c>
      <c r="K17" s="464">
        <f t="shared" si="9"/>
        <v>0</v>
      </c>
      <c r="L17" s="464">
        <f t="shared" si="9"/>
        <v>0</v>
      </c>
      <c r="M17" s="464">
        <f t="shared" si="9"/>
        <v>0</v>
      </c>
      <c r="N17" s="464">
        <f t="shared" si="9"/>
        <v>0</v>
      </c>
      <c r="O17" s="480">
        <f t="shared" si="9"/>
        <v>0</v>
      </c>
      <c r="P17" s="143">
        <f t="shared" si="2"/>
        <v>0</v>
      </c>
      <c r="Q17" s="144"/>
      <c r="R17" s="144"/>
      <c r="S17" s="144"/>
      <c r="T17" s="144"/>
      <c r="U17" s="144"/>
      <c r="V17" s="144"/>
    </row>
    <row r="18" spans="1:22" ht="25.5">
      <c r="A18" s="482" t="s">
        <v>181</v>
      </c>
      <c r="B18" s="439" t="s">
        <v>213</v>
      </c>
      <c r="C18" s="141">
        <f>+'2 mell'!F17</f>
        <v>0</v>
      </c>
      <c r="D18" s="460">
        <f>ROUND((+$C$18)/12,0)</f>
        <v>0</v>
      </c>
      <c r="E18" s="464">
        <f aca="true" t="shared" si="10" ref="E18:O18">ROUND((+$C$18)/12,0)</f>
        <v>0</v>
      </c>
      <c r="F18" s="464">
        <f t="shared" si="10"/>
        <v>0</v>
      </c>
      <c r="G18" s="464">
        <f t="shared" si="10"/>
        <v>0</v>
      </c>
      <c r="H18" s="464">
        <f t="shared" si="10"/>
        <v>0</v>
      </c>
      <c r="I18" s="464">
        <f t="shared" si="10"/>
        <v>0</v>
      </c>
      <c r="J18" s="464">
        <f t="shared" si="10"/>
        <v>0</v>
      </c>
      <c r="K18" s="464">
        <f t="shared" si="10"/>
        <v>0</v>
      </c>
      <c r="L18" s="464">
        <f t="shared" si="10"/>
        <v>0</v>
      </c>
      <c r="M18" s="464">
        <f t="shared" si="10"/>
        <v>0</v>
      </c>
      <c r="N18" s="464">
        <f t="shared" si="10"/>
        <v>0</v>
      </c>
      <c r="O18" s="480">
        <f t="shared" si="10"/>
        <v>0</v>
      </c>
      <c r="P18" s="143">
        <f t="shared" si="2"/>
        <v>0</v>
      </c>
      <c r="Q18" s="144"/>
      <c r="R18" s="144"/>
      <c r="S18" s="144"/>
      <c r="T18" s="144"/>
      <c r="U18" s="144"/>
      <c r="V18" s="144"/>
    </row>
    <row r="19" spans="1:22" ht="12.75">
      <c r="A19" s="270" t="s">
        <v>271</v>
      </c>
      <c r="B19" s="439" t="s">
        <v>214</v>
      </c>
      <c r="C19" s="141">
        <f>+'2 mell'!F18</f>
        <v>30000</v>
      </c>
      <c r="D19" s="460">
        <f>ROUND((+$C$19)/12,0)</f>
        <v>2500</v>
      </c>
      <c r="E19" s="464">
        <f aca="true" t="shared" si="11" ref="E19:O19">ROUND((+$C$19)/12,0)</f>
        <v>2500</v>
      </c>
      <c r="F19" s="464">
        <f t="shared" si="11"/>
        <v>2500</v>
      </c>
      <c r="G19" s="464">
        <f t="shared" si="11"/>
        <v>2500</v>
      </c>
      <c r="H19" s="464">
        <f t="shared" si="11"/>
        <v>2500</v>
      </c>
      <c r="I19" s="464">
        <f t="shared" si="11"/>
        <v>2500</v>
      </c>
      <c r="J19" s="464">
        <f t="shared" si="11"/>
        <v>2500</v>
      </c>
      <c r="K19" s="464">
        <f t="shared" si="11"/>
        <v>2500</v>
      </c>
      <c r="L19" s="464">
        <f t="shared" si="11"/>
        <v>2500</v>
      </c>
      <c r="M19" s="464">
        <f t="shared" si="11"/>
        <v>2500</v>
      </c>
      <c r="N19" s="464">
        <f t="shared" si="11"/>
        <v>2500</v>
      </c>
      <c r="O19" s="480">
        <f t="shared" si="11"/>
        <v>2500</v>
      </c>
      <c r="P19" s="143">
        <f t="shared" si="2"/>
        <v>0</v>
      </c>
      <c r="Q19" s="144"/>
      <c r="R19" s="144"/>
      <c r="S19" s="144"/>
      <c r="T19" s="144"/>
      <c r="U19" s="144"/>
      <c r="V19" s="144"/>
    </row>
    <row r="20" spans="1:22" s="146" customFormat="1" ht="12.75">
      <c r="A20" s="270" t="s">
        <v>272</v>
      </c>
      <c r="B20" s="439" t="s">
        <v>159</v>
      </c>
      <c r="C20" s="141">
        <f>+'2 mell'!F19</f>
        <v>49088</v>
      </c>
      <c r="D20" s="460">
        <f>ROUND((+$C$20)/12,0)</f>
        <v>4091</v>
      </c>
      <c r="E20" s="464">
        <f aca="true" t="shared" si="12" ref="E20:N20">ROUND((+$C$20)/12,0)</f>
        <v>4091</v>
      </c>
      <c r="F20" s="464">
        <f t="shared" si="12"/>
        <v>4091</v>
      </c>
      <c r="G20" s="464">
        <f t="shared" si="12"/>
        <v>4091</v>
      </c>
      <c r="H20" s="464">
        <f t="shared" si="12"/>
        <v>4091</v>
      </c>
      <c r="I20" s="464">
        <f t="shared" si="12"/>
        <v>4091</v>
      </c>
      <c r="J20" s="464">
        <f t="shared" si="12"/>
        <v>4091</v>
      </c>
      <c r="K20" s="464">
        <f t="shared" si="12"/>
        <v>4091</v>
      </c>
      <c r="L20" s="464">
        <f t="shared" si="12"/>
        <v>4091</v>
      </c>
      <c r="M20" s="464">
        <f t="shared" si="12"/>
        <v>4091</v>
      </c>
      <c r="N20" s="464">
        <f t="shared" si="12"/>
        <v>4091</v>
      </c>
      <c r="O20" s="480">
        <f>ROUND((+$C$20)/12,0)-4</f>
        <v>4087</v>
      </c>
      <c r="P20" s="143">
        <f t="shared" si="2"/>
        <v>0</v>
      </c>
      <c r="Q20" s="145"/>
      <c r="R20" s="145"/>
      <c r="S20" s="145"/>
      <c r="T20" s="145"/>
      <c r="U20" s="145"/>
      <c r="V20" s="145"/>
    </row>
    <row r="21" spans="1:22" ht="12.75">
      <c r="A21" s="270" t="s">
        <v>273</v>
      </c>
      <c r="B21" s="440" t="s">
        <v>236</v>
      </c>
      <c r="C21" s="467">
        <f>SUM(C9,C10,C11,C12,C13,C18,C19,C20)</f>
        <v>2735408</v>
      </c>
      <c r="D21" s="533">
        <f aca="true" t="shared" si="13" ref="D21:O21">SUM(D9,D10,D11,D12,D13,D18,D19,D20)</f>
        <v>227951</v>
      </c>
      <c r="E21" s="467">
        <f t="shared" si="13"/>
        <v>227951</v>
      </c>
      <c r="F21" s="467">
        <f t="shared" si="13"/>
        <v>227951</v>
      </c>
      <c r="G21" s="467">
        <f t="shared" si="13"/>
        <v>227951</v>
      </c>
      <c r="H21" s="467">
        <f t="shared" si="13"/>
        <v>227951</v>
      </c>
      <c r="I21" s="467">
        <f t="shared" si="13"/>
        <v>227951</v>
      </c>
      <c r="J21" s="467">
        <f t="shared" si="13"/>
        <v>227951</v>
      </c>
      <c r="K21" s="467">
        <f t="shared" si="13"/>
        <v>227951</v>
      </c>
      <c r="L21" s="467">
        <f t="shared" si="13"/>
        <v>227951</v>
      </c>
      <c r="M21" s="467">
        <f t="shared" si="13"/>
        <v>227951</v>
      </c>
      <c r="N21" s="467">
        <f t="shared" si="13"/>
        <v>227951</v>
      </c>
      <c r="O21" s="534">
        <f t="shared" si="13"/>
        <v>227947</v>
      </c>
      <c r="P21" s="143">
        <f t="shared" si="2"/>
        <v>0</v>
      </c>
      <c r="Q21" s="144"/>
      <c r="R21" s="144"/>
      <c r="S21" s="144"/>
      <c r="T21" s="144"/>
      <c r="U21" s="144"/>
      <c r="V21" s="144"/>
    </row>
    <row r="22" spans="1:22" ht="12.75">
      <c r="A22" s="270" t="s">
        <v>274</v>
      </c>
      <c r="B22" s="437" t="s">
        <v>215</v>
      </c>
      <c r="C22" s="141">
        <f>+'2 mell'!F21</f>
        <v>58319</v>
      </c>
      <c r="D22" s="460"/>
      <c r="E22" s="464"/>
      <c r="F22" s="464">
        <f>ROUND((+$C$22)/3,0)</f>
        <v>19440</v>
      </c>
      <c r="G22" s="464"/>
      <c r="H22" s="464"/>
      <c r="I22" s="464">
        <f>ROUND((+$C$22)/6,0)</f>
        <v>9720</v>
      </c>
      <c r="J22" s="464"/>
      <c r="K22" s="464">
        <f>ROUND((+$C$22)/12,0)</f>
        <v>4860</v>
      </c>
      <c r="L22" s="464">
        <f>ROUND((+$C$22)/12,0)</f>
        <v>4860</v>
      </c>
      <c r="M22" s="464">
        <f>ROUND((+$C$22)/3,0)-1</f>
        <v>19439</v>
      </c>
      <c r="N22" s="464"/>
      <c r="O22" s="480"/>
      <c r="P22" s="143">
        <f t="shared" si="2"/>
        <v>0</v>
      </c>
      <c r="Q22" s="144"/>
      <c r="R22" s="144"/>
      <c r="S22" s="144"/>
      <c r="T22" s="144"/>
      <c r="U22" s="144"/>
      <c r="V22" s="144"/>
    </row>
    <row r="23" spans="1:22" ht="12.75">
      <c r="A23" s="270" t="s">
        <v>170</v>
      </c>
      <c r="B23" s="437" t="s">
        <v>119</v>
      </c>
      <c r="C23" s="141">
        <f>+'2 mell'!F22</f>
        <v>429912</v>
      </c>
      <c r="D23" s="460"/>
      <c r="E23" s="464"/>
      <c r="F23" s="464"/>
      <c r="G23" s="464">
        <f>ROUND((+$C$23)/6,0)</f>
        <v>71652</v>
      </c>
      <c r="H23" s="464">
        <f>ROUND((+$C$23)/6,0)</f>
        <v>71652</v>
      </c>
      <c r="I23" s="464"/>
      <c r="J23" s="464">
        <f>ROUND((+$C$23)/6,0)</f>
        <v>71652</v>
      </c>
      <c r="K23" s="464"/>
      <c r="L23" s="464"/>
      <c r="M23" s="464">
        <f>ROUND((+$C$23)/12,0)*2</f>
        <v>71652</v>
      </c>
      <c r="N23" s="464">
        <f>ROUND((+$C$23)/12,0)*2</f>
        <v>71652</v>
      </c>
      <c r="O23" s="535">
        <f>ROUND((+$C$23)/12,0)*2</f>
        <v>71652</v>
      </c>
      <c r="P23" s="143">
        <f t="shared" si="2"/>
        <v>0</v>
      </c>
      <c r="Q23" s="144"/>
      <c r="R23" s="144"/>
      <c r="S23" s="144"/>
      <c r="T23" s="144"/>
      <c r="U23" s="144"/>
      <c r="V23" s="144"/>
    </row>
    <row r="24" spans="1:22" s="146" customFormat="1" ht="12.75">
      <c r="A24" s="270" t="s">
        <v>275</v>
      </c>
      <c r="B24" s="437" t="s">
        <v>216</v>
      </c>
      <c r="C24" s="141">
        <f>SUM(C25:C28)</f>
        <v>42458</v>
      </c>
      <c r="D24" s="461">
        <f aca="true" t="shared" si="14" ref="D24:O24">SUM(D25:D28)</f>
        <v>0</v>
      </c>
      <c r="E24" s="465">
        <f t="shared" si="14"/>
        <v>0</v>
      </c>
      <c r="F24" s="465">
        <f t="shared" si="14"/>
        <v>4000</v>
      </c>
      <c r="G24" s="465">
        <f t="shared" si="14"/>
        <v>0</v>
      </c>
      <c r="H24" s="465">
        <f t="shared" si="14"/>
        <v>5197</v>
      </c>
      <c r="I24" s="465">
        <f t="shared" si="14"/>
        <v>4000</v>
      </c>
      <c r="J24" s="465">
        <f t="shared" si="14"/>
        <v>0</v>
      </c>
      <c r="K24" s="465">
        <f t="shared" si="14"/>
        <v>0</v>
      </c>
      <c r="L24" s="465">
        <f t="shared" si="14"/>
        <v>4000</v>
      </c>
      <c r="M24" s="465">
        <f t="shared" si="14"/>
        <v>0</v>
      </c>
      <c r="N24" s="465">
        <f t="shared" si="14"/>
        <v>0</v>
      </c>
      <c r="O24" s="463">
        <f t="shared" si="14"/>
        <v>25261</v>
      </c>
      <c r="P24" s="143">
        <f t="shared" si="2"/>
        <v>0</v>
      </c>
      <c r="Q24" s="145"/>
      <c r="R24" s="145"/>
      <c r="S24" s="145"/>
      <c r="T24" s="145"/>
      <c r="U24" s="145"/>
      <c r="V24" s="145"/>
    </row>
    <row r="25" spans="1:22" s="146" customFormat="1" ht="37.5" customHeight="1">
      <c r="A25" s="483" t="s">
        <v>395</v>
      </c>
      <c r="B25" s="438" t="s">
        <v>389</v>
      </c>
      <c r="C25" s="141">
        <f>+'2 mell'!F24</f>
        <v>5197</v>
      </c>
      <c r="D25" s="460"/>
      <c r="E25" s="464"/>
      <c r="F25" s="464"/>
      <c r="G25" s="464"/>
      <c r="H25" s="464">
        <v>5197</v>
      </c>
      <c r="I25" s="464"/>
      <c r="J25" s="464"/>
      <c r="K25" s="464"/>
      <c r="L25" s="464"/>
      <c r="M25" s="464"/>
      <c r="N25" s="464"/>
      <c r="O25" s="480"/>
      <c r="P25" s="143">
        <f t="shared" si="2"/>
        <v>0</v>
      </c>
      <c r="Q25" s="145"/>
      <c r="R25" s="145"/>
      <c r="S25" s="145"/>
      <c r="T25" s="145"/>
      <c r="U25" s="145"/>
      <c r="V25" s="145"/>
    </row>
    <row r="26" spans="1:22" ht="12.75">
      <c r="A26" s="483" t="s">
        <v>396</v>
      </c>
      <c r="B26" s="441" t="s">
        <v>390</v>
      </c>
      <c r="C26" s="141">
        <f>+'2 mell'!F25</f>
        <v>37261</v>
      </c>
      <c r="D26" s="460"/>
      <c r="E26" s="464"/>
      <c r="F26" s="464">
        <v>4000</v>
      </c>
      <c r="G26" s="464"/>
      <c r="H26" s="464"/>
      <c r="I26" s="464">
        <v>4000</v>
      </c>
      <c r="J26" s="464"/>
      <c r="K26" s="464"/>
      <c r="L26" s="464">
        <v>4000</v>
      </c>
      <c r="M26" s="464"/>
      <c r="N26" s="464"/>
      <c r="O26" s="480">
        <v>25261</v>
      </c>
      <c r="P26" s="143">
        <f t="shared" si="2"/>
        <v>0</v>
      </c>
      <c r="Q26" s="144"/>
      <c r="R26" s="144"/>
      <c r="S26" s="144"/>
      <c r="T26" s="144"/>
      <c r="U26" s="144"/>
      <c r="V26" s="144"/>
    </row>
    <row r="27" spans="1:22" ht="25.5">
      <c r="A27" s="483" t="s">
        <v>397</v>
      </c>
      <c r="B27" s="438" t="s">
        <v>391</v>
      </c>
      <c r="C27" s="141">
        <f>+'2 mell'!F26</f>
        <v>0</v>
      </c>
      <c r="D27" s="460">
        <f>ROUND((+$C$27)/12,0)</f>
        <v>0</v>
      </c>
      <c r="E27" s="464">
        <f aca="true" t="shared" si="15" ref="E27:O27">ROUND((+$C$27)/12,0)</f>
        <v>0</v>
      </c>
      <c r="F27" s="464">
        <f t="shared" si="15"/>
        <v>0</v>
      </c>
      <c r="G27" s="464">
        <f t="shared" si="15"/>
        <v>0</v>
      </c>
      <c r="H27" s="464">
        <f t="shared" si="15"/>
        <v>0</v>
      </c>
      <c r="I27" s="464">
        <f t="shared" si="15"/>
        <v>0</v>
      </c>
      <c r="J27" s="464">
        <f t="shared" si="15"/>
        <v>0</v>
      </c>
      <c r="K27" s="464">
        <f t="shared" si="15"/>
        <v>0</v>
      </c>
      <c r="L27" s="464">
        <f t="shared" si="15"/>
        <v>0</v>
      </c>
      <c r="M27" s="464">
        <f t="shared" si="15"/>
        <v>0</v>
      </c>
      <c r="N27" s="464">
        <f t="shared" si="15"/>
        <v>0</v>
      </c>
      <c r="O27" s="480">
        <f t="shared" si="15"/>
        <v>0</v>
      </c>
      <c r="P27" s="143">
        <f t="shared" si="2"/>
        <v>0</v>
      </c>
      <c r="Q27" s="144"/>
      <c r="R27" s="144"/>
      <c r="S27" s="144"/>
      <c r="T27" s="144"/>
      <c r="U27" s="144"/>
      <c r="V27" s="144"/>
    </row>
    <row r="28" spans="1:22" ht="25.5">
      <c r="A28" s="483" t="s">
        <v>398</v>
      </c>
      <c r="B28" s="438" t="s">
        <v>392</v>
      </c>
      <c r="C28" s="141">
        <f>+'2 mell'!F27</f>
        <v>0</v>
      </c>
      <c r="D28" s="460">
        <f>ROUND((+$C$28)/12,0)</f>
        <v>0</v>
      </c>
      <c r="E28" s="464">
        <f aca="true" t="shared" si="16" ref="E28:O28">ROUND((+$C$28)/12,0)</f>
        <v>0</v>
      </c>
      <c r="F28" s="464">
        <f t="shared" si="16"/>
        <v>0</v>
      </c>
      <c r="G28" s="464">
        <f t="shared" si="16"/>
        <v>0</v>
      </c>
      <c r="H28" s="464">
        <f t="shared" si="16"/>
        <v>0</v>
      </c>
      <c r="I28" s="464">
        <f t="shared" si="16"/>
        <v>0</v>
      </c>
      <c r="J28" s="464">
        <f t="shared" si="16"/>
        <v>0</v>
      </c>
      <c r="K28" s="464">
        <f t="shared" si="16"/>
        <v>0</v>
      </c>
      <c r="L28" s="464">
        <f t="shared" si="16"/>
        <v>0</v>
      </c>
      <c r="M28" s="464">
        <f t="shared" si="16"/>
        <v>0</v>
      </c>
      <c r="N28" s="464">
        <f t="shared" si="16"/>
        <v>0</v>
      </c>
      <c r="O28" s="480">
        <f t="shared" si="16"/>
        <v>0</v>
      </c>
      <c r="P28" s="143">
        <f t="shared" si="2"/>
        <v>0</v>
      </c>
      <c r="Q28" s="144"/>
      <c r="R28" s="144"/>
      <c r="S28" s="144"/>
      <c r="T28" s="144"/>
      <c r="U28" s="144"/>
      <c r="V28" s="144"/>
    </row>
    <row r="29" spans="1:22" ht="12.75">
      <c r="A29" s="270" t="s">
        <v>276</v>
      </c>
      <c r="B29" s="439" t="s">
        <v>217</v>
      </c>
      <c r="C29" s="141">
        <f>+'2 mell'!F28</f>
        <v>0</v>
      </c>
      <c r="D29" s="460">
        <f>ROUND((+$C$29)/12,0)</f>
        <v>0</v>
      </c>
      <c r="E29" s="464">
        <f aca="true" t="shared" si="17" ref="E29:O29">ROUND((+$C$29)/12,0)</f>
        <v>0</v>
      </c>
      <c r="F29" s="464">
        <f t="shared" si="17"/>
        <v>0</v>
      </c>
      <c r="G29" s="464">
        <f t="shared" si="17"/>
        <v>0</v>
      </c>
      <c r="H29" s="464">
        <f t="shared" si="17"/>
        <v>0</v>
      </c>
      <c r="I29" s="464">
        <f t="shared" si="17"/>
        <v>0</v>
      </c>
      <c r="J29" s="464">
        <f t="shared" si="17"/>
        <v>0</v>
      </c>
      <c r="K29" s="464">
        <f t="shared" si="17"/>
        <v>0</v>
      </c>
      <c r="L29" s="464">
        <f t="shared" si="17"/>
        <v>0</v>
      </c>
      <c r="M29" s="464">
        <f t="shared" si="17"/>
        <v>0</v>
      </c>
      <c r="N29" s="464">
        <f t="shared" si="17"/>
        <v>0</v>
      </c>
      <c r="O29" s="480">
        <f t="shared" si="17"/>
        <v>0</v>
      </c>
      <c r="P29" s="143">
        <f t="shared" si="2"/>
        <v>0</v>
      </c>
      <c r="Q29" s="144"/>
      <c r="R29" s="144"/>
      <c r="S29" s="144"/>
      <c r="T29" s="144"/>
      <c r="U29" s="144"/>
      <c r="V29" s="144"/>
    </row>
    <row r="30" spans="1:22" ht="12.75">
      <c r="A30" s="270" t="s">
        <v>277</v>
      </c>
      <c r="B30" s="439" t="s">
        <v>218</v>
      </c>
      <c r="C30" s="141">
        <f>+'2 mell'!F29</f>
        <v>0</v>
      </c>
      <c r="D30" s="460">
        <f>ROUND((+$C$30)/12,0)</f>
        <v>0</v>
      </c>
      <c r="E30" s="464">
        <f aca="true" t="shared" si="18" ref="E30:O30">ROUND((+$C$30)/12,0)</f>
        <v>0</v>
      </c>
      <c r="F30" s="464">
        <f t="shared" si="18"/>
        <v>0</v>
      </c>
      <c r="G30" s="464">
        <f t="shared" si="18"/>
        <v>0</v>
      </c>
      <c r="H30" s="464">
        <f t="shared" si="18"/>
        <v>0</v>
      </c>
      <c r="I30" s="464">
        <f t="shared" si="18"/>
        <v>0</v>
      </c>
      <c r="J30" s="464">
        <f t="shared" si="18"/>
        <v>0</v>
      </c>
      <c r="K30" s="464">
        <f t="shared" si="18"/>
        <v>0</v>
      </c>
      <c r="L30" s="464">
        <f t="shared" si="18"/>
        <v>0</v>
      </c>
      <c r="M30" s="464">
        <f t="shared" si="18"/>
        <v>0</v>
      </c>
      <c r="N30" s="464">
        <f t="shared" si="18"/>
        <v>0</v>
      </c>
      <c r="O30" s="480">
        <f t="shared" si="18"/>
        <v>0</v>
      </c>
      <c r="P30" s="143">
        <f t="shared" si="2"/>
        <v>0</v>
      </c>
      <c r="Q30" s="144"/>
      <c r="R30" s="144"/>
      <c r="S30" s="144"/>
      <c r="T30" s="144"/>
      <c r="U30" s="144"/>
      <c r="V30" s="144"/>
    </row>
    <row r="31" spans="1:22" ht="25.5">
      <c r="A31" s="482" t="s">
        <v>279</v>
      </c>
      <c r="B31" s="442" t="s">
        <v>219</v>
      </c>
      <c r="C31" s="141">
        <f>+'2 mell'!F30</f>
        <v>0</v>
      </c>
      <c r="D31" s="460">
        <f>ROUND((+$C$31)/12,0)</f>
        <v>0</v>
      </c>
      <c r="E31" s="464">
        <f aca="true" t="shared" si="19" ref="E31:O31">ROUND((+$C$31)/12,0)</f>
        <v>0</v>
      </c>
      <c r="F31" s="464">
        <f t="shared" si="19"/>
        <v>0</v>
      </c>
      <c r="G31" s="464">
        <f t="shared" si="19"/>
        <v>0</v>
      </c>
      <c r="H31" s="464">
        <f t="shared" si="19"/>
        <v>0</v>
      </c>
      <c r="I31" s="464">
        <f t="shared" si="19"/>
        <v>0</v>
      </c>
      <c r="J31" s="464">
        <f t="shared" si="19"/>
        <v>0</v>
      </c>
      <c r="K31" s="464">
        <f t="shared" si="19"/>
        <v>0</v>
      </c>
      <c r="L31" s="464">
        <f t="shared" si="19"/>
        <v>0</v>
      </c>
      <c r="M31" s="464">
        <f t="shared" si="19"/>
        <v>0</v>
      </c>
      <c r="N31" s="464">
        <f t="shared" si="19"/>
        <v>0</v>
      </c>
      <c r="O31" s="480">
        <f t="shared" si="19"/>
        <v>0</v>
      </c>
      <c r="P31" s="143">
        <f t="shared" si="2"/>
        <v>0</v>
      </c>
      <c r="Q31" s="144"/>
      <c r="R31" s="144"/>
      <c r="S31" s="144"/>
      <c r="T31" s="144"/>
      <c r="U31" s="144"/>
      <c r="V31" s="144"/>
    </row>
    <row r="32" spans="1:23" s="148" customFormat="1" ht="12.75">
      <c r="A32" s="482" t="s">
        <v>280</v>
      </c>
      <c r="B32" s="442" t="s">
        <v>194</v>
      </c>
      <c r="C32" s="141">
        <f>+'2 mell'!F31</f>
        <v>0</v>
      </c>
      <c r="D32" s="460">
        <f>ROUND((+$C$32)/12,0)</f>
        <v>0</v>
      </c>
      <c r="E32" s="464">
        <f aca="true" t="shared" si="20" ref="E32:O32">ROUND((+$C$32)/12,0)</f>
        <v>0</v>
      </c>
      <c r="F32" s="464">
        <f t="shared" si="20"/>
        <v>0</v>
      </c>
      <c r="G32" s="464">
        <f t="shared" si="20"/>
        <v>0</v>
      </c>
      <c r="H32" s="464">
        <f t="shared" si="20"/>
        <v>0</v>
      </c>
      <c r="I32" s="464">
        <f t="shared" si="20"/>
        <v>0</v>
      </c>
      <c r="J32" s="464">
        <f t="shared" si="20"/>
        <v>0</v>
      </c>
      <c r="K32" s="464">
        <f t="shared" si="20"/>
        <v>0</v>
      </c>
      <c r="L32" s="464">
        <f t="shared" si="20"/>
        <v>0</v>
      </c>
      <c r="M32" s="464">
        <f t="shared" si="20"/>
        <v>0</v>
      </c>
      <c r="N32" s="464">
        <f t="shared" si="20"/>
        <v>0</v>
      </c>
      <c r="O32" s="480">
        <f t="shared" si="20"/>
        <v>0</v>
      </c>
      <c r="P32" s="143">
        <f t="shared" si="2"/>
        <v>0</v>
      </c>
      <c r="Q32" s="145"/>
      <c r="R32" s="145"/>
      <c r="S32" s="145"/>
      <c r="T32" s="145"/>
      <c r="U32" s="145"/>
      <c r="V32" s="145"/>
      <c r="W32" s="147"/>
    </row>
    <row r="33" spans="1:22" ht="12.75">
      <c r="A33" s="482" t="s">
        <v>281</v>
      </c>
      <c r="B33" s="442" t="s">
        <v>195</v>
      </c>
      <c r="C33" s="141">
        <f>+'2 mell'!F32</f>
        <v>0</v>
      </c>
      <c r="D33" s="460">
        <f>ROUND((+$C$33)/12,0)</f>
        <v>0</v>
      </c>
      <c r="E33" s="464">
        <f aca="true" t="shared" si="21" ref="E33:O33">ROUND((+$C$33)/12,0)</f>
        <v>0</v>
      </c>
      <c r="F33" s="464">
        <f t="shared" si="21"/>
        <v>0</v>
      </c>
      <c r="G33" s="464">
        <f t="shared" si="21"/>
        <v>0</v>
      </c>
      <c r="H33" s="464">
        <f t="shared" si="21"/>
        <v>0</v>
      </c>
      <c r="I33" s="464">
        <f t="shared" si="21"/>
        <v>0</v>
      </c>
      <c r="J33" s="464">
        <f t="shared" si="21"/>
        <v>0</v>
      </c>
      <c r="K33" s="464">
        <f t="shared" si="21"/>
        <v>0</v>
      </c>
      <c r="L33" s="464">
        <f t="shared" si="21"/>
        <v>0</v>
      </c>
      <c r="M33" s="464">
        <f t="shared" si="21"/>
        <v>0</v>
      </c>
      <c r="N33" s="464">
        <f t="shared" si="21"/>
        <v>0</v>
      </c>
      <c r="O33" s="480">
        <f t="shared" si="21"/>
        <v>0</v>
      </c>
      <c r="P33" s="143">
        <f t="shared" si="2"/>
        <v>0</v>
      </c>
      <c r="Q33" s="144"/>
      <c r="R33" s="144"/>
      <c r="S33" s="144"/>
      <c r="T33" s="144"/>
      <c r="U33" s="144"/>
      <c r="V33" s="144"/>
    </row>
    <row r="34" spans="1:22" s="146" customFormat="1" ht="12.75">
      <c r="A34" s="482" t="s">
        <v>282</v>
      </c>
      <c r="B34" s="442" t="s">
        <v>196</v>
      </c>
      <c r="C34" s="141">
        <f>+'2 mell'!F33</f>
        <v>0</v>
      </c>
      <c r="D34" s="460">
        <f>ROUND((+$C$34)/12,0)</f>
        <v>0</v>
      </c>
      <c r="E34" s="464">
        <f aca="true" t="shared" si="22" ref="E34:O34">ROUND((+$C$34)/12,0)</f>
        <v>0</v>
      </c>
      <c r="F34" s="464">
        <f t="shared" si="22"/>
        <v>0</v>
      </c>
      <c r="G34" s="464">
        <f t="shared" si="22"/>
        <v>0</v>
      </c>
      <c r="H34" s="464">
        <f t="shared" si="22"/>
        <v>0</v>
      </c>
      <c r="I34" s="464">
        <f t="shared" si="22"/>
        <v>0</v>
      </c>
      <c r="J34" s="464">
        <f t="shared" si="22"/>
        <v>0</v>
      </c>
      <c r="K34" s="464">
        <f t="shared" si="22"/>
        <v>0</v>
      </c>
      <c r="L34" s="464">
        <f t="shared" si="22"/>
        <v>0</v>
      </c>
      <c r="M34" s="464">
        <f t="shared" si="22"/>
        <v>0</v>
      </c>
      <c r="N34" s="464">
        <f t="shared" si="22"/>
        <v>0</v>
      </c>
      <c r="O34" s="480">
        <f t="shared" si="22"/>
        <v>0</v>
      </c>
      <c r="P34" s="143">
        <f t="shared" si="2"/>
        <v>0</v>
      </c>
      <c r="Q34" s="145"/>
      <c r="R34" s="145"/>
      <c r="S34" s="145"/>
      <c r="T34" s="145"/>
      <c r="U34" s="145"/>
      <c r="V34" s="145"/>
    </row>
    <row r="35" spans="1:22" ht="12.75">
      <c r="A35" s="482" t="s">
        <v>283</v>
      </c>
      <c r="B35" s="440" t="s">
        <v>237</v>
      </c>
      <c r="C35" s="141">
        <f>SUM(C22:C34)-C24</f>
        <v>530689</v>
      </c>
      <c r="D35" s="461">
        <f aca="true" t="shared" si="23" ref="D35:O35">SUM(D22:D34)-D24</f>
        <v>0</v>
      </c>
      <c r="E35" s="465">
        <f t="shared" si="23"/>
        <v>0</v>
      </c>
      <c r="F35" s="465">
        <f t="shared" si="23"/>
        <v>23440</v>
      </c>
      <c r="G35" s="465">
        <f t="shared" si="23"/>
        <v>71652</v>
      </c>
      <c r="H35" s="465">
        <f t="shared" si="23"/>
        <v>76849</v>
      </c>
      <c r="I35" s="465">
        <f t="shared" si="23"/>
        <v>13720</v>
      </c>
      <c r="J35" s="465">
        <f t="shared" si="23"/>
        <v>71652</v>
      </c>
      <c r="K35" s="465">
        <f t="shared" si="23"/>
        <v>4860</v>
      </c>
      <c r="L35" s="465">
        <f t="shared" si="23"/>
        <v>8860</v>
      </c>
      <c r="M35" s="465">
        <f t="shared" si="23"/>
        <v>91091</v>
      </c>
      <c r="N35" s="465">
        <f t="shared" si="23"/>
        <v>71652</v>
      </c>
      <c r="O35" s="463">
        <f t="shared" si="23"/>
        <v>96913</v>
      </c>
      <c r="P35" s="143">
        <f t="shared" si="2"/>
        <v>0</v>
      </c>
      <c r="Q35" s="144"/>
      <c r="R35" s="144"/>
      <c r="S35" s="144"/>
      <c r="T35" s="144"/>
      <c r="U35" s="144"/>
      <c r="V35" s="144"/>
    </row>
    <row r="36" spans="1:22" ht="13.5">
      <c r="A36" s="482" t="s">
        <v>284</v>
      </c>
      <c r="B36" s="443" t="s">
        <v>377</v>
      </c>
      <c r="C36" s="141">
        <f>+C35+C21</f>
        <v>3266097</v>
      </c>
      <c r="D36" s="461">
        <f aca="true" t="shared" si="24" ref="D36:O36">+D35+D21</f>
        <v>227951</v>
      </c>
      <c r="E36" s="465">
        <f t="shared" si="24"/>
        <v>227951</v>
      </c>
      <c r="F36" s="465">
        <f t="shared" si="24"/>
        <v>251391</v>
      </c>
      <c r="G36" s="465">
        <f t="shared" si="24"/>
        <v>299603</v>
      </c>
      <c r="H36" s="465">
        <f t="shared" si="24"/>
        <v>304800</v>
      </c>
      <c r="I36" s="465">
        <f t="shared" si="24"/>
        <v>241671</v>
      </c>
      <c r="J36" s="465">
        <f t="shared" si="24"/>
        <v>299603</v>
      </c>
      <c r="K36" s="465">
        <f t="shared" si="24"/>
        <v>232811</v>
      </c>
      <c r="L36" s="465">
        <f t="shared" si="24"/>
        <v>236811</v>
      </c>
      <c r="M36" s="465">
        <f t="shared" si="24"/>
        <v>319042</v>
      </c>
      <c r="N36" s="465">
        <f t="shared" si="24"/>
        <v>299603</v>
      </c>
      <c r="O36" s="463">
        <f t="shared" si="24"/>
        <v>324860</v>
      </c>
      <c r="P36" s="143">
        <f t="shared" si="2"/>
        <v>0</v>
      </c>
      <c r="Q36" s="144"/>
      <c r="R36" s="144"/>
      <c r="S36" s="144"/>
      <c r="T36" s="144"/>
      <c r="U36" s="144"/>
      <c r="V36" s="144"/>
    </row>
    <row r="37" spans="1:22" ht="12.75">
      <c r="A37" s="482" t="s">
        <v>285</v>
      </c>
      <c r="B37" s="444" t="s">
        <v>182</v>
      </c>
      <c r="C37" s="141">
        <f>+'2 mell'!F36</f>
        <v>62592</v>
      </c>
      <c r="D37" s="462">
        <f>SUM(D38:D40)</f>
        <v>2218</v>
      </c>
      <c r="E37" s="466">
        <f aca="true" t="shared" si="25" ref="E37:O37">SUM(E38:E40)</f>
        <v>2127</v>
      </c>
      <c r="F37" s="466">
        <f t="shared" si="25"/>
        <v>934</v>
      </c>
      <c r="G37" s="466">
        <f t="shared" si="25"/>
        <v>26349.5</v>
      </c>
      <c r="H37" s="466">
        <f t="shared" si="25"/>
        <v>0</v>
      </c>
      <c r="I37" s="466">
        <f t="shared" si="25"/>
        <v>934</v>
      </c>
      <c r="J37" s="466">
        <f t="shared" si="25"/>
        <v>934</v>
      </c>
      <c r="K37" s="466">
        <f t="shared" si="25"/>
        <v>0</v>
      </c>
      <c r="L37" s="466">
        <f t="shared" si="25"/>
        <v>0</v>
      </c>
      <c r="M37" s="466">
        <f t="shared" si="25"/>
        <v>27283.5</v>
      </c>
      <c r="N37" s="466">
        <f t="shared" si="25"/>
        <v>934</v>
      </c>
      <c r="O37" s="484">
        <f t="shared" si="25"/>
        <v>878</v>
      </c>
      <c r="P37" s="143">
        <f t="shared" si="2"/>
        <v>0</v>
      </c>
      <c r="Q37" s="144"/>
      <c r="R37" s="144"/>
      <c r="S37" s="144"/>
      <c r="T37" s="144"/>
      <c r="U37" s="144"/>
      <c r="V37" s="144"/>
    </row>
    <row r="38" spans="1:22" ht="12.75">
      <c r="A38" s="485" t="s">
        <v>399</v>
      </c>
      <c r="B38" s="445" t="s">
        <v>379</v>
      </c>
      <c r="C38" s="141">
        <f>+'2 mell'!F37</f>
        <v>9893</v>
      </c>
      <c r="D38" s="460">
        <v>2218</v>
      </c>
      <c r="E38" s="464">
        <v>2127</v>
      </c>
      <c r="F38" s="464">
        <v>934</v>
      </c>
      <c r="G38" s="464"/>
      <c r="H38" s="464"/>
      <c r="I38" s="464">
        <v>934</v>
      </c>
      <c r="J38" s="464">
        <v>934</v>
      </c>
      <c r="K38" s="464"/>
      <c r="L38" s="464"/>
      <c r="M38" s="464">
        <v>934</v>
      </c>
      <c r="N38" s="464">
        <v>934</v>
      </c>
      <c r="O38" s="480">
        <v>878</v>
      </c>
      <c r="P38" s="143">
        <f t="shared" si="2"/>
        <v>0</v>
      </c>
      <c r="Q38" s="144"/>
      <c r="R38" s="144"/>
      <c r="S38" s="144"/>
      <c r="T38" s="144"/>
      <c r="U38" s="144"/>
      <c r="V38" s="144"/>
    </row>
    <row r="39" spans="1:22" ht="12.75">
      <c r="A39" s="486" t="s">
        <v>400</v>
      </c>
      <c r="B39" s="445" t="s">
        <v>183</v>
      </c>
      <c r="C39" s="141">
        <f>+'2 mell'!F38</f>
        <v>32435</v>
      </c>
      <c r="D39" s="460"/>
      <c r="E39" s="464"/>
      <c r="F39" s="464"/>
      <c r="G39" s="464">
        <f>+C39/2</f>
        <v>16217.5</v>
      </c>
      <c r="H39" s="464"/>
      <c r="I39" s="464"/>
      <c r="J39" s="464"/>
      <c r="K39" s="464"/>
      <c r="L39" s="464"/>
      <c r="M39" s="464">
        <f>+C39/2</f>
        <v>16217.5</v>
      </c>
      <c r="N39" s="464"/>
      <c r="O39" s="480"/>
      <c r="P39" s="143">
        <f t="shared" si="2"/>
        <v>0</v>
      </c>
      <c r="Q39" s="144"/>
      <c r="R39" s="144"/>
      <c r="S39" s="144"/>
      <c r="T39" s="144"/>
      <c r="U39" s="144"/>
      <c r="V39" s="144"/>
    </row>
    <row r="40" spans="1:22" ht="12.75">
      <c r="A40" s="486" t="s">
        <v>401</v>
      </c>
      <c r="B40" s="445" t="s">
        <v>378</v>
      </c>
      <c r="C40" s="141">
        <f>+'2 mell'!F39</f>
        <v>20264</v>
      </c>
      <c r="D40" s="460"/>
      <c r="E40" s="464"/>
      <c r="F40" s="464"/>
      <c r="G40" s="464">
        <f>+C40/2</f>
        <v>10132</v>
      </c>
      <c r="H40" s="464"/>
      <c r="I40" s="464"/>
      <c r="J40" s="464"/>
      <c r="K40" s="464"/>
      <c r="L40" s="464"/>
      <c r="M40" s="464">
        <f>+C40/2</f>
        <v>10132</v>
      </c>
      <c r="N40" s="464"/>
      <c r="O40" s="480"/>
      <c r="P40" s="143">
        <f t="shared" si="2"/>
        <v>0</v>
      </c>
      <c r="Q40" s="144"/>
      <c r="R40" s="144"/>
      <c r="S40" s="144"/>
      <c r="T40" s="144"/>
      <c r="U40" s="144"/>
      <c r="V40" s="144"/>
    </row>
    <row r="41" spans="1:22" s="139" customFormat="1" ht="25.5">
      <c r="A41" s="482" t="s">
        <v>286</v>
      </c>
      <c r="B41" s="444" t="s">
        <v>184</v>
      </c>
      <c r="C41" s="141">
        <f>+'2 mell'!F40</f>
        <v>0</v>
      </c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72"/>
      <c r="P41" s="143">
        <f t="shared" si="2"/>
        <v>0</v>
      </c>
      <c r="Q41" s="144"/>
      <c r="R41" s="138"/>
      <c r="S41" s="138"/>
      <c r="T41" s="138"/>
      <c r="U41" s="138"/>
      <c r="V41" s="138"/>
    </row>
    <row r="42" spans="1:22" s="139" customFormat="1" ht="12.75">
      <c r="A42" s="482" t="s">
        <v>287</v>
      </c>
      <c r="B42" s="444" t="s">
        <v>185</v>
      </c>
      <c r="C42" s="141">
        <f>+'2 mell'!F41</f>
        <v>735000</v>
      </c>
      <c r="D42" s="460"/>
      <c r="E42" s="460"/>
      <c r="F42" s="460"/>
      <c r="G42" s="460"/>
      <c r="H42" s="460"/>
      <c r="I42" s="460">
        <v>735000</v>
      </c>
      <c r="J42" s="460"/>
      <c r="K42" s="460"/>
      <c r="L42" s="460"/>
      <c r="M42" s="460"/>
      <c r="N42" s="460"/>
      <c r="O42" s="472"/>
      <c r="P42" s="143">
        <f t="shared" si="2"/>
        <v>0</v>
      </c>
      <c r="Q42" s="144"/>
      <c r="R42" s="138"/>
      <c r="S42" s="138"/>
      <c r="T42" s="138"/>
      <c r="U42" s="138"/>
      <c r="V42" s="138"/>
    </row>
    <row r="43" spans="1:22" ht="12.75">
      <c r="A43" s="482" t="s">
        <v>288</v>
      </c>
      <c r="B43" s="444" t="s">
        <v>186</v>
      </c>
      <c r="C43" s="141">
        <f>+'2 mell'!F42</f>
        <v>0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72"/>
      <c r="P43" s="143">
        <f t="shared" si="2"/>
        <v>0</v>
      </c>
      <c r="Q43" s="144"/>
      <c r="R43" s="144"/>
      <c r="S43" s="144"/>
      <c r="T43" s="144"/>
      <c r="U43" s="144"/>
      <c r="V43" s="144"/>
    </row>
    <row r="44" spans="1:22" ht="12.75">
      <c r="A44" s="482" t="s">
        <v>289</v>
      </c>
      <c r="B44" s="444" t="s">
        <v>187</v>
      </c>
      <c r="C44" s="141">
        <f>+'2 mell'!F43</f>
        <v>0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72"/>
      <c r="P44" s="143">
        <f t="shared" si="2"/>
        <v>0</v>
      </c>
      <c r="Q44" s="144"/>
      <c r="R44" s="144"/>
      <c r="S44" s="144"/>
      <c r="T44" s="144"/>
      <c r="U44" s="144"/>
      <c r="V44" s="144"/>
    </row>
    <row r="45" spans="1:22" ht="12.75">
      <c r="A45" s="482" t="s">
        <v>290</v>
      </c>
      <c r="B45" s="444" t="s">
        <v>188</v>
      </c>
      <c r="C45" s="141">
        <f>+'2 mell'!F44</f>
        <v>0</v>
      </c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72"/>
      <c r="P45" s="143">
        <f t="shared" si="2"/>
        <v>0</v>
      </c>
      <c r="Q45" s="144"/>
      <c r="R45" s="144"/>
      <c r="S45" s="144"/>
      <c r="T45" s="144"/>
      <c r="U45" s="144"/>
      <c r="V45" s="144"/>
    </row>
    <row r="46" spans="1:22" ht="12.75">
      <c r="A46" s="482" t="s">
        <v>350</v>
      </c>
      <c r="B46" s="444" t="s">
        <v>189</v>
      </c>
      <c r="C46" s="141">
        <f>+'2 mell'!F45</f>
        <v>0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72"/>
      <c r="P46" s="143">
        <f t="shared" si="2"/>
        <v>0</v>
      </c>
      <c r="Q46" s="144"/>
      <c r="R46" s="144"/>
      <c r="S46" s="144"/>
      <c r="T46" s="144"/>
      <c r="U46" s="144"/>
      <c r="V46" s="144"/>
    </row>
    <row r="47" spans="1:22" ht="12.75">
      <c r="A47" s="482" t="s">
        <v>351</v>
      </c>
      <c r="B47" s="446" t="s">
        <v>380</v>
      </c>
      <c r="C47" s="141">
        <f>SUM(C38:C46)</f>
        <v>797592</v>
      </c>
      <c r="D47" s="461">
        <f aca="true" t="shared" si="26" ref="D47:O47">SUM(D38:D46)</f>
        <v>2218</v>
      </c>
      <c r="E47" s="465">
        <f t="shared" si="26"/>
        <v>2127</v>
      </c>
      <c r="F47" s="465">
        <f t="shared" si="26"/>
        <v>934</v>
      </c>
      <c r="G47" s="465">
        <f t="shared" si="26"/>
        <v>26349.5</v>
      </c>
      <c r="H47" s="465">
        <f t="shared" si="26"/>
        <v>0</v>
      </c>
      <c r="I47" s="465">
        <f t="shared" si="26"/>
        <v>735934</v>
      </c>
      <c r="J47" s="465">
        <f t="shared" si="26"/>
        <v>934</v>
      </c>
      <c r="K47" s="465">
        <f t="shared" si="26"/>
        <v>0</v>
      </c>
      <c r="L47" s="465">
        <f t="shared" si="26"/>
        <v>0</v>
      </c>
      <c r="M47" s="465">
        <f t="shared" si="26"/>
        <v>27283.5</v>
      </c>
      <c r="N47" s="465">
        <f t="shared" si="26"/>
        <v>934</v>
      </c>
      <c r="O47" s="463">
        <f t="shared" si="26"/>
        <v>878</v>
      </c>
      <c r="P47" s="143">
        <f t="shared" si="2"/>
        <v>0</v>
      </c>
      <c r="Q47" s="144"/>
      <c r="R47" s="144"/>
      <c r="S47" s="144"/>
      <c r="T47" s="144"/>
      <c r="U47" s="144"/>
      <c r="V47" s="144"/>
    </row>
    <row r="48" spans="1:22" ht="14.25" thickBot="1">
      <c r="A48" s="271" t="s">
        <v>291</v>
      </c>
      <c r="B48" s="447" t="s">
        <v>197</v>
      </c>
      <c r="C48" s="476">
        <f>+C47+C36</f>
        <v>4063689</v>
      </c>
      <c r="D48" s="477">
        <f aca="true" t="shared" si="27" ref="D48:O48">+D47+D36</f>
        <v>230169</v>
      </c>
      <c r="E48" s="478">
        <f t="shared" si="27"/>
        <v>230078</v>
      </c>
      <c r="F48" s="478">
        <f t="shared" si="27"/>
        <v>252325</v>
      </c>
      <c r="G48" s="478">
        <f t="shared" si="27"/>
        <v>325952.5</v>
      </c>
      <c r="H48" s="478">
        <f t="shared" si="27"/>
        <v>304800</v>
      </c>
      <c r="I48" s="478">
        <f t="shared" si="27"/>
        <v>977605</v>
      </c>
      <c r="J48" s="478">
        <f t="shared" si="27"/>
        <v>300537</v>
      </c>
      <c r="K48" s="478">
        <f t="shared" si="27"/>
        <v>232811</v>
      </c>
      <c r="L48" s="478">
        <f t="shared" si="27"/>
        <v>236811</v>
      </c>
      <c r="M48" s="478">
        <f t="shared" si="27"/>
        <v>346325.5</v>
      </c>
      <c r="N48" s="478">
        <f t="shared" si="27"/>
        <v>300537</v>
      </c>
      <c r="O48" s="487">
        <f t="shared" si="27"/>
        <v>325738</v>
      </c>
      <c r="P48" s="143">
        <f t="shared" si="2"/>
        <v>0</v>
      </c>
      <c r="Q48" s="144"/>
      <c r="R48" s="144"/>
      <c r="S48" s="144"/>
      <c r="T48" s="144"/>
      <c r="U48" s="144"/>
      <c r="V48" s="144"/>
    </row>
    <row r="49" spans="1:22" s="146" customFormat="1" ht="12" customHeight="1">
      <c r="A49" s="258"/>
      <c r="B49" s="448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143"/>
      <c r="Q49" s="144"/>
      <c r="R49" s="145"/>
      <c r="S49" s="145"/>
      <c r="T49" s="145"/>
      <c r="U49" s="145"/>
      <c r="V49" s="145"/>
    </row>
    <row r="50" spans="1:22" ht="13.5" thickBot="1">
      <c r="A50" s="258"/>
      <c r="B50" s="448"/>
      <c r="P50" s="143"/>
      <c r="Q50" s="144"/>
      <c r="R50" s="144"/>
      <c r="S50" s="144"/>
      <c r="T50" s="144"/>
      <c r="U50" s="144"/>
      <c r="V50" s="144"/>
    </row>
    <row r="51" spans="1:22" s="146" customFormat="1" ht="39" thickBot="1">
      <c r="A51" s="471" t="s">
        <v>30</v>
      </c>
      <c r="B51" s="449" t="s">
        <v>190</v>
      </c>
      <c r="C51" s="132" t="s">
        <v>443</v>
      </c>
      <c r="D51" s="133" t="s">
        <v>489</v>
      </c>
      <c r="E51" s="134" t="s">
        <v>260</v>
      </c>
      <c r="F51" s="135" t="s">
        <v>261</v>
      </c>
      <c r="G51" s="135" t="s">
        <v>262</v>
      </c>
      <c r="H51" s="135" t="s">
        <v>263</v>
      </c>
      <c r="I51" s="135" t="s">
        <v>264</v>
      </c>
      <c r="J51" s="135" t="s">
        <v>265</v>
      </c>
      <c r="K51" s="135" t="s">
        <v>266</v>
      </c>
      <c r="L51" s="135" t="s">
        <v>267</v>
      </c>
      <c r="M51" s="135" t="s">
        <v>268</v>
      </c>
      <c r="N51" s="135" t="s">
        <v>269</v>
      </c>
      <c r="O51" s="136" t="s">
        <v>270</v>
      </c>
      <c r="P51" s="143"/>
      <c r="Q51" s="149"/>
      <c r="R51" s="145"/>
      <c r="S51" s="145"/>
      <c r="T51" s="145"/>
      <c r="U51" s="145"/>
      <c r="V51" s="145"/>
    </row>
    <row r="52" spans="1:22" ht="15" thickBot="1">
      <c r="A52" s="140">
        <v>1</v>
      </c>
      <c r="B52" s="450">
        <v>2</v>
      </c>
      <c r="C52" s="140">
        <v>3</v>
      </c>
      <c r="D52" s="133">
        <v>4</v>
      </c>
      <c r="E52" s="134">
        <v>5</v>
      </c>
      <c r="F52" s="135">
        <v>6</v>
      </c>
      <c r="G52" s="135">
        <v>7</v>
      </c>
      <c r="H52" s="135">
        <v>8</v>
      </c>
      <c r="I52" s="135">
        <v>9</v>
      </c>
      <c r="J52" s="135">
        <v>10</v>
      </c>
      <c r="K52" s="135">
        <v>11</v>
      </c>
      <c r="L52" s="135">
        <v>12</v>
      </c>
      <c r="M52" s="135">
        <v>13</v>
      </c>
      <c r="N52" s="135">
        <v>14</v>
      </c>
      <c r="O52" s="136">
        <v>15</v>
      </c>
      <c r="P52" s="143"/>
      <c r="Q52" s="138"/>
      <c r="R52" s="144"/>
      <c r="S52" s="144"/>
      <c r="T52" s="144"/>
      <c r="U52" s="144"/>
      <c r="V52" s="144"/>
    </row>
    <row r="53" spans="1:22" ht="12.75">
      <c r="A53" s="270" t="s">
        <v>254</v>
      </c>
      <c r="B53" s="451" t="s">
        <v>220</v>
      </c>
      <c r="C53" s="141">
        <f>+'2 mell'!F52</f>
        <v>0</v>
      </c>
      <c r="D53" s="142">
        <f aca="true" t="shared" si="28" ref="D53:O53">ROUND((+$C$53)/12,0)</f>
        <v>0</v>
      </c>
      <c r="E53" s="142">
        <f t="shared" si="28"/>
        <v>0</v>
      </c>
      <c r="F53" s="142">
        <f t="shared" si="28"/>
        <v>0</v>
      </c>
      <c r="G53" s="142">
        <f t="shared" si="28"/>
        <v>0</v>
      </c>
      <c r="H53" s="142">
        <f t="shared" si="28"/>
        <v>0</v>
      </c>
      <c r="I53" s="142">
        <f t="shared" si="28"/>
        <v>0</v>
      </c>
      <c r="J53" s="142">
        <f t="shared" si="28"/>
        <v>0</v>
      </c>
      <c r="K53" s="142">
        <f t="shared" si="28"/>
        <v>0</v>
      </c>
      <c r="L53" s="142">
        <f t="shared" si="28"/>
        <v>0</v>
      </c>
      <c r="M53" s="142">
        <f t="shared" si="28"/>
        <v>0</v>
      </c>
      <c r="N53" s="142">
        <f t="shared" si="28"/>
        <v>0</v>
      </c>
      <c r="O53" s="472">
        <f t="shared" si="28"/>
        <v>0</v>
      </c>
      <c r="P53" s="143">
        <f aca="true" t="shared" si="29" ref="P53:P91">-SUM(D53:O53)+C53</f>
        <v>0</v>
      </c>
      <c r="Q53" s="144"/>
      <c r="R53" s="144"/>
      <c r="S53" s="144"/>
      <c r="T53" s="144"/>
      <c r="U53" s="144"/>
      <c r="V53" s="144"/>
    </row>
    <row r="54" spans="1:22" ht="12.75">
      <c r="A54" s="270" t="s">
        <v>255</v>
      </c>
      <c r="B54" s="451" t="s">
        <v>221</v>
      </c>
      <c r="C54" s="141">
        <f>+'2 mell'!F53</f>
        <v>426099</v>
      </c>
      <c r="D54" s="460">
        <f>ROUND((+$C$54)/12,0)</f>
        <v>35508</v>
      </c>
      <c r="E54" s="464">
        <f aca="true" t="shared" si="30" ref="E54:N54">ROUND((+$C$54)/12,0)</f>
        <v>35508</v>
      </c>
      <c r="F54" s="464">
        <f t="shared" si="30"/>
        <v>35508</v>
      </c>
      <c r="G54" s="464">
        <f t="shared" si="30"/>
        <v>35508</v>
      </c>
      <c r="H54" s="464">
        <f t="shared" si="30"/>
        <v>35508</v>
      </c>
      <c r="I54" s="464">
        <f t="shared" si="30"/>
        <v>35508</v>
      </c>
      <c r="J54" s="464">
        <f t="shared" si="30"/>
        <v>35508</v>
      </c>
      <c r="K54" s="464">
        <f t="shared" si="30"/>
        <v>35508</v>
      </c>
      <c r="L54" s="464">
        <f t="shared" si="30"/>
        <v>35508</v>
      </c>
      <c r="M54" s="464">
        <f t="shared" si="30"/>
        <v>35508</v>
      </c>
      <c r="N54" s="464">
        <f t="shared" si="30"/>
        <v>35508</v>
      </c>
      <c r="O54" s="473">
        <f>ROUND((+$C$54)/12,0)+3</f>
        <v>35511</v>
      </c>
      <c r="P54" s="143">
        <f t="shared" si="29"/>
        <v>0</v>
      </c>
      <c r="Q54" s="144"/>
      <c r="R54" s="144"/>
      <c r="S54" s="144"/>
      <c r="T54" s="144"/>
      <c r="U54" s="144"/>
      <c r="V54" s="144"/>
    </row>
    <row r="55" spans="1:22" ht="12.75">
      <c r="A55" s="270" t="s">
        <v>33</v>
      </c>
      <c r="B55" s="451" t="s">
        <v>222</v>
      </c>
      <c r="C55" s="141">
        <f>+'2 mell'!F54</f>
        <v>480111</v>
      </c>
      <c r="D55" s="460">
        <f>ROUND((+$C$55)/12,0)</f>
        <v>40009</v>
      </c>
      <c r="E55" s="464">
        <f aca="true" t="shared" si="31" ref="E55:N55">ROUND((+$C$55)/12,0)</f>
        <v>40009</v>
      </c>
      <c r="F55" s="464">
        <f t="shared" si="31"/>
        <v>40009</v>
      </c>
      <c r="G55" s="464">
        <f t="shared" si="31"/>
        <v>40009</v>
      </c>
      <c r="H55" s="464">
        <f t="shared" si="31"/>
        <v>40009</v>
      </c>
      <c r="I55" s="464">
        <f t="shared" si="31"/>
        <v>40009</v>
      </c>
      <c r="J55" s="464">
        <f t="shared" si="31"/>
        <v>40009</v>
      </c>
      <c r="K55" s="464">
        <f t="shared" si="31"/>
        <v>40009</v>
      </c>
      <c r="L55" s="464">
        <f t="shared" si="31"/>
        <v>40009</v>
      </c>
      <c r="M55" s="464">
        <f t="shared" si="31"/>
        <v>40009</v>
      </c>
      <c r="N55" s="464">
        <f t="shared" si="31"/>
        <v>40009</v>
      </c>
      <c r="O55" s="473">
        <f>ROUND((+$C$55)/12,0)+3</f>
        <v>40012</v>
      </c>
      <c r="P55" s="143">
        <f t="shared" si="29"/>
        <v>0</v>
      </c>
      <c r="Q55" s="144"/>
      <c r="R55" s="144"/>
      <c r="S55" s="144"/>
      <c r="T55" s="144"/>
      <c r="U55" s="144"/>
      <c r="V55" s="144"/>
    </row>
    <row r="56" spans="1:22" ht="12.75">
      <c r="A56" s="270" t="s">
        <v>49</v>
      </c>
      <c r="B56" s="451" t="s">
        <v>223</v>
      </c>
      <c r="C56" s="141">
        <f>+'2 mell'!F55</f>
        <v>67148</v>
      </c>
      <c r="D56" s="460">
        <f>ROUND((+$C$56)/12,0)</f>
        <v>5596</v>
      </c>
      <c r="E56" s="464">
        <f aca="true" t="shared" si="32" ref="E56:N56">ROUND((+$C$56)/12,0)</f>
        <v>5596</v>
      </c>
      <c r="F56" s="464">
        <f t="shared" si="32"/>
        <v>5596</v>
      </c>
      <c r="G56" s="464">
        <f t="shared" si="32"/>
        <v>5596</v>
      </c>
      <c r="H56" s="464">
        <f t="shared" si="32"/>
        <v>5596</v>
      </c>
      <c r="I56" s="464">
        <f t="shared" si="32"/>
        <v>5596</v>
      </c>
      <c r="J56" s="464">
        <f t="shared" si="32"/>
        <v>5596</v>
      </c>
      <c r="K56" s="464">
        <f t="shared" si="32"/>
        <v>5596</v>
      </c>
      <c r="L56" s="464">
        <f t="shared" si="32"/>
        <v>5596</v>
      </c>
      <c r="M56" s="464">
        <f t="shared" si="32"/>
        <v>5596</v>
      </c>
      <c r="N56" s="464">
        <f t="shared" si="32"/>
        <v>5596</v>
      </c>
      <c r="O56" s="473">
        <f>ROUND((+$C$56)/12,0)-4</f>
        <v>5592</v>
      </c>
      <c r="P56" s="143">
        <f t="shared" si="29"/>
        <v>0</v>
      </c>
      <c r="Q56" s="144"/>
      <c r="R56" s="144"/>
      <c r="S56" s="144"/>
      <c r="T56" s="144"/>
      <c r="U56" s="144"/>
      <c r="V56" s="144"/>
    </row>
    <row r="57" spans="1:22" ht="12.75">
      <c r="A57" s="270" t="s">
        <v>130</v>
      </c>
      <c r="B57" s="451" t="s">
        <v>224</v>
      </c>
      <c r="C57" s="141">
        <f>+'2 mell'!F56</f>
        <v>328600</v>
      </c>
      <c r="D57" s="460">
        <f>ROUND((+$C$57)/12,0)</f>
        <v>27383</v>
      </c>
      <c r="E57" s="464"/>
      <c r="F57" s="464">
        <f>ROUND((+$C$57)/12,0)*2</f>
        <v>54766</v>
      </c>
      <c r="G57" s="464">
        <f>ROUND((+$C$57)/12,0)</f>
        <v>27383</v>
      </c>
      <c r="H57" s="464">
        <f>ROUND((+$C$57)/12,0)*2</f>
        <v>54766</v>
      </c>
      <c r="I57" s="464">
        <f>ROUND((+$C$57)/12,0)</f>
        <v>27383</v>
      </c>
      <c r="J57" s="464"/>
      <c r="K57" s="464">
        <f>ROUND((+$C$57)/12,0)</f>
        <v>27383</v>
      </c>
      <c r="L57" s="464">
        <f>ROUND((+$C$57)/12,0)*2</f>
        <v>54766</v>
      </c>
      <c r="M57" s="464">
        <f>ROUND((+$C$57)/12,0)</f>
        <v>27383</v>
      </c>
      <c r="N57" s="464"/>
      <c r="O57" s="473">
        <f>ROUND((+$C$57)/12,0)+4</f>
        <v>27387</v>
      </c>
      <c r="P57" s="143">
        <f t="shared" si="29"/>
        <v>0</v>
      </c>
      <c r="Q57" s="144"/>
      <c r="R57" s="144"/>
      <c r="S57" s="144"/>
      <c r="T57" s="144"/>
      <c r="U57" s="144"/>
      <c r="V57" s="144"/>
    </row>
    <row r="58" spans="1:22" ht="12.75">
      <c r="A58" s="270" t="s">
        <v>181</v>
      </c>
      <c r="B58" s="452" t="s">
        <v>198</v>
      </c>
      <c r="C58" s="141">
        <f>+'2 mell'!F57</f>
        <v>0</v>
      </c>
      <c r="D58" s="460">
        <f>ROUND((+$C$58)/12,0)</f>
        <v>0</v>
      </c>
      <c r="E58" s="464">
        <f aca="true" t="shared" si="33" ref="E58:O58">ROUND((+$C$58)/12,0)</f>
        <v>0</v>
      </c>
      <c r="F58" s="464">
        <f t="shared" si="33"/>
        <v>0</v>
      </c>
      <c r="G58" s="464">
        <f t="shared" si="33"/>
        <v>0</v>
      </c>
      <c r="H58" s="464">
        <f t="shared" si="33"/>
        <v>0</v>
      </c>
      <c r="I58" s="464">
        <f t="shared" si="33"/>
        <v>0</v>
      </c>
      <c r="J58" s="464">
        <f t="shared" si="33"/>
        <v>0</v>
      </c>
      <c r="K58" s="464">
        <f t="shared" si="33"/>
        <v>0</v>
      </c>
      <c r="L58" s="464">
        <f t="shared" si="33"/>
        <v>0</v>
      </c>
      <c r="M58" s="464">
        <f t="shared" si="33"/>
        <v>0</v>
      </c>
      <c r="N58" s="464">
        <f t="shared" si="33"/>
        <v>0</v>
      </c>
      <c r="O58" s="473">
        <f t="shared" si="33"/>
        <v>0</v>
      </c>
      <c r="P58" s="143">
        <f t="shared" si="29"/>
        <v>0</v>
      </c>
      <c r="Q58" s="144"/>
      <c r="R58" s="144"/>
      <c r="S58" s="144"/>
      <c r="T58" s="144"/>
      <c r="U58" s="144"/>
      <c r="V58" s="144"/>
    </row>
    <row r="59" spans="1:22" ht="12.75">
      <c r="A59" s="270" t="s">
        <v>271</v>
      </c>
      <c r="B59" s="452" t="s">
        <v>199</v>
      </c>
      <c r="C59" s="141">
        <f>+'2 mell'!F58</f>
        <v>7000</v>
      </c>
      <c r="D59" s="460">
        <f>ROUND((+$C$59)/12,0)</f>
        <v>583</v>
      </c>
      <c r="E59" s="464">
        <f aca="true" t="shared" si="34" ref="E59:N59">ROUND((+$C$59)/12,0)</f>
        <v>583</v>
      </c>
      <c r="F59" s="464">
        <f t="shared" si="34"/>
        <v>583</v>
      </c>
      <c r="G59" s="464">
        <f t="shared" si="34"/>
        <v>583</v>
      </c>
      <c r="H59" s="464">
        <f t="shared" si="34"/>
        <v>583</v>
      </c>
      <c r="I59" s="464">
        <f t="shared" si="34"/>
        <v>583</v>
      </c>
      <c r="J59" s="464">
        <f t="shared" si="34"/>
        <v>583</v>
      </c>
      <c r="K59" s="464">
        <f t="shared" si="34"/>
        <v>583</v>
      </c>
      <c r="L59" s="464">
        <f t="shared" si="34"/>
        <v>583</v>
      </c>
      <c r="M59" s="464">
        <f t="shared" si="34"/>
        <v>583</v>
      </c>
      <c r="N59" s="464">
        <f t="shared" si="34"/>
        <v>583</v>
      </c>
      <c r="O59" s="473">
        <f>ROUND((+$C$59)/12,0)+4</f>
        <v>587</v>
      </c>
      <c r="P59" s="143">
        <f t="shared" si="29"/>
        <v>0</v>
      </c>
      <c r="Q59" s="145"/>
      <c r="R59" s="144"/>
      <c r="S59" s="144"/>
      <c r="T59" s="144"/>
      <c r="U59" s="144"/>
      <c r="V59" s="144"/>
    </row>
    <row r="60" spans="1:22" s="146" customFormat="1" ht="12.75">
      <c r="A60" s="270" t="s">
        <v>272</v>
      </c>
      <c r="B60" s="452" t="s">
        <v>200</v>
      </c>
      <c r="C60" s="141">
        <f>+'2 mell'!F59</f>
        <v>25600</v>
      </c>
      <c r="D60" s="460">
        <f>ROUND((+$C$60)/12,0)</f>
        <v>2133</v>
      </c>
      <c r="E60" s="464">
        <f aca="true" t="shared" si="35" ref="E60:N60">ROUND((+$C$60)/12,0)</f>
        <v>2133</v>
      </c>
      <c r="F60" s="464">
        <f t="shared" si="35"/>
        <v>2133</v>
      </c>
      <c r="G60" s="464">
        <f t="shared" si="35"/>
        <v>2133</v>
      </c>
      <c r="H60" s="464">
        <f t="shared" si="35"/>
        <v>2133</v>
      </c>
      <c r="I60" s="464">
        <f t="shared" si="35"/>
        <v>2133</v>
      </c>
      <c r="J60" s="464">
        <f t="shared" si="35"/>
        <v>2133</v>
      </c>
      <c r="K60" s="464">
        <f t="shared" si="35"/>
        <v>2133</v>
      </c>
      <c r="L60" s="464">
        <f t="shared" si="35"/>
        <v>2133</v>
      </c>
      <c r="M60" s="464">
        <f t="shared" si="35"/>
        <v>2133</v>
      </c>
      <c r="N60" s="464">
        <f t="shared" si="35"/>
        <v>2133</v>
      </c>
      <c r="O60" s="473">
        <f>ROUND((+$C$60)/12,0)+4</f>
        <v>2137</v>
      </c>
      <c r="P60" s="143">
        <f t="shared" si="29"/>
        <v>0</v>
      </c>
      <c r="Q60" s="144"/>
      <c r="R60" s="145"/>
      <c r="S60" s="145"/>
      <c r="T60" s="145"/>
      <c r="U60" s="145"/>
      <c r="V60" s="145"/>
    </row>
    <row r="61" spans="1:22" ht="39.75" customHeight="1">
      <c r="A61" s="270" t="s">
        <v>273</v>
      </c>
      <c r="B61" s="451" t="s">
        <v>225</v>
      </c>
      <c r="C61" s="141">
        <f>+'2 mell'!F60</f>
        <v>1353072</v>
      </c>
      <c r="D61" s="460">
        <f>ROUND((+$C$61)/12,0)</f>
        <v>112756</v>
      </c>
      <c r="E61" s="464">
        <f aca="true" t="shared" si="36" ref="E61:N61">ROUND((+$C$61)/12,0)</f>
        <v>112756</v>
      </c>
      <c r="F61" s="464">
        <f t="shared" si="36"/>
        <v>112756</v>
      </c>
      <c r="G61" s="464">
        <f t="shared" si="36"/>
        <v>112756</v>
      </c>
      <c r="H61" s="464">
        <f t="shared" si="36"/>
        <v>112756</v>
      </c>
      <c r="I61" s="464">
        <f t="shared" si="36"/>
        <v>112756</v>
      </c>
      <c r="J61" s="464">
        <f t="shared" si="36"/>
        <v>112756</v>
      </c>
      <c r="K61" s="464">
        <f t="shared" si="36"/>
        <v>112756</v>
      </c>
      <c r="L61" s="464">
        <f t="shared" si="36"/>
        <v>112756</v>
      </c>
      <c r="M61" s="464">
        <f t="shared" si="36"/>
        <v>112756</v>
      </c>
      <c r="N61" s="464">
        <f t="shared" si="36"/>
        <v>112756</v>
      </c>
      <c r="O61" s="473">
        <f>ROUND((+$C$61)/12,0)</f>
        <v>112756</v>
      </c>
      <c r="P61" s="143">
        <f t="shared" si="29"/>
        <v>0</v>
      </c>
      <c r="Q61" s="145"/>
      <c r="R61" s="144"/>
      <c r="S61" s="144"/>
      <c r="T61" s="144"/>
      <c r="U61" s="144"/>
      <c r="V61" s="144"/>
    </row>
    <row r="62" spans="1:22" s="146" customFormat="1" ht="12.75">
      <c r="A62" s="270" t="s">
        <v>274</v>
      </c>
      <c r="B62" s="453" t="s">
        <v>226</v>
      </c>
      <c r="C62" s="141">
        <f>+'2 mell'!F61</f>
        <v>2050</v>
      </c>
      <c r="D62" s="460">
        <f>ROUND((+$C$62)/12,0)</f>
        <v>171</v>
      </c>
      <c r="E62" s="464">
        <f aca="true" t="shared" si="37" ref="E62:N62">ROUND((+$C$62)/12,0)</f>
        <v>171</v>
      </c>
      <c r="F62" s="464">
        <f t="shared" si="37"/>
        <v>171</v>
      </c>
      <c r="G62" s="464">
        <f t="shared" si="37"/>
        <v>171</v>
      </c>
      <c r="H62" s="464">
        <f t="shared" si="37"/>
        <v>171</v>
      </c>
      <c r="I62" s="464">
        <f t="shared" si="37"/>
        <v>171</v>
      </c>
      <c r="J62" s="464">
        <f t="shared" si="37"/>
        <v>171</v>
      </c>
      <c r="K62" s="464">
        <f t="shared" si="37"/>
        <v>171</v>
      </c>
      <c r="L62" s="464">
        <f t="shared" si="37"/>
        <v>171</v>
      </c>
      <c r="M62" s="464">
        <f t="shared" si="37"/>
        <v>171</v>
      </c>
      <c r="N62" s="464">
        <f t="shared" si="37"/>
        <v>171</v>
      </c>
      <c r="O62" s="473">
        <f>ROUND((+$C$62)/12,0)-2</f>
        <v>169</v>
      </c>
      <c r="P62" s="143">
        <f t="shared" si="29"/>
        <v>0</v>
      </c>
      <c r="Q62" s="144"/>
      <c r="R62" s="145"/>
      <c r="S62" s="145"/>
      <c r="T62" s="145"/>
      <c r="U62" s="145"/>
      <c r="V62" s="145"/>
    </row>
    <row r="63" spans="1:22" ht="12.75">
      <c r="A63" s="270" t="s">
        <v>170</v>
      </c>
      <c r="B63" s="454" t="s">
        <v>201</v>
      </c>
      <c r="C63" s="141">
        <f>SUM(C53:C62)</f>
        <v>2689680</v>
      </c>
      <c r="D63" s="461">
        <f aca="true" t="shared" si="38" ref="D63:O63">SUM(D53:D62)</f>
        <v>224139</v>
      </c>
      <c r="E63" s="465">
        <f t="shared" si="38"/>
        <v>196756</v>
      </c>
      <c r="F63" s="465">
        <f t="shared" si="38"/>
        <v>251522</v>
      </c>
      <c r="G63" s="465">
        <f t="shared" si="38"/>
        <v>224139</v>
      </c>
      <c r="H63" s="465">
        <f t="shared" si="38"/>
        <v>251522</v>
      </c>
      <c r="I63" s="465">
        <f t="shared" si="38"/>
        <v>224139</v>
      </c>
      <c r="J63" s="465">
        <f t="shared" si="38"/>
        <v>196756</v>
      </c>
      <c r="K63" s="465">
        <f t="shared" si="38"/>
        <v>224139</v>
      </c>
      <c r="L63" s="465">
        <f t="shared" si="38"/>
        <v>251522</v>
      </c>
      <c r="M63" s="465">
        <f t="shared" si="38"/>
        <v>224139</v>
      </c>
      <c r="N63" s="465">
        <f t="shared" si="38"/>
        <v>196756</v>
      </c>
      <c r="O63" s="474">
        <f t="shared" si="38"/>
        <v>224151</v>
      </c>
      <c r="P63" s="143">
        <f t="shared" si="29"/>
        <v>0</v>
      </c>
      <c r="Q63" s="144"/>
      <c r="R63" s="144"/>
      <c r="S63" s="144"/>
      <c r="T63" s="144"/>
      <c r="U63" s="144"/>
      <c r="V63" s="144"/>
    </row>
    <row r="64" spans="1:22" ht="12.75">
      <c r="A64" s="270" t="s">
        <v>275</v>
      </c>
      <c r="B64" s="454" t="s">
        <v>243</v>
      </c>
      <c r="C64" s="141">
        <f>+C63-C21</f>
        <v>-45728</v>
      </c>
      <c r="D64" s="461">
        <f aca="true" t="shared" si="39" ref="D64:O64">+D63-D21</f>
        <v>-3812</v>
      </c>
      <c r="E64" s="465">
        <f t="shared" si="39"/>
        <v>-31195</v>
      </c>
      <c r="F64" s="465">
        <f t="shared" si="39"/>
        <v>23571</v>
      </c>
      <c r="G64" s="465">
        <f t="shared" si="39"/>
        <v>-3812</v>
      </c>
      <c r="H64" s="465">
        <f t="shared" si="39"/>
        <v>23571</v>
      </c>
      <c r="I64" s="465">
        <f t="shared" si="39"/>
        <v>-3812</v>
      </c>
      <c r="J64" s="465">
        <f t="shared" si="39"/>
        <v>-31195</v>
      </c>
      <c r="K64" s="465">
        <f t="shared" si="39"/>
        <v>-3812</v>
      </c>
      <c r="L64" s="465">
        <f t="shared" si="39"/>
        <v>23571</v>
      </c>
      <c r="M64" s="465">
        <f t="shared" si="39"/>
        <v>-3812</v>
      </c>
      <c r="N64" s="465">
        <f t="shared" si="39"/>
        <v>-31195</v>
      </c>
      <c r="O64" s="474">
        <f t="shared" si="39"/>
        <v>-3796</v>
      </c>
      <c r="P64" s="143">
        <f t="shared" si="29"/>
        <v>0</v>
      </c>
      <c r="Q64" s="144"/>
      <c r="R64" s="144"/>
      <c r="S64" s="144"/>
      <c r="T64" s="144"/>
      <c r="U64" s="144"/>
      <c r="V64" s="144"/>
    </row>
    <row r="65" spans="1:22" ht="12.75">
      <c r="A65" s="270" t="s">
        <v>276</v>
      </c>
      <c r="B65" s="455" t="s">
        <v>202</v>
      </c>
      <c r="C65" s="141">
        <f>+'2 mell'!F64</f>
        <v>0</v>
      </c>
      <c r="D65" s="460">
        <f>ROUND((+$C$65)/12,0)</f>
        <v>0</v>
      </c>
      <c r="E65" s="464">
        <f aca="true" t="shared" si="40" ref="E65:O65">ROUND((+$C$65)/12,0)</f>
        <v>0</v>
      </c>
      <c r="F65" s="464">
        <f t="shared" si="40"/>
        <v>0</v>
      </c>
      <c r="G65" s="464">
        <f t="shared" si="40"/>
        <v>0</v>
      </c>
      <c r="H65" s="464">
        <f t="shared" si="40"/>
        <v>0</v>
      </c>
      <c r="I65" s="464">
        <f t="shared" si="40"/>
        <v>0</v>
      </c>
      <c r="J65" s="464">
        <f t="shared" si="40"/>
        <v>0</v>
      </c>
      <c r="K65" s="464">
        <f t="shared" si="40"/>
        <v>0</v>
      </c>
      <c r="L65" s="464">
        <f t="shared" si="40"/>
        <v>0</v>
      </c>
      <c r="M65" s="464">
        <f t="shared" si="40"/>
        <v>0</v>
      </c>
      <c r="N65" s="464">
        <f t="shared" si="40"/>
        <v>0</v>
      </c>
      <c r="O65" s="473">
        <f t="shared" si="40"/>
        <v>0</v>
      </c>
      <c r="P65" s="143">
        <f t="shared" si="29"/>
        <v>0</v>
      </c>
      <c r="Q65" s="144"/>
      <c r="R65" s="144"/>
      <c r="S65" s="144"/>
      <c r="T65" s="144"/>
      <c r="U65" s="144"/>
      <c r="V65" s="144"/>
    </row>
    <row r="66" spans="1:22" ht="25.5">
      <c r="A66" s="270" t="s">
        <v>277</v>
      </c>
      <c r="B66" s="451" t="s">
        <v>227</v>
      </c>
      <c r="C66" s="141">
        <f>+'2 mell'!F65</f>
        <v>45728</v>
      </c>
      <c r="D66" s="460"/>
      <c r="E66" s="464">
        <v>17524</v>
      </c>
      <c r="F66" s="464"/>
      <c r="G66" s="464"/>
      <c r="H66" s="464">
        <f aca="true" t="shared" si="41" ref="H66:N66">ROUND((+$C$66)/12,0)</f>
        <v>3811</v>
      </c>
      <c r="I66" s="464">
        <f t="shared" si="41"/>
        <v>3811</v>
      </c>
      <c r="J66" s="464">
        <f t="shared" si="41"/>
        <v>3811</v>
      </c>
      <c r="K66" s="464">
        <f t="shared" si="41"/>
        <v>3811</v>
      </c>
      <c r="L66" s="464">
        <f t="shared" si="41"/>
        <v>3811</v>
      </c>
      <c r="M66" s="464">
        <f t="shared" si="41"/>
        <v>3811</v>
      </c>
      <c r="N66" s="464">
        <f t="shared" si="41"/>
        <v>3811</v>
      </c>
      <c r="O66" s="473">
        <v>1527</v>
      </c>
      <c r="P66" s="143">
        <f t="shared" si="29"/>
        <v>0</v>
      </c>
      <c r="Q66" s="144"/>
      <c r="R66" s="144"/>
      <c r="S66" s="144"/>
      <c r="T66" s="144"/>
      <c r="U66" s="144"/>
      <c r="V66" s="144"/>
    </row>
    <row r="67" spans="1:22" ht="12.75">
      <c r="A67" s="270" t="s">
        <v>279</v>
      </c>
      <c r="B67" s="456" t="s">
        <v>238</v>
      </c>
      <c r="C67" s="141">
        <f>+C66+C65+C63</f>
        <v>2735408</v>
      </c>
      <c r="D67" s="461">
        <f aca="true" t="shared" si="42" ref="D67:O67">+D66+D65+D63</f>
        <v>224139</v>
      </c>
      <c r="E67" s="465">
        <f t="shared" si="42"/>
        <v>214280</v>
      </c>
      <c r="F67" s="465">
        <f t="shared" si="42"/>
        <v>251522</v>
      </c>
      <c r="G67" s="465">
        <f t="shared" si="42"/>
        <v>224139</v>
      </c>
      <c r="H67" s="465">
        <f t="shared" si="42"/>
        <v>255333</v>
      </c>
      <c r="I67" s="465">
        <f t="shared" si="42"/>
        <v>227950</v>
      </c>
      <c r="J67" s="465">
        <f t="shared" si="42"/>
        <v>200567</v>
      </c>
      <c r="K67" s="465">
        <f t="shared" si="42"/>
        <v>227950</v>
      </c>
      <c r="L67" s="465">
        <f t="shared" si="42"/>
        <v>255333</v>
      </c>
      <c r="M67" s="465">
        <f t="shared" si="42"/>
        <v>227950</v>
      </c>
      <c r="N67" s="465">
        <f t="shared" si="42"/>
        <v>200567</v>
      </c>
      <c r="O67" s="474">
        <f t="shared" si="42"/>
        <v>225678</v>
      </c>
      <c r="P67" s="143">
        <f t="shared" si="29"/>
        <v>0</v>
      </c>
      <c r="Q67" s="144"/>
      <c r="R67" s="144"/>
      <c r="S67" s="144"/>
      <c r="T67" s="144"/>
      <c r="U67" s="144"/>
      <c r="V67" s="144"/>
    </row>
    <row r="68" spans="1:22" ht="12.75">
      <c r="A68" s="270" t="s">
        <v>280</v>
      </c>
      <c r="B68" s="451" t="s">
        <v>228</v>
      </c>
      <c r="C68" s="141">
        <f>+'2 mell'!F67</f>
        <v>0</v>
      </c>
      <c r="D68" s="460">
        <f>ROUND((+$C$68)/12,0)</f>
        <v>0</v>
      </c>
      <c r="E68" s="464">
        <f aca="true" t="shared" si="43" ref="E68:O68">ROUND((+$C$68)/12,0)</f>
        <v>0</v>
      </c>
      <c r="F68" s="464">
        <f t="shared" si="43"/>
        <v>0</v>
      </c>
      <c r="G68" s="464">
        <f t="shared" si="43"/>
        <v>0</v>
      </c>
      <c r="H68" s="464">
        <f t="shared" si="43"/>
        <v>0</v>
      </c>
      <c r="I68" s="464">
        <f t="shared" si="43"/>
        <v>0</v>
      </c>
      <c r="J68" s="464">
        <f t="shared" si="43"/>
        <v>0</v>
      </c>
      <c r="K68" s="464">
        <f t="shared" si="43"/>
        <v>0</v>
      </c>
      <c r="L68" s="464">
        <f t="shared" si="43"/>
        <v>0</v>
      </c>
      <c r="M68" s="464">
        <f t="shared" si="43"/>
        <v>0</v>
      </c>
      <c r="N68" s="464">
        <f t="shared" si="43"/>
        <v>0</v>
      </c>
      <c r="O68" s="473">
        <f t="shared" si="43"/>
        <v>0</v>
      </c>
      <c r="P68" s="143">
        <f t="shared" si="29"/>
        <v>0</v>
      </c>
      <c r="Q68" s="144"/>
      <c r="R68" s="144"/>
      <c r="S68" s="144"/>
      <c r="T68" s="144"/>
      <c r="U68" s="144"/>
      <c r="V68" s="144"/>
    </row>
    <row r="69" spans="1:22" ht="12.75">
      <c r="A69" s="270" t="s">
        <v>281</v>
      </c>
      <c r="B69" s="451" t="s">
        <v>229</v>
      </c>
      <c r="C69" s="141">
        <f>+'2 mell'!F68</f>
        <v>18990</v>
      </c>
      <c r="D69" s="460">
        <f aca="true" t="shared" si="44" ref="D69:N69">ROUND((+$C$69)/12,0)</f>
        <v>1583</v>
      </c>
      <c r="E69" s="464">
        <f t="shared" si="44"/>
        <v>1583</v>
      </c>
      <c r="F69" s="464">
        <f t="shared" si="44"/>
        <v>1583</v>
      </c>
      <c r="G69" s="464">
        <f t="shared" si="44"/>
        <v>1583</v>
      </c>
      <c r="H69" s="464">
        <f t="shared" si="44"/>
        <v>1583</v>
      </c>
      <c r="I69" s="464">
        <f t="shared" si="44"/>
        <v>1583</v>
      </c>
      <c r="J69" s="464">
        <f t="shared" si="44"/>
        <v>1583</v>
      </c>
      <c r="K69" s="464">
        <f t="shared" si="44"/>
        <v>1583</v>
      </c>
      <c r="L69" s="464">
        <f t="shared" si="44"/>
        <v>1583</v>
      </c>
      <c r="M69" s="464">
        <f t="shared" si="44"/>
        <v>1583</v>
      </c>
      <c r="N69" s="464">
        <f t="shared" si="44"/>
        <v>1583</v>
      </c>
      <c r="O69" s="473">
        <f>ROUND((+$C$69)/12,0)-6</f>
        <v>1577</v>
      </c>
      <c r="P69" s="143">
        <f t="shared" si="29"/>
        <v>0</v>
      </c>
      <c r="Q69" s="144"/>
      <c r="R69" s="144"/>
      <c r="S69" s="144"/>
      <c r="T69" s="144"/>
      <c r="U69" s="144"/>
      <c r="V69" s="144"/>
    </row>
    <row r="70" spans="1:22" ht="12.75">
      <c r="A70" s="270" t="s">
        <v>282</v>
      </c>
      <c r="B70" s="451" t="s">
        <v>230</v>
      </c>
      <c r="C70" s="141">
        <f>+'2 mell'!F69</f>
        <v>50342</v>
      </c>
      <c r="D70" s="460">
        <f>ROUND((+$C$70)/12,0)</f>
        <v>4195</v>
      </c>
      <c r="E70" s="464">
        <f aca="true" t="shared" si="45" ref="E70:N70">ROUND((+$C$70)/12,0)</f>
        <v>4195</v>
      </c>
      <c r="F70" s="464">
        <f t="shared" si="45"/>
        <v>4195</v>
      </c>
      <c r="G70" s="464">
        <f t="shared" si="45"/>
        <v>4195</v>
      </c>
      <c r="H70" s="464">
        <f t="shared" si="45"/>
        <v>4195</v>
      </c>
      <c r="I70" s="464">
        <f t="shared" si="45"/>
        <v>4195</v>
      </c>
      <c r="J70" s="464">
        <f t="shared" si="45"/>
        <v>4195</v>
      </c>
      <c r="K70" s="464">
        <f t="shared" si="45"/>
        <v>4195</v>
      </c>
      <c r="L70" s="464">
        <f t="shared" si="45"/>
        <v>4195</v>
      </c>
      <c r="M70" s="464">
        <f t="shared" si="45"/>
        <v>4195</v>
      </c>
      <c r="N70" s="464">
        <f t="shared" si="45"/>
        <v>4195</v>
      </c>
      <c r="O70" s="473">
        <f>ROUND((+$C$70)/12,0)+2</f>
        <v>4197</v>
      </c>
      <c r="P70" s="143">
        <f t="shared" si="29"/>
        <v>0</v>
      </c>
      <c r="Q70" s="145"/>
      <c r="R70" s="144"/>
      <c r="S70" s="144"/>
      <c r="T70" s="144"/>
      <c r="U70" s="144"/>
      <c r="V70" s="144"/>
    </row>
    <row r="71" spans="1:22" ht="25.5">
      <c r="A71" s="270" t="s">
        <v>283</v>
      </c>
      <c r="B71" s="451" t="s">
        <v>231</v>
      </c>
      <c r="C71" s="141">
        <f>+'2 mell'!F70</f>
        <v>367652</v>
      </c>
      <c r="D71" s="460">
        <f>ROUND((+$C$71)/12,0)</f>
        <v>30638</v>
      </c>
      <c r="E71" s="464">
        <f aca="true" t="shared" si="46" ref="E71:N71">ROUND((+$C$71)/12,0)</f>
        <v>30638</v>
      </c>
      <c r="F71" s="464">
        <f t="shared" si="46"/>
        <v>30638</v>
      </c>
      <c r="G71" s="464">
        <f t="shared" si="46"/>
        <v>30638</v>
      </c>
      <c r="H71" s="464">
        <f t="shared" si="46"/>
        <v>30638</v>
      </c>
      <c r="I71" s="464">
        <f t="shared" si="46"/>
        <v>30638</v>
      </c>
      <c r="J71" s="464">
        <f t="shared" si="46"/>
        <v>30638</v>
      </c>
      <c r="K71" s="464">
        <f t="shared" si="46"/>
        <v>30638</v>
      </c>
      <c r="L71" s="464">
        <f t="shared" si="46"/>
        <v>30638</v>
      </c>
      <c r="M71" s="464">
        <f t="shared" si="46"/>
        <v>30638</v>
      </c>
      <c r="N71" s="464">
        <f t="shared" si="46"/>
        <v>30638</v>
      </c>
      <c r="O71" s="473">
        <f>ROUND((+$C$71)/12,0)-4</f>
        <v>30634</v>
      </c>
      <c r="P71" s="143">
        <f t="shared" si="29"/>
        <v>0</v>
      </c>
      <c r="Q71" s="144"/>
      <c r="R71" s="144"/>
      <c r="S71" s="144"/>
      <c r="T71" s="144"/>
      <c r="U71" s="144"/>
      <c r="V71" s="144"/>
    </row>
    <row r="72" spans="1:22" ht="25.5">
      <c r="A72" s="270" t="s">
        <v>284</v>
      </c>
      <c r="B72" s="451" t="s">
        <v>232</v>
      </c>
      <c r="C72" s="141">
        <f>+'2 mell'!F71</f>
        <v>6000</v>
      </c>
      <c r="D72" s="460">
        <f>ROUND((+$C$72)/12,0)</f>
        <v>500</v>
      </c>
      <c r="E72" s="464">
        <f aca="true" t="shared" si="47" ref="E72:O72">ROUND((+$C$72)/12,0)</f>
        <v>500</v>
      </c>
      <c r="F72" s="464">
        <f t="shared" si="47"/>
        <v>500</v>
      </c>
      <c r="G72" s="464">
        <f t="shared" si="47"/>
        <v>500</v>
      </c>
      <c r="H72" s="464">
        <f t="shared" si="47"/>
        <v>500</v>
      </c>
      <c r="I72" s="464">
        <f t="shared" si="47"/>
        <v>500</v>
      </c>
      <c r="J72" s="464">
        <f t="shared" si="47"/>
        <v>500</v>
      </c>
      <c r="K72" s="464">
        <f t="shared" si="47"/>
        <v>500</v>
      </c>
      <c r="L72" s="464">
        <f t="shared" si="47"/>
        <v>500</v>
      </c>
      <c r="M72" s="464">
        <f t="shared" si="47"/>
        <v>500</v>
      </c>
      <c r="N72" s="464">
        <f t="shared" si="47"/>
        <v>500</v>
      </c>
      <c r="O72" s="473">
        <f t="shared" si="47"/>
        <v>500</v>
      </c>
      <c r="P72" s="143">
        <f t="shared" si="29"/>
        <v>0</v>
      </c>
      <c r="Q72" s="145"/>
      <c r="R72" s="144"/>
      <c r="S72" s="144"/>
      <c r="T72" s="144"/>
      <c r="U72" s="144"/>
      <c r="V72" s="144"/>
    </row>
    <row r="73" spans="1:22" ht="12.75">
      <c r="A73" s="270" t="s">
        <v>285</v>
      </c>
      <c r="B73" s="451" t="s">
        <v>233</v>
      </c>
      <c r="C73" s="141">
        <f>+'2 mell'!F72</f>
        <v>0</v>
      </c>
      <c r="D73" s="460">
        <f>ROUND((+$C$73)/12,0)</f>
        <v>0</v>
      </c>
      <c r="E73" s="464">
        <f aca="true" t="shared" si="48" ref="E73:O73">ROUND((+$C$73)/12,0)</f>
        <v>0</v>
      </c>
      <c r="F73" s="464">
        <f t="shared" si="48"/>
        <v>0</v>
      </c>
      <c r="G73" s="464">
        <f t="shared" si="48"/>
        <v>0</v>
      </c>
      <c r="H73" s="464">
        <f t="shared" si="48"/>
        <v>0</v>
      </c>
      <c r="I73" s="464">
        <f t="shared" si="48"/>
        <v>0</v>
      </c>
      <c r="J73" s="464">
        <f t="shared" si="48"/>
        <v>0</v>
      </c>
      <c r="K73" s="464">
        <f t="shared" si="48"/>
        <v>0</v>
      </c>
      <c r="L73" s="464">
        <f t="shared" si="48"/>
        <v>0</v>
      </c>
      <c r="M73" s="464">
        <f t="shared" si="48"/>
        <v>0</v>
      </c>
      <c r="N73" s="464">
        <f t="shared" si="48"/>
        <v>0</v>
      </c>
      <c r="O73" s="473">
        <f t="shared" si="48"/>
        <v>0</v>
      </c>
      <c r="P73" s="143">
        <f t="shared" si="29"/>
        <v>0</v>
      </c>
      <c r="Q73" s="144"/>
      <c r="R73" s="144"/>
      <c r="S73" s="144"/>
      <c r="T73" s="144"/>
      <c r="U73" s="144"/>
      <c r="V73" s="144"/>
    </row>
    <row r="74" spans="1:22" ht="12.75">
      <c r="A74" s="270" t="s">
        <v>286</v>
      </c>
      <c r="B74" s="453" t="s">
        <v>234</v>
      </c>
      <c r="C74" s="141">
        <f>+'2 mell'!F73</f>
        <v>0</v>
      </c>
      <c r="D74" s="460">
        <f>ROUND((+$C$74)/12,0)</f>
        <v>0</v>
      </c>
      <c r="E74" s="464">
        <f aca="true" t="shared" si="49" ref="E74:O74">ROUND((+$C$74)/12,0)</f>
        <v>0</v>
      </c>
      <c r="F74" s="464">
        <f t="shared" si="49"/>
        <v>0</v>
      </c>
      <c r="G74" s="464">
        <f t="shared" si="49"/>
        <v>0</v>
      </c>
      <c r="H74" s="464">
        <f t="shared" si="49"/>
        <v>0</v>
      </c>
      <c r="I74" s="464">
        <f t="shared" si="49"/>
        <v>0</v>
      </c>
      <c r="J74" s="464">
        <f t="shared" si="49"/>
        <v>0</v>
      </c>
      <c r="K74" s="464">
        <f t="shared" si="49"/>
        <v>0</v>
      </c>
      <c r="L74" s="464">
        <f t="shared" si="49"/>
        <v>0</v>
      </c>
      <c r="M74" s="464">
        <f t="shared" si="49"/>
        <v>0</v>
      </c>
      <c r="N74" s="464">
        <f t="shared" si="49"/>
        <v>0</v>
      </c>
      <c r="O74" s="473">
        <f t="shared" si="49"/>
        <v>0</v>
      </c>
      <c r="P74" s="143">
        <f t="shared" si="29"/>
        <v>0</v>
      </c>
      <c r="Q74" s="144"/>
      <c r="R74" s="144"/>
      <c r="S74" s="144"/>
      <c r="T74" s="144"/>
      <c r="U74" s="144"/>
      <c r="V74" s="144"/>
    </row>
    <row r="75" spans="1:22" ht="12.75">
      <c r="A75" s="270" t="s">
        <v>287</v>
      </c>
      <c r="B75" s="454" t="s">
        <v>203</v>
      </c>
      <c r="C75" s="141">
        <f>SUM(C68:C74)</f>
        <v>442984</v>
      </c>
      <c r="D75" s="461">
        <f>SUM(D68:D74)</f>
        <v>36916</v>
      </c>
      <c r="E75" s="465">
        <f aca="true" t="shared" si="50" ref="E75:O75">SUM(E68:E74)</f>
        <v>36916</v>
      </c>
      <c r="F75" s="465">
        <f t="shared" si="50"/>
        <v>36916</v>
      </c>
      <c r="G75" s="465">
        <f t="shared" si="50"/>
        <v>36916</v>
      </c>
      <c r="H75" s="465">
        <f t="shared" si="50"/>
        <v>36916</v>
      </c>
      <c r="I75" s="465">
        <f t="shared" si="50"/>
        <v>36916</v>
      </c>
      <c r="J75" s="465">
        <f t="shared" si="50"/>
        <v>36916</v>
      </c>
      <c r="K75" s="465">
        <f t="shared" si="50"/>
        <v>36916</v>
      </c>
      <c r="L75" s="465">
        <f t="shared" si="50"/>
        <v>36916</v>
      </c>
      <c r="M75" s="465">
        <f t="shared" si="50"/>
        <v>36916</v>
      </c>
      <c r="N75" s="465">
        <f t="shared" si="50"/>
        <v>36916</v>
      </c>
      <c r="O75" s="474">
        <f t="shared" si="50"/>
        <v>36908</v>
      </c>
      <c r="P75" s="143">
        <f t="shared" si="29"/>
        <v>0</v>
      </c>
      <c r="Q75" s="144"/>
      <c r="R75" s="144"/>
      <c r="S75" s="144"/>
      <c r="T75" s="144"/>
      <c r="U75" s="144"/>
      <c r="V75" s="144"/>
    </row>
    <row r="76" spans="1:22" ht="12.75">
      <c r="A76" s="270" t="s">
        <v>288</v>
      </c>
      <c r="B76" s="454" t="s">
        <v>244</v>
      </c>
      <c r="C76" s="141">
        <f>+C75-C35</f>
        <v>-87705</v>
      </c>
      <c r="D76" s="461">
        <f aca="true" t="shared" si="51" ref="D76:O76">+D75-D35</f>
        <v>36916</v>
      </c>
      <c r="E76" s="465">
        <f t="shared" si="51"/>
        <v>36916</v>
      </c>
      <c r="F76" s="465">
        <f t="shared" si="51"/>
        <v>13476</v>
      </c>
      <c r="G76" s="465">
        <f t="shared" si="51"/>
        <v>-34736</v>
      </c>
      <c r="H76" s="465">
        <f t="shared" si="51"/>
        <v>-39933</v>
      </c>
      <c r="I76" s="465">
        <f t="shared" si="51"/>
        <v>23196</v>
      </c>
      <c r="J76" s="465">
        <f t="shared" si="51"/>
        <v>-34736</v>
      </c>
      <c r="K76" s="465">
        <f t="shared" si="51"/>
        <v>32056</v>
      </c>
      <c r="L76" s="465">
        <f t="shared" si="51"/>
        <v>28056</v>
      </c>
      <c r="M76" s="465">
        <f t="shared" si="51"/>
        <v>-54175</v>
      </c>
      <c r="N76" s="465">
        <f t="shared" si="51"/>
        <v>-34736</v>
      </c>
      <c r="O76" s="474">
        <f t="shared" si="51"/>
        <v>-60005</v>
      </c>
      <c r="P76" s="143">
        <f t="shared" si="29"/>
        <v>0</v>
      </c>
      <c r="Q76" s="144"/>
      <c r="R76" s="144"/>
      <c r="S76" s="144"/>
      <c r="T76" s="144"/>
      <c r="U76" s="144"/>
      <c r="V76" s="144"/>
    </row>
    <row r="77" spans="1:22" ht="12.75">
      <c r="A77" s="270" t="s">
        <v>289</v>
      </c>
      <c r="B77" s="455" t="s">
        <v>204</v>
      </c>
      <c r="C77" s="141">
        <f>+'2 mell'!F76</f>
        <v>24705</v>
      </c>
      <c r="D77" s="460">
        <f>ROUND((+$C$77)/12,0)</f>
        <v>2059</v>
      </c>
      <c r="E77" s="464">
        <f aca="true" t="shared" si="52" ref="E77:N77">ROUND((+$C$77)/12,0)</f>
        <v>2059</v>
      </c>
      <c r="F77" s="464">
        <f t="shared" si="52"/>
        <v>2059</v>
      </c>
      <c r="G77" s="464">
        <f t="shared" si="52"/>
        <v>2059</v>
      </c>
      <c r="H77" s="464">
        <f t="shared" si="52"/>
        <v>2059</v>
      </c>
      <c r="I77" s="464">
        <f t="shared" si="52"/>
        <v>2059</v>
      </c>
      <c r="J77" s="464">
        <f t="shared" si="52"/>
        <v>2059</v>
      </c>
      <c r="K77" s="464">
        <f t="shared" si="52"/>
        <v>2059</v>
      </c>
      <c r="L77" s="464">
        <f t="shared" si="52"/>
        <v>2059</v>
      </c>
      <c r="M77" s="464">
        <f t="shared" si="52"/>
        <v>2059</v>
      </c>
      <c r="N77" s="464">
        <f t="shared" si="52"/>
        <v>2059</v>
      </c>
      <c r="O77" s="473">
        <f>ROUND((+$C$77)/12,0)-3</f>
        <v>2056</v>
      </c>
      <c r="P77" s="143">
        <f t="shared" si="29"/>
        <v>0</v>
      </c>
      <c r="Q77" s="144"/>
      <c r="R77" s="144"/>
      <c r="S77" s="144"/>
      <c r="T77" s="144"/>
      <c r="U77" s="144"/>
      <c r="V77" s="144"/>
    </row>
    <row r="78" spans="1:22" ht="25.5">
      <c r="A78" s="270" t="s">
        <v>290</v>
      </c>
      <c r="B78" s="451" t="s">
        <v>235</v>
      </c>
      <c r="C78" s="141">
        <f>+'2 mell'!F77</f>
        <v>63000</v>
      </c>
      <c r="D78" s="460">
        <f>ROUND((+$C$78)/12,0)</f>
        <v>5250</v>
      </c>
      <c r="E78" s="464">
        <f aca="true" t="shared" si="53" ref="E78:O78">ROUND((+$C$78)/12,0)</f>
        <v>5250</v>
      </c>
      <c r="F78" s="464">
        <f t="shared" si="53"/>
        <v>5250</v>
      </c>
      <c r="G78" s="464">
        <f t="shared" si="53"/>
        <v>5250</v>
      </c>
      <c r="H78" s="464">
        <f t="shared" si="53"/>
        <v>5250</v>
      </c>
      <c r="I78" s="464">
        <f t="shared" si="53"/>
        <v>5250</v>
      </c>
      <c r="J78" s="464">
        <f t="shared" si="53"/>
        <v>5250</v>
      </c>
      <c r="K78" s="464">
        <f t="shared" si="53"/>
        <v>5250</v>
      </c>
      <c r="L78" s="464">
        <f t="shared" si="53"/>
        <v>5250</v>
      </c>
      <c r="M78" s="464">
        <f t="shared" si="53"/>
        <v>5250</v>
      </c>
      <c r="N78" s="464">
        <f t="shared" si="53"/>
        <v>5250</v>
      </c>
      <c r="O78" s="473">
        <f t="shared" si="53"/>
        <v>5250</v>
      </c>
      <c r="P78" s="143">
        <f t="shared" si="29"/>
        <v>0</v>
      </c>
      <c r="Q78" s="144"/>
      <c r="R78" s="144"/>
      <c r="S78" s="144"/>
      <c r="T78" s="144"/>
      <c r="U78" s="144"/>
      <c r="V78" s="144"/>
    </row>
    <row r="79" spans="1:22" ht="12.75">
      <c r="A79" s="270" t="s">
        <v>350</v>
      </c>
      <c r="B79" s="455" t="s">
        <v>205</v>
      </c>
      <c r="C79" s="141">
        <f>+'2 mell'!F78</f>
        <v>0</v>
      </c>
      <c r="D79" s="460">
        <f>ROUND((+$C$79)/12,0)</f>
        <v>0</v>
      </c>
      <c r="E79" s="464">
        <f aca="true" t="shared" si="54" ref="E79:O79">ROUND((+$C$79)/12,0)</f>
        <v>0</v>
      </c>
      <c r="F79" s="464">
        <f t="shared" si="54"/>
        <v>0</v>
      </c>
      <c r="G79" s="464">
        <f t="shared" si="54"/>
        <v>0</v>
      </c>
      <c r="H79" s="464">
        <f t="shared" si="54"/>
        <v>0</v>
      </c>
      <c r="I79" s="464">
        <f t="shared" si="54"/>
        <v>0</v>
      </c>
      <c r="J79" s="464">
        <f t="shared" si="54"/>
        <v>0</v>
      </c>
      <c r="K79" s="464">
        <f t="shared" si="54"/>
        <v>0</v>
      </c>
      <c r="L79" s="464">
        <f t="shared" si="54"/>
        <v>0</v>
      </c>
      <c r="M79" s="464">
        <f t="shared" si="54"/>
        <v>0</v>
      </c>
      <c r="N79" s="464">
        <f t="shared" si="54"/>
        <v>0</v>
      </c>
      <c r="O79" s="473">
        <f t="shared" si="54"/>
        <v>0</v>
      </c>
      <c r="P79" s="143">
        <f t="shared" si="29"/>
        <v>0</v>
      </c>
      <c r="Q79" s="144"/>
      <c r="R79" s="144"/>
      <c r="S79" s="144"/>
      <c r="T79" s="144"/>
      <c r="U79" s="144"/>
      <c r="V79" s="144"/>
    </row>
    <row r="80" spans="1:22" ht="12.75">
      <c r="A80" s="270" t="s">
        <v>351</v>
      </c>
      <c r="B80" s="455" t="s">
        <v>206</v>
      </c>
      <c r="C80" s="141">
        <f>+'2 mell'!F79</f>
        <v>0</v>
      </c>
      <c r="D80" s="460">
        <f>ROUND((+$C$80)/12,0)</f>
        <v>0</v>
      </c>
      <c r="E80" s="464">
        <f aca="true" t="shared" si="55" ref="E80:O80">ROUND((+$C$80)/12,0)</f>
        <v>0</v>
      </c>
      <c r="F80" s="464">
        <f t="shared" si="55"/>
        <v>0</v>
      </c>
      <c r="G80" s="464">
        <f t="shared" si="55"/>
        <v>0</v>
      </c>
      <c r="H80" s="464">
        <f t="shared" si="55"/>
        <v>0</v>
      </c>
      <c r="I80" s="464">
        <f t="shared" si="55"/>
        <v>0</v>
      </c>
      <c r="J80" s="464">
        <f t="shared" si="55"/>
        <v>0</v>
      </c>
      <c r="K80" s="464">
        <f t="shared" si="55"/>
        <v>0</v>
      </c>
      <c r="L80" s="464">
        <f t="shared" si="55"/>
        <v>0</v>
      </c>
      <c r="M80" s="464">
        <f t="shared" si="55"/>
        <v>0</v>
      </c>
      <c r="N80" s="464">
        <f t="shared" si="55"/>
        <v>0</v>
      </c>
      <c r="O80" s="473">
        <f t="shared" si="55"/>
        <v>0</v>
      </c>
      <c r="P80" s="143">
        <f t="shared" si="29"/>
        <v>0</v>
      </c>
      <c r="Q80" s="144"/>
      <c r="R80" s="144"/>
      <c r="S80" s="144"/>
      <c r="T80" s="144"/>
      <c r="U80" s="144"/>
      <c r="V80" s="144"/>
    </row>
    <row r="81" spans="1:22" ht="12.75">
      <c r="A81" s="270" t="s">
        <v>291</v>
      </c>
      <c r="B81" s="456" t="s">
        <v>239</v>
      </c>
      <c r="C81" s="141">
        <f>SUM(C77:C80)+C75</f>
        <v>530689</v>
      </c>
      <c r="D81" s="461">
        <f aca="true" t="shared" si="56" ref="D81:O81">SUM(D77:D80)+D75</f>
        <v>44225</v>
      </c>
      <c r="E81" s="465">
        <f t="shared" si="56"/>
        <v>44225</v>
      </c>
      <c r="F81" s="465">
        <f t="shared" si="56"/>
        <v>44225</v>
      </c>
      <c r="G81" s="465">
        <f t="shared" si="56"/>
        <v>44225</v>
      </c>
      <c r="H81" s="465">
        <f t="shared" si="56"/>
        <v>44225</v>
      </c>
      <c r="I81" s="465">
        <f t="shared" si="56"/>
        <v>44225</v>
      </c>
      <c r="J81" s="465">
        <f t="shared" si="56"/>
        <v>44225</v>
      </c>
      <c r="K81" s="465">
        <f t="shared" si="56"/>
        <v>44225</v>
      </c>
      <c r="L81" s="465">
        <f t="shared" si="56"/>
        <v>44225</v>
      </c>
      <c r="M81" s="465">
        <f t="shared" si="56"/>
        <v>44225</v>
      </c>
      <c r="N81" s="465">
        <f t="shared" si="56"/>
        <v>44225</v>
      </c>
      <c r="O81" s="474">
        <f t="shared" si="56"/>
        <v>44214</v>
      </c>
      <c r="P81" s="143">
        <f t="shared" si="29"/>
        <v>0</v>
      </c>
      <c r="Q81" s="144"/>
      <c r="R81" s="144"/>
      <c r="S81" s="144"/>
      <c r="T81" s="144"/>
      <c r="U81" s="144"/>
      <c r="V81" s="144"/>
    </row>
    <row r="82" spans="1:22" ht="13.5">
      <c r="A82" s="270" t="s">
        <v>292</v>
      </c>
      <c r="B82" s="457" t="s">
        <v>376</v>
      </c>
      <c r="C82" s="141">
        <f>+C81+C67</f>
        <v>3266097</v>
      </c>
      <c r="D82" s="461">
        <f aca="true" t="shared" si="57" ref="D82:O82">+D81+D67</f>
        <v>268364</v>
      </c>
      <c r="E82" s="465">
        <f t="shared" si="57"/>
        <v>258505</v>
      </c>
      <c r="F82" s="465">
        <f t="shared" si="57"/>
        <v>295747</v>
      </c>
      <c r="G82" s="465">
        <f t="shared" si="57"/>
        <v>268364</v>
      </c>
      <c r="H82" s="465">
        <f t="shared" si="57"/>
        <v>299558</v>
      </c>
      <c r="I82" s="465">
        <f t="shared" si="57"/>
        <v>272175</v>
      </c>
      <c r="J82" s="465">
        <f t="shared" si="57"/>
        <v>244792</v>
      </c>
      <c r="K82" s="465">
        <f t="shared" si="57"/>
        <v>272175</v>
      </c>
      <c r="L82" s="465">
        <f t="shared" si="57"/>
        <v>299558</v>
      </c>
      <c r="M82" s="465">
        <f t="shared" si="57"/>
        <v>272175</v>
      </c>
      <c r="N82" s="465">
        <f t="shared" si="57"/>
        <v>244792</v>
      </c>
      <c r="O82" s="474">
        <f t="shared" si="57"/>
        <v>269892</v>
      </c>
      <c r="P82" s="143">
        <f t="shared" si="29"/>
        <v>0</v>
      </c>
      <c r="Q82" s="144"/>
      <c r="R82" s="144"/>
      <c r="S82" s="144"/>
      <c r="T82" s="144"/>
      <c r="U82" s="144"/>
      <c r="V82" s="144"/>
    </row>
    <row r="83" spans="1:22" ht="12.75">
      <c r="A83" s="270" t="s">
        <v>293</v>
      </c>
      <c r="B83" s="458" t="s">
        <v>172</v>
      </c>
      <c r="C83" s="141">
        <f>+'2 mell'!F82</f>
        <v>0</v>
      </c>
      <c r="D83" s="460">
        <f>ROUND((+$C$83)/12,0)</f>
        <v>0</v>
      </c>
      <c r="E83" s="464">
        <f aca="true" t="shared" si="58" ref="E83:O83">ROUND((+$C$83)/12,0)</f>
        <v>0</v>
      </c>
      <c r="F83" s="464">
        <f t="shared" si="58"/>
        <v>0</v>
      </c>
      <c r="G83" s="464">
        <f t="shared" si="58"/>
        <v>0</v>
      </c>
      <c r="H83" s="464">
        <f t="shared" si="58"/>
        <v>0</v>
      </c>
      <c r="I83" s="464">
        <f t="shared" si="58"/>
        <v>0</v>
      </c>
      <c r="J83" s="464">
        <f t="shared" si="58"/>
        <v>0</v>
      </c>
      <c r="K83" s="464">
        <f t="shared" si="58"/>
        <v>0</v>
      </c>
      <c r="L83" s="464">
        <f t="shared" si="58"/>
        <v>0</v>
      </c>
      <c r="M83" s="464">
        <f t="shared" si="58"/>
        <v>0</v>
      </c>
      <c r="N83" s="464">
        <f t="shared" si="58"/>
        <v>0</v>
      </c>
      <c r="O83" s="473">
        <f t="shared" si="58"/>
        <v>0</v>
      </c>
      <c r="P83" s="143">
        <f t="shared" si="29"/>
        <v>0</v>
      </c>
      <c r="Q83" s="144"/>
      <c r="R83" s="144"/>
      <c r="S83" s="144"/>
      <c r="T83" s="144"/>
      <c r="U83" s="144"/>
      <c r="V83" s="144"/>
    </row>
    <row r="84" spans="1:22" ht="12.75">
      <c r="A84" s="270" t="s">
        <v>294</v>
      </c>
      <c r="B84" s="458" t="s">
        <v>444</v>
      </c>
      <c r="C84" s="141">
        <f>+'2 mell'!F83</f>
        <v>735000</v>
      </c>
      <c r="D84" s="460">
        <v>735000</v>
      </c>
      <c r="E84" s="460">
        <v>0</v>
      </c>
      <c r="F84" s="460">
        <v>0</v>
      </c>
      <c r="G84" s="460">
        <v>0</v>
      </c>
      <c r="H84" s="460">
        <v>0</v>
      </c>
      <c r="I84" s="460">
        <v>0</v>
      </c>
      <c r="J84" s="464">
        <v>0</v>
      </c>
      <c r="K84" s="464">
        <v>0</v>
      </c>
      <c r="L84" s="464">
        <v>0</v>
      </c>
      <c r="M84" s="464">
        <v>0</v>
      </c>
      <c r="N84" s="464">
        <v>0</v>
      </c>
      <c r="O84" s="473">
        <v>0</v>
      </c>
      <c r="P84" s="143">
        <f t="shared" si="29"/>
        <v>0</v>
      </c>
      <c r="Q84" s="144"/>
      <c r="R84" s="144"/>
      <c r="S84" s="144"/>
      <c r="T84" s="144"/>
      <c r="U84" s="144"/>
      <c r="V84" s="144"/>
    </row>
    <row r="85" spans="1:22" ht="12.75">
      <c r="A85" s="270" t="s">
        <v>352</v>
      </c>
      <c r="B85" s="458" t="s">
        <v>176</v>
      </c>
      <c r="C85" s="141">
        <f>+'2 mell'!F84</f>
        <v>62592</v>
      </c>
      <c r="D85" s="460">
        <v>0</v>
      </c>
      <c r="E85" s="460">
        <v>0</v>
      </c>
      <c r="F85" s="460">
        <v>0</v>
      </c>
      <c r="G85" s="460">
        <v>0</v>
      </c>
      <c r="H85" s="460">
        <v>0</v>
      </c>
      <c r="I85" s="460">
        <v>62592</v>
      </c>
      <c r="J85" s="460">
        <v>0</v>
      </c>
      <c r="K85" s="460">
        <v>0</v>
      </c>
      <c r="L85" s="460">
        <v>0</v>
      </c>
      <c r="M85" s="460">
        <v>0</v>
      </c>
      <c r="N85" s="460">
        <v>0</v>
      </c>
      <c r="O85" s="460">
        <v>0</v>
      </c>
      <c r="P85" s="143">
        <f t="shared" si="29"/>
        <v>0</v>
      </c>
      <c r="Q85" s="144"/>
      <c r="R85" s="144"/>
      <c r="S85" s="144"/>
      <c r="T85" s="144"/>
      <c r="U85" s="144"/>
      <c r="V85" s="144"/>
    </row>
    <row r="86" spans="1:22" ht="12.75">
      <c r="A86" s="270" t="s">
        <v>353</v>
      </c>
      <c r="B86" s="458" t="s">
        <v>177</v>
      </c>
      <c r="C86" s="141">
        <f>+'2 mell'!F85</f>
        <v>0</v>
      </c>
      <c r="D86" s="460">
        <f aca="true" t="shared" si="59" ref="D86:O86">ROUND((+$C$83)/12,0)</f>
        <v>0</v>
      </c>
      <c r="E86" s="464">
        <f t="shared" si="59"/>
        <v>0</v>
      </c>
      <c r="F86" s="464">
        <f t="shared" si="59"/>
        <v>0</v>
      </c>
      <c r="G86" s="464">
        <f t="shared" si="59"/>
        <v>0</v>
      </c>
      <c r="H86" s="464">
        <f t="shared" si="59"/>
        <v>0</v>
      </c>
      <c r="I86" s="464">
        <f t="shared" si="59"/>
        <v>0</v>
      </c>
      <c r="J86" s="464">
        <f t="shared" si="59"/>
        <v>0</v>
      </c>
      <c r="K86" s="464">
        <f t="shared" si="59"/>
        <v>0</v>
      </c>
      <c r="L86" s="464">
        <f t="shared" si="59"/>
        <v>0</v>
      </c>
      <c r="M86" s="464">
        <f t="shared" si="59"/>
        <v>0</v>
      </c>
      <c r="N86" s="464">
        <f t="shared" si="59"/>
        <v>0</v>
      </c>
      <c r="O86" s="473">
        <f t="shared" si="59"/>
        <v>0</v>
      </c>
      <c r="P86" s="143">
        <f t="shared" si="29"/>
        <v>0</v>
      </c>
      <c r="Q86" s="144"/>
      <c r="R86" s="144"/>
      <c r="S86" s="144"/>
      <c r="T86" s="144"/>
      <c r="U86" s="144"/>
      <c r="V86" s="144"/>
    </row>
    <row r="87" spans="1:22" ht="12.75">
      <c r="A87" s="270" t="s">
        <v>354</v>
      </c>
      <c r="B87" s="458" t="s">
        <v>178</v>
      </c>
      <c r="C87" s="141">
        <f>+'2 mell'!F86</f>
        <v>0</v>
      </c>
      <c r="D87" s="460">
        <f>ROUND((+$C$87)/12,0)</f>
        <v>0</v>
      </c>
      <c r="E87" s="464">
        <f aca="true" t="shared" si="60" ref="E87:O87">ROUND((+$C$87)/12,0)</f>
        <v>0</v>
      </c>
      <c r="F87" s="464">
        <f t="shared" si="60"/>
        <v>0</v>
      </c>
      <c r="G87" s="464">
        <f t="shared" si="60"/>
        <v>0</v>
      </c>
      <c r="H87" s="464">
        <f t="shared" si="60"/>
        <v>0</v>
      </c>
      <c r="I87" s="464">
        <f t="shared" si="60"/>
        <v>0</v>
      </c>
      <c r="J87" s="464">
        <f t="shared" si="60"/>
        <v>0</v>
      </c>
      <c r="K87" s="464">
        <f t="shared" si="60"/>
        <v>0</v>
      </c>
      <c r="L87" s="464">
        <f t="shared" si="60"/>
        <v>0</v>
      </c>
      <c r="M87" s="464">
        <f t="shared" si="60"/>
        <v>0</v>
      </c>
      <c r="N87" s="464">
        <f t="shared" si="60"/>
        <v>0</v>
      </c>
      <c r="O87" s="473">
        <f t="shared" si="60"/>
        <v>0</v>
      </c>
      <c r="P87" s="143">
        <f t="shared" si="29"/>
        <v>0</v>
      </c>
      <c r="Q87" s="144"/>
      <c r="R87" s="144"/>
      <c r="S87" s="144"/>
      <c r="T87" s="144"/>
      <c r="U87" s="144"/>
      <c r="V87" s="144"/>
    </row>
    <row r="88" spans="1:22" ht="12.75">
      <c r="A88" s="270" t="s">
        <v>355</v>
      </c>
      <c r="B88" s="458" t="s">
        <v>179</v>
      </c>
      <c r="C88" s="141">
        <f>+'2 mell'!F87</f>
        <v>0</v>
      </c>
      <c r="D88" s="460">
        <f>ROUND((+$C$88)/12,0)</f>
        <v>0</v>
      </c>
      <c r="E88" s="464">
        <f aca="true" t="shared" si="61" ref="E88:O88">ROUND((+$C$88)/12,0)</f>
        <v>0</v>
      </c>
      <c r="F88" s="464">
        <f t="shared" si="61"/>
        <v>0</v>
      </c>
      <c r="G88" s="464">
        <f t="shared" si="61"/>
        <v>0</v>
      </c>
      <c r="H88" s="464">
        <f t="shared" si="61"/>
        <v>0</v>
      </c>
      <c r="I88" s="464">
        <f t="shared" si="61"/>
        <v>0</v>
      </c>
      <c r="J88" s="464">
        <f t="shared" si="61"/>
        <v>0</v>
      </c>
      <c r="K88" s="464">
        <f t="shared" si="61"/>
        <v>0</v>
      </c>
      <c r="L88" s="464">
        <f t="shared" si="61"/>
        <v>0</v>
      </c>
      <c r="M88" s="464">
        <f t="shared" si="61"/>
        <v>0</v>
      </c>
      <c r="N88" s="464">
        <f t="shared" si="61"/>
        <v>0</v>
      </c>
      <c r="O88" s="473">
        <f t="shared" si="61"/>
        <v>0</v>
      </c>
      <c r="P88" s="143">
        <f t="shared" si="29"/>
        <v>0</v>
      </c>
      <c r="Q88" s="144"/>
      <c r="R88" s="144"/>
      <c r="S88" s="144"/>
      <c r="T88" s="144"/>
      <c r="U88" s="144"/>
      <c r="V88" s="144"/>
    </row>
    <row r="89" spans="1:22" ht="12.75">
      <c r="A89" s="270" t="s">
        <v>356</v>
      </c>
      <c r="B89" s="458" t="s">
        <v>180</v>
      </c>
      <c r="C89" s="141">
        <f>+'2 mell'!F88</f>
        <v>0</v>
      </c>
      <c r="D89" s="460">
        <f>ROUND((+$C$89)/12,0)</f>
        <v>0</v>
      </c>
      <c r="E89" s="464">
        <f aca="true" t="shared" si="62" ref="E89:O89">ROUND((+$C$89)/12,0)</f>
        <v>0</v>
      </c>
      <c r="F89" s="464">
        <f t="shared" si="62"/>
        <v>0</v>
      </c>
      <c r="G89" s="464">
        <f t="shared" si="62"/>
        <v>0</v>
      </c>
      <c r="H89" s="464">
        <f t="shared" si="62"/>
        <v>0</v>
      </c>
      <c r="I89" s="464">
        <f t="shared" si="62"/>
        <v>0</v>
      </c>
      <c r="J89" s="464">
        <f t="shared" si="62"/>
        <v>0</v>
      </c>
      <c r="K89" s="464">
        <f t="shared" si="62"/>
        <v>0</v>
      </c>
      <c r="L89" s="464">
        <f t="shared" si="62"/>
        <v>0</v>
      </c>
      <c r="M89" s="464">
        <f t="shared" si="62"/>
        <v>0</v>
      </c>
      <c r="N89" s="464">
        <f t="shared" si="62"/>
        <v>0</v>
      </c>
      <c r="O89" s="473">
        <f t="shared" si="62"/>
        <v>0</v>
      </c>
      <c r="P89" s="143">
        <f t="shared" si="29"/>
        <v>0</v>
      </c>
      <c r="Q89" s="144"/>
      <c r="R89" s="144"/>
      <c r="S89" s="144"/>
      <c r="T89" s="144"/>
      <c r="U89" s="144"/>
      <c r="V89" s="144"/>
    </row>
    <row r="90" spans="1:22" ht="12.75">
      <c r="A90" s="270" t="s">
        <v>357</v>
      </c>
      <c r="B90" s="459" t="s">
        <v>381</v>
      </c>
      <c r="C90" s="141">
        <f>SUM(C83:C89)</f>
        <v>797592</v>
      </c>
      <c r="D90" s="461">
        <f>SUM(D83:D89)</f>
        <v>735000</v>
      </c>
      <c r="E90" s="465">
        <f aca="true" t="shared" si="63" ref="E90:O90">SUM(E83:E89)</f>
        <v>0</v>
      </c>
      <c r="F90" s="465">
        <f t="shared" si="63"/>
        <v>0</v>
      </c>
      <c r="G90" s="465">
        <f t="shared" si="63"/>
        <v>0</v>
      </c>
      <c r="H90" s="465">
        <f t="shared" si="63"/>
        <v>0</v>
      </c>
      <c r="I90" s="465">
        <f t="shared" si="63"/>
        <v>62592</v>
      </c>
      <c r="J90" s="465">
        <f t="shared" si="63"/>
        <v>0</v>
      </c>
      <c r="K90" s="465">
        <f t="shared" si="63"/>
        <v>0</v>
      </c>
      <c r="L90" s="465">
        <f t="shared" si="63"/>
        <v>0</v>
      </c>
      <c r="M90" s="465">
        <f t="shared" si="63"/>
        <v>0</v>
      </c>
      <c r="N90" s="465">
        <f t="shared" si="63"/>
        <v>0</v>
      </c>
      <c r="O90" s="474">
        <f t="shared" si="63"/>
        <v>0</v>
      </c>
      <c r="P90" s="143">
        <f t="shared" si="29"/>
        <v>0</v>
      </c>
      <c r="Q90" s="144"/>
      <c r="R90" s="144"/>
      <c r="S90" s="144"/>
      <c r="T90" s="144"/>
      <c r="U90" s="144"/>
      <c r="V90" s="144"/>
    </row>
    <row r="91" spans="1:22" ht="14.25" thickBot="1">
      <c r="A91" s="271" t="s">
        <v>358</v>
      </c>
      <c r="B91" s="475" t="s">
        <v>382</v>
      </c>
      <c r="C91" s="476">
        <f>+C90+C82</f>
        <v>4063689</v>
      </c>
      <c r="D91" s="477">
        <f>+D90+D82</f>
        <v>1003364</v>
      </c>
      <c r="E91" s="478">
        <f aca="true" t="shared" si="64" ref="E91:O91">+E90+E82</f>
        <v>258505</v>
      </c>
      <c r="F91" s="478">
        <f t="shared" si="64"/>
        <v>295747</v>
      </c>
      <c r="G91" s="478">
        <f t="shared" si="64"/>
        <v>268364</v>
      </c>
      <c r="H91" s="478">
        <f t="shared" si="64"/>
        <v>299558</v>
      </c>
      <c r="I91" s="478">
        <f t="shared" si="64"/>
        <v>334767</v>
      </c>
      <c r="J91" s="478">
        <f t="shared" si="64"/>
        <v>244792</v>
      </c>
      <c r="K91" s="478">
        <f t="shared" si="64"/>
        <v>272175</v>
      </c>
      <c r="L91" s="478">
        <f t="shared" si="64"/>
        <v>299558</v>
      </c>
      <c r="M91" s="478">
        <f t="shared" si="64"/>
        <v>272175</v>
      </c>
      <c r="N91" s="478">
        <f t="shared" si="64"/>
        <v>244792</v>
      </c>
      <c r="O91" s="479">
        <f t="shared" si="64"/>
        <v>269892</v>
      </c>
      <c r="P91" s="143">
        <f t="shared" si="29"/>
        <v>0</v>
      </c>
      <c r="Q91" s="144"/>
      <c r="R91" s="144"/>
      <c r="S91" s="144"/>
      <c r="T91" s="144"/>
      <c r="U91" s="144"/>
      <c r="V91" s="144"/>
    </row>
    <row r="92" spans="3:22" ht="12.75">
      <c r="C92" s="150"/>
      <c r="D92" s="150"/>
      <c r="P92" s="143"/>
      <c r="Q92" s="144"/>
      <c r="R92" s="144"/>
      <c r="S92" s="144"/>
      <c r="T92" s="144"/>
      <c r="U92" s="144"/>
      <c r="V92" s="144"/>
    </row>
    <row r="93" spans="3:22" ht="12.75">
      <c r="C93" s="150"/>
      <c r="D93" s="150"/>
      <c r="P93" s="143"/>
      <c r="Q93" s="144"/>
      <c r="R93" s="144"/>
      <c r="S93" s="144"/>
      <c r="T93" s="144"/>
      <c r="U93" s="144"/>
      <c r="V93" s="144"/>
    </row>
    <row r="94" spans="16:22" ht="12.75">
      <c r="P94" s="143"/>
      <c r="Q94" s="144"/>
      <c r="R94" s="144"/>
      <c r="S94" s="144"/>
      <c r="T94" s="144"/>
      <c r="U94" s="144"/>
      <c r="V94" s="144"/>
    </row>
    <row r="95" spans="4:22" ht="12.75">
      <c r="D95" s="126">
        <f>+D91-D48</f>
        <v>773195</v>
      </c>
      <c r="E95" s="126">
        <f aca="true" t="shared" si="65" ref="E95:O95">+E91-E48</f>
        <v>28427</v>
      </c>
      <c r="F95" s="126">
        <f t="shared" si="65"/>
        <v>43422</v>
      </c>
      <c r="G95" s="126">
        <f t="shared" si="65"/>
        <v>-57588.5</v>
      </c>
      <c r="H95" s="126">
        <f t="shared" si="65"/>
        <v>-5242</v>
      </c>
      <c r="I95" s="126">
        <f t="shared" si="65"/>
        <v>-642838</v>
      </c>
      <c r="J95" s="126">
        <f t="shared" si="65"/>
        <v>-55745</v>
      </c>
      <c r="K95" s="126">
        <f t="shared" si="65"/>
        <v>39364</v>
      </c>
      <c r="L95" s="126">
        <f t="shared" si="65"/>
        <v>62747</v>
      </c>
      <c r="M95" s="126">
        <f t="shared" si="65"/>
        <v>-74150.5</v>
      </c>
      <c r="N95" s="126">
        <f t="shared" si="65"/>
        <v>-55745</v>
      </c>
      <c r="O95" s="126">
        <f t="shared" si="65"/>
        <v>-55846</v>
      </c>
      <c r="P95" s="143">
        <f>SUM(D95:O95)-C95</f>
        <v>0</v>
      </c>
      <c r="Q95" s="144"/>
      <c r="R95" s="144"/>
      <c r="S95" s="144"/>
      <c r="T95" s="144"/>
      <c r="U95" s="144"/>
      <c r="V95" s="144"/>
    </row>
    <row r="96" spans="16:22" ht="12.75">
      <c r="P96" s="143"/>
      <c r="Q96" s="144"/>
      <c r="R96" s="144"/>
      <c r="S96" s="144"/>
      <c r="T96" s="144"/>
      <c r="U96" s="144"/>
      <c r="V96" s="144"/>
    </row>
    <row r="97" spans="6:22" ht="12.75">
      <c r="F97" s="124"/>
      <c r="P97" s="143"/>
      <c r="Q97" s="144"/>
      <c r="R97" s="144"/>
      <c r="S97" s="144"/>
      <c r="T97" s="144"/>
      <c r="U97" s="144"/>
      <c r="V97" s="144"/>
    </row>
    <row r="98" spans="4:22" ht="12.75"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43"/>
      <c r="Q98" s="144"/>
      <c r="R98" s="144"/>
      <c r="S98" s="144"/>
      <c r="T98" s="144"/>
      <c r="U98" s="144"/>
      <c r="V98" s="144"/>
    </row>
    <row r="99" spans="4:22" ht="12.75"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43"/>
      <c r="Q99" s="144"/>
      <c r="R99" s="144"/>
      <c r="S99" s="144"/>
      <c r="T99" s="144"/>
      <c r="U99" s="144"/>
      <c r="V99" s="144"/>
    </row>
    <row r="100" spans="4:22" ht="12.75"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43"/>
      <c r="Q100" s="144"/>
      <c r="R100" s="144"/>
      <c r="S100" s="144"/>
      <c r="T100" s="144"/>
      <c r="U100" s="144"/>
      <c r="V100" s="144"/>
    </row>
    <row r="101" spans="5:22" ht="12.75">
      <c r="E101" s="126"/>
      <c r="P101" s="143"/>
      <c r="Q101" s="144"/>
      <c r="R101" s="144"/>
      <c r="S101" s="144"/>
      <c r="T101" s="144"/>
      <c r="U101" s="144"/>
      <c r="V101" s="144"/>
    </row>
    <row r="102" spans="5:22" ht="12.75">
      <c r="E102" s="126"/>
      <c r="P102" s="143"/>
      <c r="Q102" s="144"/>
      <c r="R102" s="144"/>
      <c r="S102" s="144"/>
      <c r="T102" s="144"/>
      <c r="U102" s="144"/>
      <c r="V102" s="144"/>
    </row>
    <row r="103" spans="16:22" ht="12.75">
      <c r="P103" s="143"/>
      <c r="Q103" s="144"/>
      <c r="R103" s="144"/>
      <c r="S103" s="144"/>
      <c r="T103" s="144"/>
      <c r="U103" s="144"/>
      <c r="V103" s="144"/>
    </row>
    <row r="104" spans="16:22" ht="12.75">
      <c r="P104" s="143"/>
      <c r="Q104" s="144"/>
      <c r="R104" s="144"/>
      <c r="S104" s="144"/>
      <c r="T104" s="144"/>
      <c r="U104" s="144"/>
      <c r="V104" s="144"/>
    </row>
    <row r="105" spans="16:22" ht="12.75">
      <c r="P105" s="143"/>
      <c r="Q105" s="144"/>
      <c r="R105" s="144"/>
      <c r="S105" s="144"/>
      <c r="T105" s="144"/>
      <c r="U105" s="144"/>
      <c r="V105" s="144"/>
    </row>
    <row r="106" spans="16:22" ht="12.75">
      <c r="P106" s="143"/>
      <c r="Q106" s="144"/>
      <c r="R106" s="144"/>
      <c r="S106" s="144"/>
      <c r="T106" s="144"/>
      <c r="U106" s="144"/>
      <c r="V106" s="144"/>
    </row>
    <row r="107" spans="16:22" ht="12.75">
      <c r="P107" s="143"/>
      <c r="Q107" s="144"/>
      <c r="R107" s="144"/>
      <c r="S107" s="144"/>
      <c r="T107" s="144"/>
      <c r="U107" s="144"/>
      <c r="V107" s="144"/>
    </row>
    <row r="108" spans="16:22" ht="12.75">
      <c r="P108" s="143"/>
      <c r="Q108" s="144"/>
      <c r="R108" s="144"/>
      <c r="S108" s="144"/>
      <c r="T108" s="144"/>
      <c r="U108" s="144"/>
      <c r="V108" s="144"/>
    </row>
    <row r="109" spans="16:22" ht="12.75">
      <c r="P109" s="143"/>
      <c r="Q109" s="144"/>
      <c r="R109" s="144"/>
      <c r="S109" s="144"/>
      <c r="T109" s="144"/>
      <c r="U109" s="144"/>
      <c r="V109" s="144"/>
    </row>
    <row r="110" spans="16:22" ht="12.75">
      <c r="P110" s="143"/>
      <c r="Q110" s="144"/>
      <c r="R110" s="144"/>
      <c r="S110" s="144"/>
      <c r="T110" s="144"/>
      <c r="U110" s="144"/>
      <c r="V110" s="144"/>
    </row>
    <row r="111" spans="16:22" ht="12.75">
      <c r="P111" s="143"/>
      <c r="Q111" s="144"/>
      <c r="R111" s="144"/>
      <c r="S111" s="144"/>
      <c r="T111" s="144"/>
      <c r="U111" s="144"/>
      <c r="V111" s="144"/>
    </row>
    <row r="112" spans="16:22" ht="12.75">
      <c r="P112" s="143"/>
      <c r="Q112" s="144"/>
      <c r="R112" s="144"/>
      <c r="S112" s="144"/>
      <c r="T112" s="144"/>
      <c r="U112" s="144"/>
      <c r="V112" s="144"/>
    </row>
    <row r="113" spans="16:22" ht="12.75">
      <c r="P113" s="143"/>
      <c r="Q113" s="144"/>
      <c r="R113" s="144"/>
      <c r="S113" s="144"/>
      <c r="T113" s="144"/>
      <c r="U113" s="144"/>
      <c r="V113" s="144"/>
    </row>
    <row r="114" spans="16:22" ht="12.75">
      <c r="P114" s="143"/>
      <c r="Q114" s="144"/>
      <c r="R114" s="144"/>
      <c r="S114" s="144"/>
      <c r="T114" s="144"/>
      <c r="U114" s="144"/>
      <c r="V114" s="144"/>
    </row>
    <row r="115" spans="16:22" ht="12.75">
      <c r="P115" s="143"/>
      <c r="Q115" s="144"/>
      <c r="R115" s="144"/>
      <c r="S115" s="144"/>
      <c r="T115" s="144"/>
      <c r="U115" s="144"/>
      <c r="V115" s="144"/>
    </row>
    <row r="116" spans="16:22" ht="12.75">
      <c r="P116" s="143"/>
      <c r="Q116" s="144"/>
      <c r="R116" s="144"/>
      <c r="S116" s="144"/>
      <c r="T116" s="144"/>
      <c r="U116" s="144"/>
      <c r="V116" s="144"/>
    </row>
    <row r="117" spans="16:22" ht="12.75">
      <c r="P117" s="143"/>
      <c r="Q117" s="144"/>
      <c r="R117" s="144"/>
      <c r="S117" s="144"/>
      <c r="T117" s="144"/>
      <c r="U117" s="144"/>
      <c r="V117" s="144"/>
    </row>
    <row r="118" spans="16:22" ht="12.75">
      <c r="P118" s="143"/>
      <c r="Q118" s="144"/>
      <c r="R118" s="144"/>
      <c r="S118" s="144"/>
      <c r="T118" s="144"/>
      <c r="U118" s="144"/>
      <c r="V118" s="144"/>
    </row>
    <row r="119" spans="16:22" ht="12.75">
      <c r="P119" s="143"/>
      <c r="Q119" s="144"/>
      <c r="R119" s="144"/>
      <c r="S119" s="144"/>
      <c r="T119" s="144"/>
      <c r="U119" s="144"/>
      <c r="V119" s="144"/>
    </row>
    <row r="120" spans="16:22" ht="12.75">
      <c r="P120" s="143"/>
      <c r="Q120" s="144"/>
      <c r="R120" s="144"/>
      <c r="S120" s="144"/>
      <c r="T120" s="144"/>
      <c r="U120" s="144"/>
      <c r="V120" s="144"/>
    </row>
    <row r="121" spans="16:22" ht="12.75">
      <c r="P121" s="143"/>
      <c r="Q121" s="144"/>
      <c r="R121" s="144"/>
      <c r="S121" s="144"/>
      <c r="T121" s="144"/>
      <c r="U121" s="144"/>
      <c r="V121" s="144"/>
    </row>
    <row r="122" spans="16:22" ht="12.75">
      <c r="P122" s="143"/>
      <c r="Q122" s="144"/>
      <c r="R122" s="144"/>
      <c r="S122" s="144"/>
      <c r="T122" s="144"/>
      <c r="U122" s="144"/>
      <c r="V122" s="144"/>
    </row>
    <row r="123" spans="16:22" ht="12.75">
      <c r="P123" s="143"/>
      <c r="Q123" s="144"/>
      <c r="R123" s="144"/>
      <c r="S123" s="144"/>
      <c r="T123" s="144"/>
      <c r="U123" s="144"/>
      <c r="V123" s="144"/>
    </row>
    <row r="124" spans="16:22" ht="12.75">
      <c r="P124" s="143"/>
      <c r="Q124" s="144"/>
      <c r="R124" s="144"/>
      <c r="S124" s="144"/>
      <c r="T124" s="144"/>
      <c r="U124" s="144"/>
      <c r="V124" s="144"/>
    </row>
    <row r="125" spans="16:22" ht="12.75">
      <c r="P125" s="143"/>
      <c r="Q125" s="144"/>
      <c r="R125" s="144"/>
      <c r="S125" s="144"/>
      <c r="T125" s="144"/>
      <c r="U125" s="144"/>
      <c r="V125" s="144"/>
    </row>
    <row r="126" spans="16:22" ht="12.75">
      <c r="P126" s="143"/>
      <c r="Q126" s="144"/>
      <c r="R126" s="144"/>
      <c r="S126" s="144"/>
      <c r="T126" s="144"/>
      <c r="U126" s="144"/>
      <c r="V126" s="144"/>
    </row>
    <row r="127" spans="16:22" ht="12.75">
      <c r="P127" s="143"/>
      <c r="Q127" s="144"/>
      <c r="R127" s="144"/>
      <c r="S127" s="144"/>
      <c r="T127" s="144"/>
      <c r="U127" s="144"/>
      <c r="V127" s="144"/>
    </row>
    <row r="128" spans="16:22" ht="12.75">
      <c r="P128" s="143"/>
      <c r="Q128" s="144"/>
      <c r="R128" s="144"/>
      <c r="S128" s="144"/>
      <c r="T128" s="144"/>
      <c r="U128" s="144"/>
      <c r="V128" s="144"/>
    </row>
    <row r="129" spans="16:22" ht="12.75">
      <c r="P129" s="143"/>
      <c r="Q129" s="144"/>
      <c r="R129" s="144"/>
      <c r="S129" s="144"/>
      <c r="T129" s="144"/>
      <c r="U129" s="144"/>
      <c r="V129" s="144"/>
    </row>
    <row r="130" spans="16:22" ht="12.75">
      <c r="P130" s="143"/>
      <c r="Q130" s="144"/>
      <c r="R130" s="144"/>
      <c r="S130" s="144"/>
      <c r="T130" s="144"/>
      <c r="U130" s="144"/>
      <c r="V130" s="144"/>
    </row>
    <row r="131" spans="16:22" ht="12.75">
      <c r="P131" s="143"/>
      <c r="Q131" s="144"/>
      <c r="R131" s="144"/>
      <c r="S131" s="144"/>
      <c r="T131" s="144"/>
      <c r="U131" s="144"/>
      <c r="V131" s="144"/>
    </row>
    <row r="132" spans="16:22" ht="12.75">
      <c r="P132" s="143"/>
      <c r="Q132" s="144"/>
      <c r="R132" s="144"/>
      <c r="S132" s="144"/>
      <c r="T132" s="144"/>
      <c r="U132" s="144"/>
      <c r="V132" s="144"/>
    </row>
    <row r="133" spans="16:22" ht="12.75">
      <c r="P133" s="143"/>
      <c r="Q133" s="144"/>
      <c r="R133" s="144"/>
      <c r="S133" s="144"/>
      <c r="T133" s="144"/>
      <c r="U133" s="144"/>
      <c r="V133" s="144"/>
    </row>
    <row r="134" spans="16:22" ht="12.75">
      <c r="P134" s="143"/>
      <c r="Q134" s="144"/>
      <c r="R134" s="144"/>
      <c r="S134" s="144"/>
      <c r="T134" s="144"/>
      <c r="U134" s="144"/>
      <c r="V134" s="144"/>
    </row>
    <row r="135" spans="16:22" ht="12.75">
      <c r="P135" s="143"/>
      <c r="Q135" s="144"/>
      <c r="R135" s="144"/>
      <c r="S135" s="144"/>
      <c r="T135" s="144"/>
      <c r="U135" s="144"/>
      <c r="V135" s="144"/>
    </row>
    <row r="136" spans="16:22" ht="12.75">
      <c r="P136" s="143"/>
      <c r="Q136" s="144"/>
      <c r="R136" s="144"/>
      <c r="S136" s="144"/>
      <c r="T136" s="144"/>
      <c r="U136" s="144"/>
      <c r="V136" s="144"/>
    </row>
    <row r="137" spans="16:22" ht="12.75">
      <c r="P137" s="143"/>
      <c r="Q137" s="144"/>
      <c r="R137" s="144"/>
      <c r="S137" s="144"/>
      <c r="T137" s="144"/>
      <c r="U137" s="144"/>
      <c r="V137" s="144"/>
    </row>
    <row r="138" spans="16:22" ht="12.75">
      <c r="P138" s="143"/>
      <c r="Q138" s="144"/>
      <c r="R138" s="144"/>
      <c r="S138" s="144"/>
      <c r="T138" s="144"/>
      <c r="U138" s="144"/>
      <c r="V138" s="144"/>
    </row>
    <row r="139" spans="16:22" ht="12.75">
      <c r="P139" s="143"/>
      <c r="Q139" s="144"/>
      <c r="R139" s="144"/>
      <c r="S139" s="144"/>
      <c r="T139" s="144"/>
      <c r="U139" s="144"/>
      <c r="V139" s="144"/>
    </row>
    <row r="140" spans="16:22" ht="12.75">
      <c r="P140" s="143"/>
      <c r="Q140" s="144"/>
      <c r="R140" s="144"/>
      <c r="S140" s="144"/>
      <c r="T140" s="144"/>
      <c r="U140" s="144"/>
      <c r="V140" s="144"/>
    </row>
    <row r="141" spans="16:22" ht="12.75">
      <c r="P141" s="143"/>
      <c r="Q141" s="144"/>
      <c r="R141" s="144"/>
      <c r="S141" s="144"/>
      <c r="T141" s="144"/>
      <c r="U141" s="144"/>
      <c r="V141" s="144"/>
    </row>
    <row r="142" spans="16:22" ht="12.75">
      <c r="P142" s="143"/>
      <c r="Q142" s="144"/>
      <c r="R142" s="144"/>
      <c r="S142" s="144"/>
      <c r="T142" s="144"/>
      <c r="U142" s="144"/>
      <c r="V142" s="144"/>
    </row>
    <row r="143" spans="16:22" ht="12.75">
      <c r="P143" s="143"/>
      <c r="Q143" s="144"/>
      <c r="R143" s="144"/>
      <c r="S143" s="144"/>
      <c r="T143" s="144"/>
      <c r="U143" s="144"/>
      <c r="V143" s="144"/>
    </row>
    <row r="144" spans="16:22" ht="12.75">
      <c r="P144" s="143"/>
      <c r="Q144" s="144"/>
      <c r="R144" s="144"/>
      <c r="S144" s="144"/>
      <c r="T144" s="144"/>
      <c r="U144" s="144"/>
      <c r="V144" s="144"/>
    </row>
    <row r="145" spans="16:22" ht="12.75">
      <c r="P145" s="143"/>
      <c r="Q145" s="144"/>
      <c r="R145" s="144"/>
      <c r="S145" s="144"/>
      <c r="T145" s="144"/>
      <c r="U145" s="144"/>
      <c r="V145" s="144"/>
    </row>
    <row r="146" spans="16:22" ht="12.75">
      <c r="P146" s="143"/>
      <c r="Q146" s="144"/>
      <c r="R146" s="144"/>
      <c r="S146" s="144"/>
      <c r="T146" s="144"/>
      <c r="U146" s="144"/>
      <c r="V146" s="144"/>
    </row>
    <row r="147" spans="16:22" ht="12.75">
      <c r="P147" s="143"/>
      <c r="Q147" s="144"/>
      <c r="R147" s="144"/>
      <c r="S147" s="144"/>
      <c r="T147" s="144"/>
      <c r="U147" s="144"/>
      <c r="V147" s="144"/>
    </row>
    <row r="148" spans="16:22" ht="12.75">
      <c r="P148" s="143"/>
      <c r="Q148" s="144"/>
      <c r="R148" s="144"/>
      <c r="S148" s="144"/>
      <c r="T148" s="144"/>
      <c r="U148" s="144"/>
      <c r="V148" s="144"/>
    </row>
    <row r="149" spans="16:22" ht="12.75">
      <c r="P149" s="143"/>
      <c r="Q149" s="144"/>
      <c r="R149" s="144"/>
      <c r="S149" s="144"/>
      <c r="T149" s="144"/>
      <c r="U149" s="144"/>
      <c r="V149" s="144"/>
    </row>
    <row r="150" spans="16:22" ht="12.75">
      <c r="P150" s="143"/>
      <c r="Q150" s="144"/>
      <c r="R150" s="144"/>
      <c r="S150" s="144"/>
      <c r="T150" s="144"/>
      <c r="U150" s="144"/>
      <c r="V150" s="144"/>
    </row>
    <row r="151" spans="16:22" ht="12.75">
      <c r="P151" s="143"/>
      <c r="Q151" s="144"/>
      <c r="R151" s="144"/>
      <c r="S151" s="144"/>
      <c r="T151" s="144"/>
      <c r="U151" s="144"/>
      <c r="V151" s="144"/>
    </row>
    <row r="152" spans="16:22" ht="12.75">
      <c r="P152" s="143"/>
      <c r="Q152" s="144"/>
      <c r="R152" s="144"/>
      <c r="S152" s="144"/>
      <c r="T152" s="144"/>
      <c r="U152" s="144"/>
      <c r="V152" s="144"/>
    </row>
    <row r="153" spans="16:22" ht="12.75">
      <c r="P153" s="143"/>
      <c r="Q153" s="144"/>
      <c r="R153" s="144"/>
      <c r="S153" s="144"/>
      <c r="T153" s="144"/>
      <c r="U153" s="144"/>
      <c r="V153" s="144"/>
    </row>
    <row r="154" spans="16:22" ht="12.75">
      <c r="P154" s="143"/>
      <c r="Q154" s="144"/>
      <c r="R154" s="144"/>
      <c r="S154" s="144"/>
      <c r="T154" s="144"/>
      <c r="U154" s="144"/>
      <c r="V154" s="144"/>
    </row>
    <row r="155" spans="16:22" ht="12.75">
      <c r="P155" s="143"/>
      <c r="Q155" s="144"/>
      <c r="R155" s="144"/>
      <c r="S155" s="144"/>
      <c r="T155" s="144"/>
      <c r="U155" s="144"/>
      <c r="V155" s="144"/>
    </row>
    <row r="156" spans="16:22" ht="12.75">
      <c r="P156" s="143"/>
      <c r="Q156" s="144"/>
      <c r="R156" s="144"/>
      <c r="S156" s="144"/>
      <c r="T156" s="144"/>
      <c r="U156" s="144"/>
      <c r="V156" s="144"/>
    </row>
    <row r="157" spans="16:22" ht="12.75">
      <c r="P157" s="143"/>
      <c r="Q157" s="144"/>
      <c r="R157" s="144"/>
      <c r="S157" s="144"/>
      <c r="T157" s="144"/>
      <c r="U157" s="144"/>
      <c r="V157" s="144"/>
    </row>
    <row r="158" spans="16:22" ht="12.75">
      <c r="P158" s="143"/>
      <c r="Q158" s="144"/>
      <c r="R158" s="144"/>
      <c r="S158" s="144"/>
      <c r="T158" s="144"/>
      <c r="U158" s="144"/>
      <c r="V158" s="144"/>
    </row>
    <row r="159" spans="16:22" ht="12.75">
      <c r="P159" s="143"/>
      <c r="Q159" s="144"/>
      <c r="R159" s="144"/>
      <c r="S159" s="144"/>
      <c r="T159" s="144"/>
      <c r="U159" s="144"/>
      <c r="V159" s="144"/>
    </row>
    <row r="160" spans="16:22" ht="12.75">
      <c r="P160" s="143"/>
      <c r="Q160" s="144"/>
      <c r="R160" s="144"/>
      <c r="S160" s="144"/>
      <c r="T160" s="144"/>
      <c r="U160" s="144"/>
      <c r="V160" s="144"/>
    </row>
    <row r="161" spans="16:22" ht="12.75">
      <c r="P161" s="143"/>
      <c r="Q161" s="144"/>
      <c r="R161" s="144"/>
      <c r="S161" s="144"/>
      <c r="T161" s="144"/>
      <c r="U161" s="144"/>
      <c r="V161" s="144"/>
    </row>
    <row r="162" spans="16:22" ht="12.75">
      <c r="P162" s="143"/>
      <c r="Q162" s="144"/>
      <c r="R162" s="144"/>
      <c r="S162" s="144"/>
      <c r="T162" s="144"/>
      <c r="U162" s="144"/>
      <c r="V162" s="144"/>
    </row>
    <row r="163" spans="16:22" ht="12.75">
      <c r="P163" s="143"/>
      <c r="Q163" s="144"/>
      <c r="R163" s="144"/>
      <c r="S163" s="144"/>
      <c r="T163" s="144"/>
      <c r="U163" s="144"/>
      <c r="V163" s="144"/>
    </row>
    <row r="164" spans="16:22" ht="12.75">
      <c r="P164" s="143"/>
      <c r="Q164" s="144"/>
      <c r="R164" s="144"/>
      <c r="S164" s="144"/>
      <c r="T164" s="144"/>
      <c r="U164" s="144"/>
      <c r="V164" s="144"/>
    </row>
    <row r="165" spans="16:22" ht="12.75">
      <c r="P165" s="143"/>
      <c r="Q165" s="144"/>
      <c r="R165" s="144"/>
      <c r="S165" s="144"/>
      <c r="T165" s="144"/>
      <c r="U165" s="144"/>
      <c r="V165" s="144"/>
    </row>
    <row r="166" spans="16:22" ht="12.75">
      <c r="P166" s="143"/>
      <c r="Q166" s="144"/>
      <c r="R166" s="144"/>
      <c r="S166" s="144"/>
      <c r="T166" s="144"/>
      <c r="U166" s="144"/>
      <c r="V166" s="144"/>
    </row>
    <row r="167" spans="16:22" ht="12.75">
      <c r="P167" s="143"/>
      <c r="Q167" s="144"/>
      <c r="R167" s="144"/>
      <c r="S167" s="144"/>
      <c r="T167" s="144"/>
      <c r="U167" s="144"/>
      <c r="V167" s="144"/>
    </row>
    <row r="168" spans="16:22" ht="12.75">
      <c r="P168" s="143"/>
      <c r="Q168" s="144"/>
      <c r="R168" s="144"/>
      <c r="S168" s="144"/>
      <c r="T168" s="144"/>
      <c r="U168" s="144"/>
      <c r="V168" s="144"/>
    </row>
    <row r="169" spans="16:22" ht="12.75">
      <c r="P169" s="143"/>
      <c r="Q169" s="144"/>
      <c r="R169" s="144"/>
      <c r="S169" s="144"/>
      <c r="T169" s="144"/>
      <c r="U169" s="144"/>
      <c r="V169" s="144"/>
    </row>
    <row r="170" spans="16:22" ht="12.75">
      <c r="P170" s="143"/>
      <c r="Q170" s="144"/>
      <c r="R170" s="144"/>
      <c r="S170" s="144"/>
      <c r="T170" s="144"/>
      <c r="U170" s="144"/>
      <c r="V170" s="144"/>
    </row>
    <row r="171" spans="16:22" ht="12.75">
      <c r="P171" s="143"/>
      <c r="Q171" s="144"/>
      <c r="R171" s="144"/>
      <c r="S171" s="144"/>
      <c r="T171" s="144"/>
      <c r="U171" s="144"/>
      <c r="V171" s="144"/>
    </row>
    <row r="172" spans="16:22" ht="12.75">
      <c r="P172" s="143"/>
      <c r="Q172" s="144"/>
      <c r="R172" s="144"/>
      <c r="S172" s="144"/>
      <c r="T172" s="144"/>
      <c r="U172" s="144"/>
      <c r="V172" s="144"/>
    </row>
    <row r="173" spans="16:22" ht="12.75">
      <c r="P173" s="143"/>
      <c r="Q173" s="144"/>
      <c r="R173" s="144"/>
      <c r="S173" s="144"/>
      <c r="T173" s="144"/>
      <c r="U173" s="144"/>
      <c r="V173" s="144"/>
    </row>
    <row r="174" spans="16:22" ht="12.75">
      <c r="P174" s="143"/>
      <c r="Q174" s="144"/>
      <c r="R174" s="144"/>
      <c r="S174" s="144"/>
      <c r="T174" s="144"/>
      <c r="U174" s="144"/>
      <c r="V174" s="144"/>
    </row>
    <row r="175" spans="16:22" ht="12.75">
      <c r="P175" s="143"/>
      <c r="Q175" s="144"/>
      <c r="R175" s="144"/>
      <c r="S175" s="144"/>
      <c r="T175" s="144"/>
      <c r="U175" s="144"/>
      <c r="V175" s="144"/>
    </row>
    <row r="176" spans="16:22" ht="12.75">
      <c r="P176" s="143"/>
      <c r="Q176" s="144"/>
      <c r="R176" s="144"/>
      <c r="S176" s="144"/>
      <c r="T176" s="144"/>
      <c r="U176" s="144"/>
      <c r="V176" s="144"/>
    </row>
    <row r="177" spans="16:22" ht="12.75">
      <c r="P177" s="143"/>
      <c r="Q177" s="144"/>
      <c r="R177" s="144"/>
      <c r="S177" s="144"/>
      <c r="T177" s="144"/>
      <c r="U177" s="144"/>
      <c r="V177" s="144"/>
    </row>
    <row r="178" spans="16:22" ht="12.75">
      <c r="P178" s="143"/>
      <c r="Q178" s="144"/>
      <c r="R178" s="144"/>
      <c r="S178" s="144"/>
      <c r="T178" s="144"/>
      <c r="U178" s="144"/>
      <c r="V178" s="144"/>
    </row>
    <row r="179" spans="16:22" ht="12.75">
      <c r="P179" s="143"/>
      <c r="Q179" s="144"/>
      <c r="R179" s="144"/>
      <c r="S179" s="144"/>
      <c r="T179" s="144"/>
      <c r="U179" s="144"/>
      <c r="V179" s="144"/>
    </row>
    <row r="180" spans="16:22" ht="12.75">
      <c r="P180" s="143"/>
      <c r="Q180" s="144"/>
      <c r="R180" s="144"/>
      <c r="S180" s="144"/>
      <c r="T180" s="144"/>
      <c r="U180" s="144"/>
      <c r="V180" s="144"/>
    </row>
    <row r="181" spans="16:22" ht="12.75">
      <c r="P181" s="143"/>
      <c r="Q181" s="144"/>
      <c r="R181" s="144"/>
      <c r="S181" s="144"/>
      <c r="T181" s="144"/>
      <c r="U181" s="144"/>
      <c r="V181" s="144"/>
    </row>
    <row r="182" spans="16:22" ht="12.75">
      <c r="P182" s="143"/>
      <c r="Q182" s="144"/>
      <c r="R182" s="144"/>
      <c r="S182" s="144"/>
      <c r="T182" s="144"/>
      <c r="U182" s="144"/>
      <c r="V182" s="144"/>
    </row>
    <row r="183" spans="16:22" ht="12.75">
      <c r="P183" s="143"/>
      <c r="Q183" s="144"/>
      <c r="R183" s="144"/>
      <c r="S183" s="144"/>
      <c r="T183" s="144"/>
      <c r="U183" s="144"/>
      <c r="V183" s="144"/>
    </row>
    <row r="184" spans="16:22" ht="12.75">
      <c r="P184" s="143"/>
      <c r="Q184" s="144"/>
      <c r="R184" s="144"/>
      <c r="S184" s="144"/>
      <c r="T184" s="144"/>
      <c r="U184" s="144"/>
      <c r="V184" s="144"/>
    </row>
    <row r="185" spans="16:22" ht="12.75">
      <c r="P185" s="143"/>
      <c r="Q185" s="144"/>
      <c r="R185" s="144"/>
      <c r="S185" s="144"/>
      <c r="T185" s="144"/>
      <c r="U185" s="144"/>
      <c r="V185" s="144"/>
    </row>
    <row r="186" spans="16:22" ht="12.75">
      <c r="P186" s="143"/>
      <c r="Q186" s="144"/>
      <c r="R186" s="144"/>
      <c r="S186" s="144"/>
      <c r="T186" s="144"/>
      <c r="U186" s="144"/>
      <c r="V186" s="144"/>
    </row>
    <row r="187" spans="16:22" ht="12.75">
      <c r="P187" s="143"/>
      <c r="Q187" s="144"/>
      <c r="R187" s="144"/>
      <c r="S187" s="144"/>
      <c r="T187" s="144"/>
      <c r="U187" s="144"/>
      <c r="V187" s="144"/>
    </row>
    <row r="188" spans="16:22" ht="12.75">
      <c r="P188" s="143"/>
      <c r="Q188" s="144"/>
      <c r="R188" s="144"/>
      <c r="S188" s="144"/>
      <c r="T188" s="144"/>
      <c r="U188" s="144"/>
      <c r="V188" s="144"/>
    </row>
    <row r="189" spans="16:22" ht="12.75">
      <c r="P189" s="143"/>
      <c r="Q189" s="144"/>
      <c r="R189" s="144"/>
      <c r="S189" s="144"/>
      <c r="T189" s="144"/>
      <c r="U189" s="144"/>
      <c r="V189" s="144"/>
    </row>
    <row r="190" spans="16:22" ht="12.75">
      <c r="P190" s="143"/>
      <c r="Q190" s="144"/>
      <c r="R190" s="144"/>
      <c r="S190" s="144"/>
      <c r="T190" s="144"/>
      <c r="U190" s="144"/>
      <c r="V190" s="144"/>
    </row>
    <row r="191" spans="16:22" ht="12.75">
      <c r="P191" s="143"/>
      <c r="Q191" s="144"/>
      <c r="R191" s="144"/>
      <c r="S191" s="144"/>
      <c r="T191" s="144"/>
      <c r="U191" s="144"/>
      <c r="V191" s="144"/>
    </row>
    <row r="192" spans="16:22" ht="12.75">
      <c r="P192" s="143"/>
      <c r="Q192" s="144"/>
      <c r="R192" s="144"/>
      <c r="S192" s="144"/>
      <c r="T192" s="144"/>
      <c r="U192" s="144"/>
      <c r="V192" s="144"/>
    </row>
    <row r="193" spans="16:22" ht="12.75">
      <c r="P193" s="143"/>
      <c r="Q193" s="144"/>
      <c r="R193" s="144"/>
      <c r="S193" s="144"/>
      <c r="T193" s="144"/>
      <c r="U193" s="144"/>
      <c r="V193" s="144"/>
    </row>
    <row r="194" spans="16:22" ht="12.75">
      <c r="P194" s="143"/>
      <c r="Q194" s="144"/>
      <c r="R194" s="144"/>
      <c r="S194" s="144"/>
      <c r="T194" s="144"/>
      <c r="U194" s="144"/>
      <c r="V194" s="144"/>
    </row>
    <row r="195" spans="16:22" ht="12.75">
      <c r="P195" s="143"/>
      <c r="Q195" s="144"/>
      <c r="R195" s="144"/>
      <c r="S195" s="144"/>
      <c r="T195" s="144"/>
      <c r="U195" s="144"/>
      <c r="V195" s="144"/>
    </row>
    <row r="196" spans="16:22" ht="12.75">
      <c r="P196" s="143"/>
      <c r="Q196" s="144"/>
      <c r="R196" s="144"/>
      <c r="S196" s="144"/>
      <c r="T196" s="144"/>
      <c r="U196" s="144"/>
      <c r="V196" s="144"/>
    </row>
    <row r="197" spans="16:22" ht="12.75">
      <c r="P197" s="143"/>
      <c r="Q197" s="144"/>
      <c r="R197" s="144"/>
      <c r="S197" s="144"/>
      <c r="T197" s="144"/>
      <c r="U197" s="144"/>
      <c r="V197" s="144"/>
    </row>
    <row r="198" spans="16:22" ht="12.75">
      <c r="P198" s="143"/>
      <c r="Q198" s="144"/>
      <c r="R198" s="144"/>
      <c r="S198" s="144"/>
      <c r="T198" s="144"/>
      <c r="U198" s="144"/>
      <c r="V198" s="144"/>
    </row>
    <row r="199" spans="16:22" ht="12.75">
      <c r="P199" s="143"/>
      <c r="Q199" s="144"/>
      <c r="R199" s="144"/>
      <c r="S199" s="144"/>
      <c r="T199" s="144"/>
      <c r="U199" s="144"/>
      <c r="V199" s="144"/>
    </row>
    <row r="200" spans="16:22" ht="12.75">
      <c r="P200" s="143"/>
      <c r="Q200" s="144"/>
      <c r="R200" s="144"/>
      <c r="S200" s="144"/>
      <c r="T200" s="144"/>
      <c r="U200" s="144"/>
      <c r="V200" s="144"/>
    </row>
    <row r="201" spans="16:22" ht="12.75">
      <c r="P201" s="143"/>
      <c r="Q201" s="144"/>
      <c r="R201" s="144"/>
      <c r="S201" s="144"/>
      <c r="T201" s="144"/>
      <c r="U201" s="144"/>
      <c r="V201" s="144"/>
    </row>
    <row r="202" spans="16:22" ht="12.75">
      <c r="P202" s="143"/>
      <c r="Q202" s="144"/>
      <c r="R202" s="144"/>
      <c r="S202" s="144"/>
      <c r="T202" s="144"/>
      <c r="U202" s="144"/>
      <c r="V202" s="144"/>
    </row>
    <row r="203" spans="16:22" ht="12.75">
      <c r="P203" s="143"/>
      <c r="Q203" s="144"/>
      <c r="R203" s="144"/>
      <c r="S203" s="144"/>
      <c r="T203" s="144"/>
      <c r="U203" s="144"/>
      <c r="V203" s="144"/>
    </row>
    <row r="204" spans="16:22" ht="12.75">
      <c r="P204" s="143"/>
      <c r="Q204" s="144"/>
      <c r="R204" s="144"/>
      <c r="S204" s="144"/>
      <c r="T204" s="144"/>
      <c r="U204" s="144"/>
      <c r="V204" s="144"/>
    </row>
    <row r="205" spans="16:22" ht="12.75">
      <c r="P205" s="143"/>
      <c r="Q205" s="144"/>
      <c r="R205" s="144"/>
      <c r="S205" s="144"/>
      <c r="T205" s="144"/>
      <c r="U205" s="144"/>
      <c r="V205" s="144"/>
    </row>
    <row r="206" spans="16:22" ht="12.75">
      <c r="P206" s="143"/>
      <c r="Q206" s="144"/>
      <c r="R206" s="144"/>
      <c r="S206" s="144"/>
      <c r="T206" s="144"/>
      <c r="U206" s="144"/>
      <c r="V206" s="144"/>
    </row>
    <row r="207" spans="16:22" ht="12.75">
      <c r="P207" s="143"/>
      <c r="Q207" s="144"/>
      <c r="R207" s="144"/>
      <c r="S207" s="144"/>
      <c r="T207" s="144"/>
      <c r="U207" s="144"/>
      <c r="V207" s="144"/>
    </row>
    <row r="208" spans="16:22" ht="12.75">
      <c r="P208" s="143"/>
      <c r="Q208" s="144"/>
      <c r="R208" s="144"/>
      <c r="S208" s="144"/>
      <c r="T208" s="144"/>
      <c r="U208" s="144"/>
      <c r="V208" s="144"/>
    </row>
    <row r="209" spans="16:22" ht="12.75">
      <c r="P209" s="143"/>
      <c r="Q209" s="144"/>
      <c r="R209" s="144"/>
      <c r="S209" s="144"/>
      <c r="T209" s="144"/>
      <c r="U209" s="144"/>
      <c r="V209" s="144"/>
    </row>
    <row r="210" spans="16:22" ht="12.75">
      <c r="P210" s="143"/>
      <c r="Q210" s="144"/>
      <c r="R210" s="144"/>
      <c r="S210" s="144"/>
      <c r="T210" s="144"/>
      <c r="U210" s="144"/>
      <c r="V210" s="144"/>
    </row>
    <row r="211" spans="16:22" ht="12.75">
      <c r="P211" s="143"/>
      <c r="Q211" s="144"/>
      <c r="R211" s="144"/>
      <c r="S211" s="144"/>
      <c r="T211" s="144"/>
      <c r="U211" s="144"/>
      <c r="V211" s="144"/>
    </row>
    <row r="212" spans="16:22" ht="12.75">
      <c r="P212" s="143"/>
      <c r="Q212" s="144"/>
      <c r="R212" s="144"/>
      <c r="S212" s="144"/>
      <c r="T212" s="144"/>
      <c r="U212" s="144"/>
      <c r="V212" s="144"/>
    </row>
    <row r="213" spans="16:22" ht="12.75">
      <c r="P213" s="143"/>
      <c r="Q213" s="144"/>
      <c r="R213" s="144"/>
      <c r="S213" s="144"/>
      <c r="T213" s="144"/>
      <c r="U213" s="144"/>
      <c r="V213" s="144"/>
    </row>
    <row r="214" spans="16:22" ht="12.75">
      <c r="P214" s="143"/>
      <c r="Q214" s="144"/>
      <c r="R214" s="144"/>
      <c r="S214" s="144"/>
      <c r="T214" s="144"/>
      <c r="U214" s="144"/>
      <c r="V214" s="144"/>
    </row>
    <row r="215" spans="16:22" ht="12.75">
      <c r="P215" s="143"/>
      <c r="Q215" s="144"/>
      <c r="R215" s="144"/>
      <c r="S215" s="144"/>
      <c r="T215" s="144"/>
      <c r="U215" s="144"/>
      <c r="V215" s="144"/>
    </row>
    <row r="216" spans="16:22" ht="12.75">
      <c r="P216" s="143"/>
      <c r="Q216" s="144"/>
      <c r="R216" s="144"/>
      <c r="S216" s="144"/>
      <c r="T216" s="144"/>
      <c r="U216" s="144"/>
      <c r="V216" s="144"/>
    </row>
    <row r="217" spans="16:22" ht="12.75">
      <c r="P217" s="143"/>
      <c r="Q217" s="144"/>
      <c r="R217" s="144"/>
      <c r="S217" s="144"/>
      <c r="T217" s="144"/>
      <c r="U217" s="144"/>
      <c r="V217" s="144"/>
    </row>
    <row r="218" spans="16:22" ht="12.75">
      <c r="P218" s="143"/>
      <c r="Q218" s="144"/>
      <c r="R218" s="144"/>
      <c r="S218" s="144"/>
      <c r="T218" s="144"/>
      <c r="U218" s="144"/>
      <c r="V218" s="144"/>
    </row>
    <row r="219" spans="16:22" ht="12.75">
      <c r="P219" s="143"/>
      <c r="Q219" s="144"/>
      <c r="R219" s="144"/>
      <c r="S219" s="144"/>
      <c r="T219" s="144"/>
      <c r="U219" s="144"/>
      <c r="V219" s="144"/>
    </row>
    <row r="220" spans="16:22" ht="12.75">
      <c r="P220" s="143"/>
      <c r="Q220" s="144"/>
      <c r="R220" s="144"/>
      <c r="S220" s="144"/>
      <c r="T220" s="144"/>
      <c r="U220" s="144"/>
      <c r="V220" s="144"/>
    </row>
    <row r="221" spans="16:22" ht="12.75">
      <c r="P221" s="143"/>
      <c r="Q221" s="144"/>
      <c r="R221" s="144"/>
      <c r="S221" s="144"/>
      <c r="T221" s="144"/>
      <c r="U221" s="144"/>
      <c r="V221" s="144"/>
    </row>
    <row r="222" spans="16:22" ht="12.75">
      <c r="P222" s="143"/>
      <c r="Q222" s="144"/>
      <c r="R222" s="144"/>
      <c r="S222" s="144"/>
      <c r="T222" s="144"/>
      <c r="U222" s="144"/>
      <c r="V222" s="144"/>
    </row>
    <row r="223" spans="16:22" ht="12.75">
      <c r="P223" s="143"/>
      <c r="Q223" s="144"/>
      <c r="R223" s="144"/>
      <c r="S223" s="144"/>
      <c r="T223" s="144"/>
      <c r="U223" s="144"/>
      <c r="V223" s="144"/>
    </row>
    <row r="224" spans="16:22" ht="12.75">
      <c r="P224" s="143"/>
      <c r="Q224" s="144"/>
      <c r="R224" s="144"/>
      <c r="S224" s="144"/>
      <c r="T224" s="144"/>
      <c r="U224" s="144"/>
      <c r="V224" s="144"/>
    </row>
    <row r="225" spans="16:22" ht="12.75">
      <c r="P225" s="143"/>
      <c r="Q225" s="144"/>
      <c r="R225" s="144"/>
      <c r="S225" s="144"/>
      <c r="T225" s="144"/>
      <c r="U225" s="144"/>
      <c r="V225" s="144"/>
    </row>
    <row r="226" spans="16:22" ht="12.75">
      <c r="P226" s="143"/>
      <c r="Q226" s="144"/>
      <c r="R226" s="144"/>
      <c r="S226" s="144"/>
      <c r="T226" s="144"/>
      <c r="U226" s="144"/>
      <c r="V226" s="144"/>
    </row>
    <row r="227" spans="16:22" ht="12.75">
      <c r="P227" s="143"/>
      <c r="Q227" s="144"/>
      <c r="R227" s="144"/>
      <c r="S227" s="144"/>
      <c r="T227" s="144"/>
      <c r="U227" s="144"/>
      <c r="V227" s="144"/>
    </row>
    <row r="228" spans="16:22" ht="12.75">
      <c r="P228" s="143"/>
      <c r="Q228" s="144"/>
      <c r="R228" s="144"/>
      <c r="S228" s="144"/>
      <c r="T228" s="144"/>
      <c r="U228" s="144"/>
      <c r="V228" s="144"/>
    </row>
    <row r="229" spans="16:22" ht="12.75">
      <c r="P229" s="143"/>
      <c r="Q229" s="144"/>
      <c r="R229" s="144"/>
      <c r="S229" s="144"/>
      <c r="T229" s="144"/>
      <c r="U229" s="144"/>
      <c r="V229" s="144"/>
    </row>
    <row r="230" spans="16:22" ht="12.75">
      <c r="P230" s="143"/>
      <c r="Q230" s="144"/>
      <c r="R230" s="144"/>
      <c r="S230" s="144"/>
      <c r="T230" s="144"/>
      <c r="U230" s="144"/>
      <c r="V230" s="144"/>
    </row>
    <row r="231" spans="16:22" ht="12.75">
      <c r="P231" s="143"/>
      <c r="Q231" s="144"/>
      <c r="R231" s="144"/>
      <c r="S231" s="144"/>
      <c r="T231" s="144"/>
      <c r="U231" s="144"/>
      <c r="V231" s="144"/>
    </row>
    <row r="232" spans="16:22" ht="12.75">
      <c r="P232" s="143"/>
      <c r="Q232" s="144"/>
      <c r="R232" s="144"/>
      <c r="S232" s="144"/>
      <c r="T232" s="144"/>
      <c r="U232" s="144"/>
      <c r="V232" s="144"/>
    </row>
    <row r="233" spans="16:22" ht="12.75">
      <c r="P233" s="143"/>
      <c r="Q233" s="144"/>
      <c r="R233" s="144"/>
      <c r="S233" s="144"/>
      <c r="T233" s="144"/>
      <c r="U233" s="144"/>
      <c r="V233" s="144"/>
    </row>
    <row r="234" spans="16:22" ht="12.75">
      <c r="P234" s="143"/>
      <c r="Q234" s="144"/>
      <c r="R234" s="144"/>
      <c r="S234" s="144"/>
      <c r="T234" s="144"/>
      <c r="U234" s="144"/>
      <c r="V234" s="144"/>
    </row>
    <row r="235" spans="16:22" ht="12.75">
      <c r="P235" s="143"/>
      <c r="Q235" s="144"/>
      <c r="R235" s="144"/>
      <c r="S235" s="144"/>
      <c r="T235" s="144"/>
      <c r="U235" s="144"/>
      <c r="V235" s="144"/>
    </row>
    <row r="236" spans="16:22" ht="12.75">
      <c r="P236" s="143"/>
      <c r="Q236" s="144"/>
      <c r="R236" s="144"/>
      <c r="S236" s="144"/>
      <c r="T236" s="144"/>
      <c r="U236" s="144"/>
      <c r="V236" s="144"/>
    </row>
    <row r="237" spans="16:22" ht="12.75">
      <c r="P237" s="143"/>
      <c r="Q237" s="144"/>
      <c r="R237" s="144"/>
      <c r="S237" s="144"/>
      <c r="T237" s="144"/>
      <c r="U237" s="144"/>
      <c r="V237" s="144"/>
    </row>
    <row r="238" spans="16:22" ht="12.75">
      <c r="P238" s="143"/>
      <c r="Q238" s="144"/>
      <c r="R238" s="144"/>
      <c r="S238" s="144"/>
      <c r="T238" s="144"/>
      <c r="U238" s="144"/>
      <c r="V238" s="144"/>
    </row>
    <row r="239" spans="16:22" ht="12.75">
      <c r="P239" s="143"/>
      <c r="Q239" s="144"/>
      <c r="R239" s="144"/>
      <c r="S239" s="144"/>
      <c r="T239" s="144"/>
      <c r="U239" s="144"/>
      <c r="V239" s="144"/>
    </row>
    <row r="240" spans="16:22" ht="12.75">
      <c r="P240" s="143"/>
      <c r="Q240" s="144"/>
      <c r="R240" s="144"/>
      <c r="S240" s="144"/>
      <c r="T240" s="144"/>
      <c r="U240" s="144"/>
      <c r="V240" s="144"/>
    </row>
    <row r="241" spans="16:22" ht="12.75">
      <c r="P241" s="143"/>
      <c r="Q241" s="144"/>
      <c r="R241" s="144"/>
      <c r="S241" s="144"/>
      <c r="T241" s="144"/>
      <c r="U241" s="144"/>
      <c r="V241" s="144"/>
    </row>
    <row r="242" spans="16:22" ht="12.75">
      <c r="P242" s="143"/>
      <c r="Q242" s="144"/>
      <c r="R242" s="144"/>
      <c r="S242" s="144"/>
      <c r="T242" s="144"/>
      <c r="U242" s="144"/>
      <c r="V242" s="144"/>
    </row>
    <row r="243" spans="16:22" ht="12.75">
      <c r="P243" s="143"/>
      <c r="Q243" s="144"/>
      <c r="R243" s="144"/>
      <c r="S243" s="144"/>
      <c r="T243" s="144"/>
      <c r="U243" s="144"/>
      <c r="V243" s="144"/>
    </row>
    <row r="244" spans="16:22" ht="12.75">
      <c r="P244" s="143"/>
      <c r="Q244" s="144"/>
      <c r="R244" s="144"/>
      <c r="S244" s="144"/>
      <c r="T244" s="144"/>
      <c r="U244" s="144"/>
      <c r="V244" s="144"/>
    </row>
    <row r="245" spans="16:22" ht="12.75">
      <c r="P245" s="143"/>
      <c r="Q245" s="144"/>
      <c r="R245" s="144"/>
      <c r="S245" s="144"/>
      <c r="T245" s="144"/>
      <c r="U245" s="144"/>
      <c r="V245" s="144"/>
    </row>
    <row r="246" spans="16:22" ht="12.75">
      <c r="P246" s="143"/>
      <c r="Q246" s="144"/>
      <c r="R246" s="144"/>
      <c r="S246" s="144"/>
      <c r="T246" s="144"/>
      <c r="U246" s="144"/>
      <c r="V246" s="144"/>
    </row>
    <row r="247" spans="16:22" ht="12.75">
      <c r="P247" s="143"/>
      <c r="Q247" s="144"/>
      <c r="R247" s="144"/>
      <c r="S247" s="144"/>
      <c r="T247" s="144"/>
      <c r="U247" s="144"/>
      <c r="V247" s="144"/>
    </row>
    <row r="248" spans="16:22" ht="12.75">
      <c r="P248" s="143"/>
      <c r="Q248" s="144"/>
      <c r="R248" s="144"/>
      <c r="S248" s="144"/>
      <c r="T248" s="144"/>
      <c r="U248" s="144"/>
      <c r="V248" s="144"/>
    </row>
    <row r="249" spans="16:22" ht="12.75">
      <c r="P249" s="143"/>
      <c r="Q249" s="144"/>
      <c r="R249" s="144"/>
      <c r="S249" s="144"/>
      <c r="T249" s="144"/>
      <c r="U249" s="144"/>
      <c r="V249" s="144"/>
    </row>
    <row r="250" spans="16:22" ht="12.75">
      <c r="P250" s="143"/>
      <c r="Q250" s="144"/>
      <c r="R250" s="144"/>
      <c r="S250" s="144"/>
      <c r="T250" s="144"/>
      <c r="U250" s="144"/>
      <c r="V250" s="144"/>
    </row>
    <row r="251" spans="16:22" ht="12.75">
      <c r="P251" s="143"/>
      <c r="Q251" s="144"/>
      <c r="R251" s="144"/>
      <c r="S251" s="144"/>
      <c r="T251" s="144"/>
      <c r="U251" s="144"/>
      <c r="V251" s="144"/>
    </row>
    <row r="252" spans="16:22" ht="12.75">
      <c r="P252" s="143"/>
      <c r="Q252" s="144"/>
      <c r="R252" s="144"/>
      <c r="S252" s="144"/>
      <c r="T252" s="144"/>
      <c r="U252" s="144"/>
      <c r="V252" s="144"/>
    </row>
    <row r="253" spans="16:22" ht="12.75">
      <c r="P253" s="143"/>
      <c r="Q253" s="144"/>
      <c r="R253" s="144"/>
      <c r="S253" s="144"/>
      <c r="T253" s="144"/>
      <c r="U253" s="144"/>
      <c r="V253" s="144"/>
    </row>
    <row r="254" spans="16:22" ht="12.75">
      <c r="P254" s="143"/>
      <c r="Q254" s="144"/>
      <c r="R254" s="144"/>
      <c r="S254" s="144"/>
      <c r="T254" s="144"/>
      <c r="U254" s="144"/>
      <c r="V254" s="144"/>
    </row>
    <row r="255" spans="16:22" ht="12.75">
      <c r="P255" s="143"/>
      <c r="Q255" s="144"/>
      <c r="R255" s="144"/>
      <c r="S255" s="144"/>
      <c r="T255" s="144"/>
      <c r="U255" s="144"/>
      <c r="V255" s="144"/>
    </row>
    <row r="256" spans="16:22" ht="12.75">
      <c r="P256" s="143"/>
      <c r="Q256" s="144"/>
      <c r="R256" s="144"/>
      <c r="S256" s="144"/>
      <c r="T256" s="144"/>
      <c r="U256" s="144"/>
      <c r="V256" s="144"/>
    </row>
    <row r="257" spans="16:22" ht="12.75">
      <c r="P257" s="143"/>
      <c r="Q257" s="144"/>
      <c r="R257" s="144"/>
      <c r="S257" s="144"/>
      <c r="T257" s="144"/>
      <c r="U257" s="144"/>
      <c r="V257" s="144"/>
    </row>
    <row r="258" spans="16:22" ht="12.75">
      <c r="P258" s="143"/>
      <c r="Q258" s="144"/>
      <c r="R258" s="144"/>
      <c r="S258" s="144"/>
      <c r="T258" s="144"/>
      <c r="U258" s="144"/>
      <c r="V258" s="144"/>
    </row>
    <row r="259" spans="16:22" ht="12.75">
      <c r="P259" s="143"/>
      <c r="Q259" s="144"/>
      <c r="R259" s="144"/>
      <c r="S259" s="144"/>
      <c r="T259" s="144"/>
      <c r="U259" s="144"/>
      <c r="V259" s="144"/>
    </row>
    <row r="260" spans="16:22" ht="12.75">
      <c r="P260" s="143"/>
      <c r="Q260" s="144"/>
      <c r="R260" s="144"/>
      <c r="S260" s="144"/>
      <c r="T260" s="144"/>
      <c r="U260" s="144"/>
      <c r="V260" s="144"/>
    </row>
    <row r="261" spans="16:22" ht="12.75">
      <c r="P261" s="143"/>
      <c r="Q261" s="144"/>
      <c r="R261" s="144"/>
      <c r="S261" s="144"/>
      <c r="T261" s="144"/>
      <c r="U261" s="144"/>
      <c r="V261" s="144"/>
    </row>
    <row r="262" spans="16:22" ht="12.75">
      <c r="P262" s="143"/>
      <c r="Q262" s="144"/>
      <c r="R262" s="144"/>
      <c r="S262" s="144"/>
      <c r="T262" s="144"/>
      <c r="U262" s="144"/>
      <c r="V262" s="144"/>
    </row>
    <row r="263" spans="16:22" ht="12.75">
      <c r="P263" s="143"/>
      <c r="Q263" s="144"/>
      <c r="R263" s="144"/>
      <c r="S263" s="144"/>
      <c r="T263" s="144"/>
      <c r="U263" s="144"/>
      <c r="V263" s="144"/>
    </row>
    <row r="264" spans="16:17" ht="12.75">
      <c r="P264" s="143"/>
      <c r="Q264" s="144"/>
    </row>
    <row r="265" spans="16:17" ht="12.75">
      <c r="P265" s="143"/>
      <c r="Q265" s="144"/>
    </row>
    <row r="266" spans="16:17" ht="12.75">
      <c r="P266" s="143"/>
      <c r="Q266" s="144"/>
    </row>
    <row r="267" spans="16:17" ht="12.75">
      <c r="P267" s="143"/>
      <c r="Q267" s="144"/>
    </row>
    <row r="268" spans="16:17" ht="12.75">
      <c r="P268" s="143"/>
      <c r="Q268" s="144"/>
    </row>
    <row r="269" spans="16:17" ht="12.75">
      <c r="P269" s="143"/>
      <c r="Q269" s="144"/>
    </row>
    <row r="270" spans="16:17" ht="12.75">
      <c r="P270" s="143"/>
      <c r="Q270" s="144"/>
    </row>
    <row r="271" spans="16:17" ht="12.75">
      <c r="P271" s="143"/>
      <c r="Q271" s="144"/>
    </row>
    <row r="272" spans="16:17" ht="12.75">
      <c r="P272" s="143"/>
      <c r="Q272" s="144"/>
    </row>
    <row r="273" spans="16:17" ht="12.75">
      <c r="P273" s="143"/>
      <c r="Q273" s="144"/>
    </row>
    <row r="274" spans="16:17" ht="12.75">
      <c r="P274" s="143"/>
      <c r="Q274" s="144"/>
    </row>
    <row r="275" spans="16:17" ht="12.75">
      <c r="P275" s="143"/>
      <c r="Q275" s="144"/>
    </row>
    <row r="276" spans="16:17" ht="12.75">
      <c r="P276" s="143"/>
      <c r="Q276" s="144"/>
    </row>
    <row r="277" spans="16:17" ht="12.75">
      <c r="P277" s="143"/>
      <c r="Q277" s="144"/>
    </row>
    <row r="278" spans="16:17" ht="12.75">
      <c r="P278" s="143"/>
      <c r="Q278" s="144"/>
    </row>
    <row r="279" spans="16:17" ht="12.75">
      <c r="P279" s="143"/>
      <c r="Q279" s="144"/>
    </row>
    <row r="280" spans="16:17" ht="12.75">
      <c r="P280" s="143"/>
      <c r="Q280" s="144"/>
    </row>
    <row r="281" spans="16:17" ht="12.75">
      <c r="P281" s="143"/>
      <c r="Q281" s="144"/>
    </row>
    <row r="282" spans="16:17" ht="12.75">
      <c r="P282" s="143"/>
      <c r="Q282" s="144"/>
    </row>
    <row r="283" spans="16:17" ht="12.75">
      <c r="P283" s="143"/>
      <c r="Q283" s="144"/>
    </row>
    <row r="284" spans="16:17" ht="12.75">
      <c r="P284" s="143"/>
      <c r="Q284" s="144"/>
    </row>
    <row r="285" spans="16:17" ht="12.75">
      <c r="P285" s="143"/>
      <c r="Q285" s="144"/>
    </row>
    <row r="286" spans="16:17" ht="12.75">
      <c r="P286" s="143"/>
      <c r="Q286" s="144"/>
    </row>
    <row r="287" spans="16:17" ht="12.75">
      <c r="P287" s="143"/>
      <c r="Q287" s="144"/>
    </row>
    <row r="288" spans="16:17" ht="12.75">
      <c r="P288" s="143"/>
      <c r="Q288" s="144"/>
    </row>
    <row r="289" spans="16:17" ht="12.75">
      <c r="P289" s="143"/>
      <c r="Q289" s="144"/>
    </row>
    <row r="290" spans="16:17" ht="12.75">
      <c r="P290" s="143"/>
      <c r="Q290" s="144"/>
    </row>
    <row r="291" spans="16:17" ht="12.75">
      <c r="P291" s="143"/>
      <c r="Q291" s="144"/>
    </row>
    <row r="292" spans="16:17" ht="12.75">
      <c r="P292" s="143"/>
      <c r="Q292" s="144"/>
    </row>
    <row r="293" spans="16:17" ht="12.75">
      <c r="P293" s="143"/>
      <c r="Q293" s="144"/>
    </row>
  </sheetData>
  <sheetProtection/>
  <mergeCells count="3">
    <mergeCell ref="A3:O3"/>
    <mergeCell ref="A4:O4"/>
    <mergeCell ref="A5:O5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4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2" sqref="F2"/>
    </sheetView>
  </sheetViews>
  <sheetFormatPr defaultColWidth="9.140625" defaultRowHeight="12.75"/>
  <cols>
    <col min="1" max="1" width="6.57421875" style="152" customWidth="1"/>
    <col min="2" max="2" width="60.7109375" style="152" customWidth="1"/>
    <col min="3" max="3" width="17.8515625" style="152" customWidth="1"/>
    <col min="4" max="4" width="16.140625" style="152" customWidth="1"/>
    <col min="5" max="5" width="14.00390625" style="152" customWidth="1"/>
    <col min="6" max="6" width="13.421875" style="152" customWidth="1"/>
    <col min="7" max="7" width="12.28125" style="152" customWidth="1"/>
    <col min="8" max="8" width="12.140625" style="152" customWidth="1"/>
    <col min="9" max="9" width="12.7109375" style="152" customWidth="1"/>
    <col min="10" max="10" width="13.00390625" style="152" customWidth="1"/>
    <col min="11" max="11" width="12.00390625" style="152" customWidth="1"/>
    <col min="12" max="12" width="12.57421875" style="152" customWidth="1"/>
    <col min="13" max="16384" width="9.140625" style="152" customWidth="1"/>
  </cols>
  <sheetData>
    <row r="1" ht="15">
      <c r="F1" s="153" t="s">
        <v>256</v>
      </c>
    </row>
    <row r="2" spans="2:6" ht="15.75">
      <c r="B2" s="154"/>
      <c r="E2" s="154"/>
      <c r="F2" s="10" t="s">
        <v>473</v>
      </c>
    </row>
    <row r="3" ht="12.75">
      <c r="F3" s="155"/>
    </row>
    <row r="4" spans="1:6" ht="15.75">
      <c r="A4" s="156"/>
      <c r="B4" s="829" t="s">
        <v>296</v>
      </c>
      <c r="C4" s="829"/>
      <c r="D4" s="829"/>
      <c r="E4" s="156"/>
      <c r="F4" s="155"/>
    </row>
    <row r="5" spans="1:6" ht="16.5" thickBot="1">
      <c r="A5" s="156"/>
      <c r="B5" s="157"/>
      <c r="C5" s="157"/>
      <c r="D5" s="156"/>
      <c r="E5" s="156"/>
      <c r="F5" s="156"/>
    </row>
    <row r="6" spans="1:12" ht="16.5" customHeight="1">
      <c r="A6" s="827" t="s">
        <v>30</v>
      </c>
      <c r="B6" s="834" t="s">
        <v>297</v>
      </c>
      <c r="C6" s="832" t="s">
        <v>253</v>
      </c>
      <c r="D6" s="830" t="s">
        <v>298</v>
      </c>
      <c r="E6" s="830"/>
      <c r="F6" s="831"/>
      <c r="G6" s="154"/>
      <c r="H6" s="154"/>
      <c r="I6" s="154"/>
      <c r="J6" s="154"/>
      <c r="K6" s="154"/>
      <c r="L6" s="154"/>
    </row>
    <row r="7" spans="1:12" ht="16.5" thickBot="1">
      <c r="A7" s="828"/>
      <c r="B7" s="835"/>
      <c r="C7" s="833"/>
      <c r="D7" s="158" t="s">
        <v>299</v>
      </c>
      <c r="E7" s="158" t="s">
        <v>300</v>
      </c>
      <c r="F7" s="159" t="s">
        <v>301</v>
      </c>
      <c r="G7" s="154"/>
      <c r="H7" s="154"/>
      <c r="I7" s="154"/>
      <c r="J7" s="154"/>
      <c r="K7" s="154"/>
      <c r="L7" s="154"/>
    </row>
    <row r="8" spans="1:6" s="154" customFormat="1" ht="18.75" customHeight="1">
      <c r="A8" s="163">
        <v>1</v>
      </c>
      <c r="B8" s="331" t="s">
        <v>104</v>
      </c>
      <c r="C8" s="332">
        <f>SUM(D8:F8)</f>
        <v>65000</v>
      </c>
      <c r="D8" s="333">
        <v>26250</v>
      </c>
      <c r="E8" s="333">
        <v>38750</v>
      </c>
      <c r="F8" s="334">
        <v>0</v>
      </c>
    </row>
    <row r="9" spans="1:6" s="154" customFormat="1" ht="18.75" customHeight="1">
      <c r="A9" s="160">
        <v>2</v>
      </c>
      <c r="B9" s="329" t="s">
        <v>103</v>
      </c>
      <c r="C9" s="328">
        <f>SUM(D9:F9)</f>
        <v>146559</v>
      </c>
      <c r="D9" s="161">
        <v>37680</v>
      </c>
      <c r="E9" s="161">
        <v>108879</v>
      </c>
      <c r="F9" s="162">
        <v>0</v>
      </c>
    </row>
    <row r="10" spans="1:12" ht="18.75" customHeight="1">
      <c r="A10" s="160"/>
      <c r="B10" s="22"/>
      <c r="C10" s="22"/>
      <c r="D10" s="161"/>
      <c r="E10" s="161"/>
      <c r="F10" s="162"/>
      <c r="G10" s="154"/>
      <c r="H10" s="154"/>
      <c r="I10" s="154"/>
      <c r="J10" s="154"/>
      <c r="K10" s="154"/>
      <c r="L10" s="154"/>
    </row>
    <row r="11" spans="1:12" ht="15.75">
      <c r="A11" s="160"/>
      <c r="B11" s="23"/>
      <c r="C11" s="23"/>
      <c r="D11" s="161"/>
      <c r="E11" s="161"/>
      <c r="F11" s="162"/>
      <c r="G11" s="154"/>
      <c r="H11" s="154"/>
      <c r="I11" s="154"/>
      <c r="J11" s="154"/>
      <c r="K11" s="154"/>
      <c r="L11" s="154"/>
    </row>
    <row r="12" spans="1:12" ht="15.75">
      <c r="A12" s="160"/>
      <c r="B12" s="330"/>
      <c r="C12" s="330"/>
      <c r="D12" s="161"/>
      <c r="E12" s="161"/>
      <c r="F12" s="162"/>
      <c r="G12" s="154"/>
      <c r="H12" s="154"/>
      <c r="I12" s="154"/>
      <c r="J12" s="154"/>
      <c r="K12" s="154"/>
      <c r="L12" s="154"/>
    </row>
    <row r="13" spans="1:12" ht="18.75" customHeight="1" thickBot="1">
      <c r="A13" s="335"/>
      <c r="B13" s="336"/>
      <c r="C13" s="336"/>
      <c r="D13" s="337"/>
      <c r="E13" s="337"/>
      <c r="F13" s="338"/>
      <c r="G13" s="154"/>
      <c r="H13" s="154"/>
      <c r="I13" s="154"/>
      <c r="J13" s="154"/>
      <c r="K13" s="154"/>
      <c r="L13" s="154"/>
    </row>
    <row r="14" spans="1:12" s="169" customFormat="1" ht="16.5" thickBot="1">
      <c r="A14" s="164"/>
      <c r="B14" s="165" t="s">
        <v>29</v>
      </c>
      <c r="C14" s="165"/>
      <c r="D14" s="166">
        <f>SUM(D8:D13)</f>
        <v>63930</v>
      </c>
      <c r="E14" s="166">
        <f>SUM(E8:E13)</f>
        <v>147629</v>
      </c>
      <c r="F14" s="167">
        <f>SUM(F8:F13)</f>
        <v>0</v>
      </c>
      <c r="G14" s="168"/>
      <c r="H14" s="168"/>
      <c r="I14" s="168"/>
      <c r="J14" s="168"/>
      <c r="K14" s="168"/>
      <c r="L14" s="168"/>
    </row>
    <row r="15" spans="1:12" ht="15.75">
      <c r="A15" s="170"/>
      <c r="B15" s="170"/>
      <c r="C15" s="170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5.75">
      <c r="A16" s="170"/>
      <c r="B16" s="170"/>
      <c r="C16" s="170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5.75">
      <c r="A17" s="170"/>
      <c r="B17" s="170"/>
      <c r="C17" s="170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ht="15.75">
      <c r="A18" s="170"/>
      <c r="B18" s="170"/>
      <c r="C18" s="170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2" ht="15.75">
      <c r="A19" s="170"/>
      <c r="B19" s="170"/>
      <c r="C19" s="170"/>
      <c r="D19" s="170"/>
      <c r="E19" s="171"/>
      <c r="F19" s="171"/>
      <c r="G19" s="171"/>
      <c r="H19" s="171"/>
      <c r="I19" s="171"/>
      <c r="J19" s="171"/>
      <c r="K19" s="171"/>
      <c r="L19" s="171"/>
    </row>
    <row r="20" ht="15.75">
      <c r="A20" s="170"/>
    </row>
  </sheetData>
  <mergeCells count="5">
    <mergeCell ref="A6:A7"/>
    <mergeCell ref="B4:D4"/>
    <mergeCell ref="D6:F6"/>
    <mergeCell ref="C6:C7"/>
    <mergeCell ref="B6:B7"/>
  </mergeCells>
  <printOptions horizontalCentered="1"/>
  <pageMargins left="0.7874015748031497" right="0.7874015748031497" top="0.7480314960629921" bottom="0.7086614173228347" header="0.5118110236220472" footer="0.5118110236220472"/>
  <pageSetup horizontalDpi="600" verticalDpi="600" orientation="landscape" paperSize="9" scale="8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12" width="10.57421875" style="0" customWidth="1"/>
    <col min="13" max="13" width="9.140625" style="172" customWidth="1"/>
    <col min="14" max="14" width="13.8515625" style="0" bestFit="1" customWidth="1"/>
  </cols>
  <sheetData>
    <row r="1" ht="12.75">
      <c r="K1" s="26" t="s">
        <v>295</v>
      </c>
    </row>
    <row r="2" spans="4:11" ht="15">
      <c r="D2" s="173"/>
      <c r="K2" s="7" t="s">
        <v>473</v>
      </c>
    </row>
    <row r="3" ht="12.75">
      <c r="A3" s="174" t="s">
        <v>303</v>
      </c>
    </row>
    <row r="6" ht="13.5" thickBot="1"/>
    <row r="7" spans="1:14" s="18" customFormat="1" ht="12.75">
      <c r="A7" s="175"/>
      <c r="B7" s="176"/>
      <c r="C7" s="177"/>
      <c r="D7" s="177" t="s">
        <v>245</v>
      </c>
      <c r="E7" s="177" t="s">
        <v>304</v>
      </c>
      <c r="F7" s="177" t="s">
        <v>305</v>
      </c>
      <c r="G7" s="177" t="s">
        <v>306</v>
      </c>
      <c r="H7" s="177" t="s">
        <v>307</v>
      </c>
      <c r="I7" s="178" t="s">
        <v>308</v>
      </c>
      <c r="J7" s="177" t="s">
        <v>309</v>
      </c>
      <c r="K7" s="177" t="s">
        <v>310</v>
      </c>
      <c r="M7" s="172"/>
      <c r="N7"/>
    </row>
    <row r="8" spans="1:14" s="18" customFormat="1" ht="13.5" thickBot="1">
      <c r="A8" s="179"/>
      <c r="B8" s="180" t="s">
        <v>311</v>
      </c>
      <c r="C8" s="180" t="s">
        <v>312</v>
      </c>
      <c r="D8" s="180" t="s">
        <v>313</v>
      </c>
      <c r="E8" s="180" t="s">
        <v>313</v>
      </c>
      <c r="F8" s="180" t="s">
        <v>313</v>
      </c>
      <c r="G8" s="180" t="s">
        <v>313</v>
      </c>
      <c r="H8" s="180" t="s">
        <v>313</v>
      </c>
      <c r="I8" s="181" t="s">
        <v>313</v>
      </c>
      <c r="J8" s="180" t="s">
        <v>313</v>
      </c>
      <c r="K8" s="180" t="s">
        <v>313</v>
      </c>
      <c r="M8" s="172"/>
      <c r="N8"/>
    </row>
    <row r="9" spans="1:14" ht="12.75">
      <c r="A9" s="182">
        <v>1</v>
      </c>
      <c r="B9" s="183" t="s">
        <v>314</v>
      </c>
      <c r="C9" s="184">
        <v>41333</v>
      </c>
      <c r="D9" s="185">
        <f>1284+1193-151</f>
        <v>2326</v>
      </c>
      <c r="E9" s="185"/>
      <c r="F9" s="185"/>
      <c r="G9" s="185"/>
      <c r="H9" s="185"/>
      <c r="I9" s="186"/>
      <c r="J9" s="186"/>
      <c r="K9" s="185"/>
      <c r="M9" s="187"/>
      <c r="N9" s="18"/>
    </row>
    <row r="10" spans="1:14" ht="12.75">
      <c r="A10" s="188">
        <v>2</v>
      </c>
      <c r="B10" s="189" t="s">
        <v>315</v>
      </c>
      <c r="C10" s="190">
        <v>44954</v>
      </c>
      <c r="D10" s="186">
        <v>11300</v>
      </c>
      <c r="E10" s="186">
        <v>11300</v>
      </c>
      <c r="F10" s="186">
        <v>11300</v>
      </c>
      <c r="G10" s="186">
        <v>11300</v>
      </c>
      <c r="H10" s="186">
        <v>11300</v>
      </c>
      <c r="I10" s="186">
        <v>11300</v>
      </c>
      <c r="J10" s="186">
        <v>11300</v>
      </c>
      <c r="K10" s="186">
        <v>11300</v>
      </c>
      <c r="M10" s="187"/>
      <c r="N10" s="18"/>
    </row>
    <row r="11" spans="1:14" ht="12.75">
      <c r="A11" s="188">
        <v>3</v>
      </c>
      <c r="B11" s="189" t="s">
        <v>316</v>
      </c>
      <c r="C11" s="190">
        <v>45721</v>
      </c>
      <c r="D11" s="186">
        <v>19350</v>
      </c>
      <c r="E11" s="186">
        <v>19350</v>
      </c>
      <c r="F11" s="186">
        <v>19350</v>
      </c>
      <c r="G11" s="186">
        <v>19350</v>
      </c>
      <c r="H11" s="186">
        <v>19350</v>
      </c>
      <c r="I11" s="186">
        <v>19350</v>
      </c>
      <c r="J11" s="186">
        <v>19350</v>
      </c>
      <c r="K11" s="186">
        <v>19350</v>
      </c>
      <c r="L11" t="s">
        <v>317</v>
      </c>
      <c r="N11" s="72"/>
    </row>
    <row r="12" spans="1:14" ht="12.75">
      <c r="A12" s="188">
        <v>4</v>
      </c>
      <c r="B12" s="189" t="s">
        <v>318</v>
      </c>
      <c r="C12" s="190">
        <v>44484</v>
      </c>
      <c r="D12" s="186">
        <v>108115</v>
      </c>
      <c r="E12" s="186">
        <f>ROUND(224.38*2*$L$12/100,0)*100</f>
        <v>108200</v>
      </c>
      <c r="F12" s="186">
        <f aca="true" t="shared" si="0" ref="F12:K12">ROUND(199.07*2*$L$12/100,0)*100</f>
        <v>96000</v>
      </c>
      <c r="G12" s="186">
        <f t="shared" si="0"/>
        <v>96000</v>
      </c>
      <c r="H12" s="186">
        <f t="shared" si="0"/>
        <v>96000</v>
      </c>
      <c r="I12" s="186">
        <f t="shared" si="0"/>
        <v>96000</v>
      </c>
      <c r="J12" s="186">
        <f t="shared" si="0"/>
        <v>96000</v>
      </c>
      <c r="K12" s="186">
        <f t="shared" si="0"/>
        <v>96000</v>
      </c>
      <c r="L12" s="73">
        <v>241.06</v>
      </c>
      <c r="M12" s="73" t="s">
        <v>319</v>
      </c>
      <c r="N12" s="72"/>
    </row>
    <row r="13" spans="1:14" ht="12.75">
      <c r="A13" s="188">
        <v>5</v>
      </c>
      <c r="B13" s="189" t="s">
        <v>320</v>
      </c>
      <c r="C13" s="190">
        <v>44849</v>
      </c>
      <c r="D13" s="186">
        <v>67547</v>
      </c>
      <c r="E13" s="186">
        <f>ROUND(140.186*2*$L$13/100,0)*100</f>
        <v>67600</v>
      </c>
      <c r="F13" s="186">
        <f aca="true" t="shared" si="1" ref="F13:K13">ROUND(109.258*2*$L$13/100,0)*100</f>
        <v>52700</v>
      </c>
      <c r="G13" s="186">
        <f t="shared" si="1"/>
        <v>52700</v>
      </c>
      <c r="H13" s="186">
        <f t="shared" si="1"/>
        <v>52700</v>
      </c>
      <c r="I13" s="186">
        <f t="shared" si="1"/>
        <v>52700</v>
      </c>
      <c r="J13" s="186">
        <f t="shared" si="1"/>
        <v>52700</v>
      </c>
      <c r="K13" s="186">
        <f t="shared" si="1"/>
        <v>52700</v>
      </c>
      <c r="L13" s="73">
        <v>241.06</v>
      </c>
      <c r="M13" s="73" t="s">
        <v>319</v>
      </c>
      <c r="N13" s="72"/>
    </row>
    <row r="14" spans="1:14" ht="13.5" thickBot="1">
      <c r="A14" s="191"/>
      <c r="B14" s="192" t="s">
        <v>321</v>
      </c>
      <c r="C14" s="192"/>
      <c r="D14" s="193">
        <f aca="true" t="shared" si="2" ref="D14:K14">SUM(D9:D13)</f>
        <v>208638</v>
      </c>
      <c r="E14" s="193">
        <f t="shared" si="2"/>
        <v>206450</v>
      </c>
      <c r="F14" s="193">
        <f t="shared" si="2"/>
        <v>179350</v>
      </c>
      <c r="G14" s="193">
        <f t="shared" si="2"/>
        <v>179350</v>
      </c>
      <c r="H14" s="193">
        <f t="shared" si="2"/>
        <v>179350</v>
      </c>
      <c r="I14" s="193">
        <f t="shared" si="2"/>
        <v>179350</v>
      </c>
      <c r="J14" s="193">
        <f t="shared" si="2"/>
        <v>179350</v>
      </c>
      <c r="K14" s="193">
        <f t="shared" si="2"/>
        <v>179350</v>
      </c>
      <c r="N14" s="72"/>
    </row>
    <row r="15" ht="12.75">
      <c r="N15" s="72"/>
    </row>
    <row r="16" spans="4:14" ht="12.75">
      <c r="D16" s="194"/>
      <c r="M16" s="195"/>
      <c r="N16" s="21"/>
    </row>
    <row r="17" ht="12.75">
      <c r="D17" s="72"/>
    </row>
    <row r="18" ht="13.5" thickBot="1"/>
    <row r="19" spans="1:13" s="18" customFormat="1" ht="12.75">
      <c r="A19" s="175"/>
      <c r="B19" s="176"/>
      <c r="C19" s="177"/>
      <c r="D19" s="177" t="s">
        <v>322</v>
      </c>
      <c r="E19" s="177" t="s">
        <v>323</v>
      </c>
      <c r="F19" s="177" t="s">
        <v>324</v>
      </c>
      <c r="G19" s="177" t="s">
        <v>325</v>
      </c>
      <c r="H19" s="177" t="s">
        <v>326</v>
      </c>
      <c r="I19" s="177" t="s">
        <v>327</v>
      </c>
      <c r="J19" s="177" t="s">
        <v>328</v>
      </c>
      <c r="K19" s="196" t="s">
        <v>329</v>
      </c>
      <c r="L19" s="172"/>
      <c r="M19"/>
    </row>
    <row r="20" spans="1:13" s="18" customFormat="1" ht="13.5" thickBot="1">
      <c r="A20" s="179"/>
      <c r="B20" s="180" t="s">
        <v>311</v>
      </c>
      <c r="C20" s="180" t="s">
        <v>312</v>
      </c>
      <c r="D20" s="180" t="s">
        <v>313</v>
      </c>
      <c r="E20" s="180" t="s">
        <v>313</v>
      </c>
      <c r="F20" s="180" t="s">
        <v>313</v>
      </c>
      <c r="G20" s="180" t="s">
        <v>313</v>
      </c>
      <c r="H20" s="180" t="s">
        <v>313</v>
      </c>
      <c r="I20" s="180" t="s">
        <v>313</v>
      </c>
      <c r="J20" s="180" t="s">
        <v>313</v>
      </c>
      <c r="K20" s="197" t="s">
        <v>330</v>
      </c>
      <c r="L20" s="172"/>
      <c r="M20"/>
    </row>
    <row r="21" spans="1:13" ht="12.75">
      <c r="A21" s="182">
        <v>1</v>
      </c>
      <c r="B21" s="183" t="s">
        <v>314</v>
      </c>
      <c r="C21" s="184">
        <v>41333</v>
      </c>
      <c r="D21" s="185"/>
      <c r="E21" s="185"/>
      <c r="F21" s="185"/>
      <c r="G21" s="185"/>
      <c r="H21" s="185"/>
      <c r="I21" s="185"/>
      <c r="J21" s="185"/>
      <c r="K21" s="198">
        <f aca="true" t="shared" si="3" ref="K21:K26">SUM(D9+E9+F9+G9+H9+I9+J9+K9+D21+E21+F21+G21+H21+I21+J21)</f>
        <v>2326</v>
      </c>
      <c r="L21" s="172"/>
      <c r="M21"/>
    </row>
    <row r="22" spans="1:13" ht="12.75">
      <c r="A22" s="188">
        <v>2</v>
      </c>
      <c r="B22" s="189" t="s">
        <v>315</v>
      </c>
      <c r="C22" s="190">
        <v>44954</v>
      </c>
      <c r="D22" s="186">
        <v>11300</v>
      </c>
      <c r="E22" s="186">
        <v>11220</v>
      </c>
      <c r="F22" s="186"/>
      <c r="G22" s="186"/>
      <c r="H22" s="186"/>
      <c r="I22" s="186"/>
      <c r="J22" s="186"/>
      <c r="K22" s="198">
        <f t="shared" si="3"/>
        <v>112920</v>
      </c>
      <c r="L22" s="172"/>
      <c r="M22"/>
    </row>
    <row r="23" spans="1:13" ht="12.75">
      <c r="A23" s="188">
        <v>3</v>
      </c>
      <c r="B23" s="189" t="s">
        <v>316</v>
      </c>
      <c r="C23" s="190">
        <v>45721</v>
      </c>
      <c r="D23" s="186">
        <v>19350</v>
      </c>
      <c r="E23" s="186">
        <v>19350</v>
      </c>
      <c r="F23" s="186">
        <v>19350</v>
      </c>
      <c r="G23" s="186">
        <v>19350</v>
      </c>
      <c r="H23" s="186">
        <v>2450</v>
      </c>
      <c r="I23" s="186"/>
      <c r="J23" s="186"/>
      <c r="K23" s="198">
        <f t="shared" si="3"/>
        <v>234650</v>
      </c>
      <c r="L23" s="172"/>
      <c r="M23"/>
    </row>
    <row r="24" spans="1:13" ht="12.75">
      <c r="A24" s="188">
        <v>4</v>
      </c>
      <c r="B24" s="189" t="s">
        <v>318</v>
      </c>
      <c r="C24" s="190">
        <v>44484</v>
      </c>
      <c r="D24" s="186">
        <f>ROUND(199.06*2*$L$12/100,0)*100</f>
        <v>96000</v>
      </c>
      <c r="E24" s="186"/>
      <c r="F24" s="186"/>
      <c r="G24" s="186"/>
      <c r="H24" s="186"/>
      <c r="I24" s="186"/>
      <c r="J24" s="186"/>
      <c r="K24" s="198">
        <f t="shared" si="3"/>
        <v>888315</v>
      </c>
      <c r="L24" s="172"/>
      <c r="M24"/>
    </row>
    <row r="25" spans="1:13" ht="12.75">
      <c r="A25" s="188">
        <v>5</v>
      </c>
      <c r="B25" s="189" t="s">
        <v>320</v>
      </c>
      <c r="C25" s="190">
        <v>44849</v>
      </c>
      <c r="D25" s="186">
        <f>ROUND(109.258*2*$L$13/100,0)*100</f>
        <v>52700</v>
      </c>
      <c r="E25" s="186">
        <f>ROUND(108.5*2*$L$13/100,0)*100</f>
        <v>52300</v>
      </c>
      <c r="F25" s="186"/>
      <c r="G25" s="186"/>
      <c r="H25" s="186"/>
      <c r="I25" s="186"/>
      <c r="J25" s="186"/>
      <c r="K25" s="198">
        <f t="shared" si="3"/>
        <v>556347</v>
      </c>
      <c r="L25" s="172"/>
      <c r="M25"/>
    </row>
    <row r="26" spans="1:13" s="21" customFormat="1" ht="13.5" thickBot="1">
      <c r="A26" s="191"/>
      <c r="B26" s="192" t="s">
        <v>321</v>
      </c>
      <c r="C26" s="192"/>
      <c r="D26" s="193">
        <f aca="true" t="shared" si="4" ref="D26:J26">SUM(D21:D25)</f>
        <v>179350</v>
      </c>
      <c r="E26" s="193">
        <f t="shared" si="4"/>
        <v>82870</v>
      </c>
      <c r="F26" s="193">
        <f t="shared" si="4"/>
        <v>19350</v>
      </c>
      <c r="G26" s="193">
        <f t="shared" si="4"/>
        <v>19350</v>
      </c>
      <c r="H26" s="193">
        <f t="shared" si="4"/>
        <v>2450</v>
      </c>
      <c r="I26" s="193">
        <f t="shared" si="4"/>
        <v>0</v>
      </c>
      <c r="J26" s="193">
        <f t="shared" si="4"/>
        <v>0</v>
      </c>
      <c r="K26" s="199">
        <f t="shared" si="3"/>
        <v>1794558</v>
      </c>
      <c r="L26" s="172"/>
      <c r="M26"/>
    </row>
    <row r="28" spans="1:2" ht="12.75">
      <c r="A28" s="200"/>
      <c r="B28" s="201"/>
    </row>
    <row r="29" ht="12.75">
      <c r="B29" s="201"/>
    </row>
  </sheetData>
  <printOptions horizontalCentered="1"/>
  <pageMargins left="0.67" right="0.64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21.00390625" style="1" customWidth="1"/>
    <col min="2" max="2" width="29.140625" style="1" customWidth="1"/>
    <col min="3" max="3" width="18.421875" style="1" customWidth="1"/>
    <col min="4" max="4" width="9.28125" style="1" customWidth="1"/>
    <col min="5" max="5" width="12.57421875" style="1" customWidth="1"/>
    <col min="6" max="16384" width="9.140625" style="1" customWidth="1"/>
  </cols>
  <sheetData>
    <row r="1" ht="12.75">
      <c r="E1" s="202" t="s">
        <v>302</v>
      </c>
    </row>
    <row r="2" spans="4:5" ht="15.75">
      <c r="D2" s="3"/>
      <c r="E2" s="7" t="s">
        <v>473</v>
      </c>
    </row>
    <row r="3" ht="12.75">
      <c r="E3" s="202"/>
    </row>
    <row r="4" spans="1:5" ht="15.75">
      <c r="A4" s="838" t="s">
        <v>332</v>
      </c>
      <c r="B4" s="838"/>
      <c r="C4" s="838"/>
      <c r="D4" s="838"/>
      <c r="E4" s="838"/>
    </row>
    <row r="7" ht="13.5" thickBot="1"/>
    <row r="8" spans="1:5" ht="12.75">
      <c r="A8" s="839" t="s">
        <v>333</v>
      </c>
      <c r="B8" s="841" t="s">
        <v>190</v>
      </c>
      <c r="C8" s="843" t="s">
        <v>334</v>
      </c>
      <c r="D8" s="843"/>
      <c r="E8" s="844"/>
    </row>
    <row r="9" spans="1:5" ht="26.25" thickBot="1">
      <c r="A9" s="840"/>
      <c r="B9" s="842"/>
      <c r="C9" s="203" t="s">
        <v>335</v>
      </c>
      <c r="D9" s="203" t="s">
        <v>336</v>
      </c>
      <c r="E9" s="204" t="s">
        <v>337</v>
      </c>
    </row>
    <row r="10" spans="1:5" ht="13.5" thickBot="1">
      <c r="A10" s="205">
        <v>1</v>
      </c>
      <c r="B10" s="206">
        <v>2</v>
      </c>
      <c r="C10" s="206">
        <v>3</v>
      </c>
      <c r="D10" s="206">
        <v>4</v>
      </c>
      <c r="E10" s="207">
        <v>5</v>
      </c>
    </row>
    <row r="11" spans="1:5" s="212" customFormat="1" ht="47.25">
      <c r="A11" s="208" t="s">
        <v>338</v>
      </c>
      <c r="B11" s="209" t="s">
        <v>339</v>
      </c>
      <c r="C11" s="209" t="s">
        <v>340</v>
      </c>
      <c r="D11" s="210">
        <v>196</v>
      </c>
      <c r="E11" s="211">
        <v>2256</v>
      </c>
    </row>
    <row r="12" spans="1:5" s="212" customFormat="1" ht="31.5">
      <c r="A12" s="213" t="s">
        <v>338</v>
      </c>
      <c r="B12" s="214" t="s">
        <v>41</v>
      </c>
      <c r="C12" s="209" t="s">
        <v>341</v>
      </c>
      <c r="D12" s="215">
        <v>1</v>
      </c>
      <c r="E12" s="216">
        <v>4</v>
      </c>
    </row>
    <row r="13" spans="1:5" s="212" customFormat="1" ht="31.5">
      <c r="A13" s="217"/>
      <c r="B13" s="214" t="s">
        <v>342</v>
      </c>
      <c r="C13" s="209" t="s">
        <v>341</v>
      </c>
      <c r="D13" s="215">
        <v>37</v>
      </c>
      <c r="E13" s="216">
        <v>92</v>
      </c>
    </row>
    <row r="14" spans="1:5" s="212" customFormat="1" ht="31.5">
      <c r="A14" s="217"/>
      <c r="B14" s="214" t="s">
        <v>343</v>
      </c>
      <c r="C14" s="209" t="s">
        <v>341</v>
      </c>
      <c r="D14" s="215">
        <v>1</v>
      </c>
      <c r="E14" s="216">
        <v>8</v>
      </c>
    </row>
    <row r="15" spans="1:5" s="212" customFormat="1" ht="50.25" customHeight="1">
      <c r="A15" s="218"/>
      <c r="B15" s="219" t="s">
        <v>344</v>
      </c>
      <c r="C15" s="209" t="s">
        <v>345</v>
      </c>
      <c r="D15" s="220">
        <v>530</v>
      </c>
      <c r="E15" s="221">
        <v>6206</v>
      </c>
    </row>
    <row r="16" spans="1:5" s="212" customFormat="1" ht="16.5" thickBot="1">
      <c r="A16" s="218"/>
      <c r="B16" s="219"/>
      <c r="C16" s="219"/>
      <c r="D16" s="220"/>
      <c r="E16" s="221"/>
    </row>
    <row r="17" spans="1:5" ht="19.5" thickBot="1">
      <c r="A17" s="836" t="s">
        <v>321</v>
      </c>
      <c r="B17" s="837"/>
      <c r="C17" s="837"/>
      <c r="D17" s="837"/>
      <c r="E17" s="222">
        <f>SUM(E11:E16)</f>
        <v>8566</v>
      </c>
    </row>
    <row r="19" ht="12.75">
      <c r="D19" s="1">
        <f>SUM(D11:D16)</f>
        <v>765</v>
      </c>
    </row>
  </sheetData>
  <mergeCells count="5">
    <mergeCell ref="A17:D17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M310"/>
  <sheetViews>
    <sheetView view="pageBreakPreview" zoomScale="80" zoomScaleNormal="80" zoomScaleSheetLayoutView="80" workbookViewId="0" topLeftCell="A64">
      <selection activeCell="E2" sqref="E2"/>
    </sheetView>
  </sheetViews>
  <sheetFormatPr defaultColWidth="9.140625" defaultRowHeight="12.75"/>
  <cols>
    <col min="1" max="1" width="6.57421875" style="387" customWidth="1"/>
    <col min="2" max="2" width="57.421875" style="388" customWidth="1"/>
    <col min="3" max="3" width="14.00390625" style="389" customWidth="1"/>
    <col min="4" max="5" width="12.8515625" style="223" customWidth="1"/>
    <col min="6" max="6" width="12.140625" style="378" customWidth="1"/>
    <col min="7" max="7" width="9.8515625" style="379" customWidth="1"/>
    <col min="8" max="16384" width="9.140625" style="223" customWidth="1"/>
  </cols>
  <sheetData>
    <row r="1" ht="15.75">
      <c r="E1" s="377" t="s">
        <v>425</v>
      </c>
    </row>
    <row r="2" spans="5:39" ht="15.75">
      <c r="E2" s="7" t="s">
        <v>473</v>
      </c>
      <c r="AM2" s="223" t="s">
        <v>252</v>
      </c>
    </row>
    <row r="3" spans="2:5" ht="15.75">
      <c r="B3" s="390"/>
      <c r="C3" s="391"/>
      <c r="E3" s="377"/>
    </row>
    <row r="4" spans="2:5" ht="16.5" customHeight="1">
      <c r="B4" s="845" t="s">
        <v>346</v>
      </c>
      <c r="C4" s="845"/>
      <c r="D4" s="845"/>
      <c r="E4" s="845"/>
    </row>
    <row r="5" spans="2:5" ht="17.25" customHeight="1">
      <c r="B5" s="845" t="s">
        <v>347</v>
      </c>
      <c r="C5" s="845"/>
      <c r="D5" s="845"/>
      <c r="E5" s="845"/>
    </row>
    <row r="6" spans="2:5" ht="21" customHeight="1">
      <c r="B6" s="845" t="s">
        <v>348</v>
      </c>
      <c r="C6" s="845"/>
      <c r="D6" s="845"/>
      <c r="E6" s="845"/>
    </row>
    <row r="7" spans="2:5" ht="15.75" customHeight="1" thickBot="1">
      <c r="B7" s="390"/>
      <c r="C7" s="391"/>
      <c r="D7" s="380"/>
      <c r="E7" s="381" t="s">
        <v>259</v>
      </c>
    </row>
    <row r="8" spans="1:5" ht="18.75" customHeight="1">
      <c r="A8" s="850" t="s">
        <v>30</v>
      </c>
      <c r="B8" s="852" t="s">
        <v>190</v>
      </c>
      <c r="C8" s="846" t="s">
        <v>349</v>
      </c>
      <c r="D8" s="846" t="s">
        <v>300</v>
      </c>
      <c r="E8" s="848" t="s">
        <v>301</v>
      </c>
    </row>
    <row r="9" spans="1:5" ht="32.25" customHeight="1">
      <c r="A9" s="851"/>
      <c r="B9" s="853"/>
      <c r="C9" s="847"/>
      <c r="D9" s="847"/>
      <c r="E9" s="849"/>
    </row>
    <row r="10" spans="1:5" ht="18" customHeight="1">
      <c r="A10" s="411" t="s">
        <v>254</v>
      </c>
      <c r="B10" s="100" t="s">
        <v>208</v>
      </c>
      <c r="C10" s="230">
        <f>+'2 mell'!F8</f>
        <v>902173</v>
      </c>
      <c r="D10" s="405">
        <f>ROUND(+C10*1.03,0)</f>
        <v>929238</v>
      </c>
      <c r="E10" s="408">
        <f>ROUND(+D10*1.03,0)</f>
        <v>957115</v>
      </c>
    </row>
    <row r="11" spans="1:5" ht="15.75">
      <c r="A11" s="411" t="s">
        <v>255</v>
      </c>
      <c r="B11" s="100" t="s">
        <v>427</v>
      </c>
      <c r="C11" s="230">
        <f>+'2 mell'!F9</f>
        <v>223174</v>
      </c>
      <c r="D11" s="405">
        <f aca="true" t="shared" si="0" ref="D11:D47">ROUND(+C11*1.03,0)</f>
        <v>229869</v>
      </c>
      <c r="E11" s="408">
        <f>ROUND(+D11*1.03,0)</f>
        <v>236765</v>
      </c>
    </row>
    <row r="12" spans="1:7" ht="15.75" customHeight="1">
      <c r="A12" s="411" t="s">
        <v>33</v>
      </c>
      <c r="B12" s="100" t="s">
        <v>210</v>
      </c>
      <c r="C12" s="230">
        <f>+'2 mell'!F10</f>
        <v>998823</v>
      </c>
      <c r="D12" s="405">
        <f t="shared" si="0"/>
        <v>1028788</v>
      </c>
      <c r="E12" s="408">
        <f>ROUND(+D12*1.03,0)</f>
        <v>1059652</v>
      </c>
      <c r="G12" s="378"/>
    </row>
    <row r="13" spans="1:7" ht="15.75" customHeight="1">
      <c r="A13" s="411" t="s">
        <v>49</v>
      </c>
      <c r="B13" s="100" t="s">
        <v>211</v>
      </c>
      <c r="C13" s="230">
        <f>+'2 mell'!F11</f>
        <v>0</v>
      </c>
      <c r="D13" s="405">
        <f t="shared" si="0"/>
        <v>0</v>
      </c>
      <c r="E13" s="408">
        <f>ROUND(+D13*1.03,0)</f>
        <v>0</v>
      </c>
      <c r="G13" s="378"/>
    </row>
    <row r="14" spans="1:7" ht="15.75" customHeight="1">
      <c r="A14" s="411" t="s">
        <v>130</v>
      </c>
      <c r="B14" s="100" t="s">
        <v>212</v>
      </c>
      <c r="C14" s="403">
        <f>SUM(C15:C18)</f>
        <v>532150</v>
      </c>
      <c r="D14" s="403">
        <f>SUM(D15:D18)</f>
        <v>527733</v>
      </c>
      <c r="E14" s="403">
        <f>SUM(E15:E18)</f>
        <v>524202</v>
      </c>
      <c r="G14" s="378"/>
    </row>
    <row r="15" spans="1:7" ht="31.5" customHeight="1">
      <c r="A15" s="412" t="s">
        <v>131</v>
      </c>
      <c r="B15" s="406" t="s">
        <v>385</v>
      </c>
      <c r="C15" s="230">
        <f>+'2 mell'!F13</f>
        <v>277381</v>
      </c>
      <c r="D15" s="405">
        <f t="shared" si="0"/>
        <v>285702</v>
      </c>
      <c r="E15" s="408">
        <f>ROUND(+D15*1.03,0)</f>
        <v>294273</v>
      </c>
      <c r="G15" s="378"/>
    </row>
    <row r="16" spans="1:7" ht="15.75" customHeight="1">
      <c r="A16" s="412" t="s">
        <v>139</v>
      </c>
      <c r="B16" s="406" t="s">
        <v>386</v>
      </c>
      <c r="C16" s="230">
        <f>+'2 mell'!F14</f>
        <v>254769</v>
      </c>
      <c r="D16" s="405">
        <f>ROUND(+C16*0.95,0)</f>
        <v>242031</v>
      </c>
      <c r="E16" s="405">
        <f>ROUND(+D16*0.95,0)</f>
        <v>229929</v>
      </c>
      <c r="G16" s="378"/>
    </row>
    <row r="17" spans="1:5" ht="32.25" customHeight="1">
      <c r="A17" s="412" t="s">
        <v>144</v>
      </c>
      <c r="B17" s="406" t="s">
        <v>387</v>
      </c>
      <c r="C17" s="230">
        <f>+'2 mell'!F15</f>
        <v>0</v>
      </c>
      <c r="D17" s="405">
        <f t="shared" si="0"/>
        <v>0</v>
      </c>
      <c r="E17" s="408">
        <f>ROUND(+D17*1.03,0)</f>
        <v>0</v>
      </c>
    </row>
    <row r="18" spans="1:5" ht="34.5" customHeight="1">
      <c r="A18" s="412" t="s">
        <v>149</v>
      </c>
      <c r="B18" s="406" t="s">
        <v>388</v>
      </c>
      <c r="C18" s="230">
        <f>+'2 mell'!F16</f>
        <v>0</v>
      </c>
      <c r="D18" s="405">
        <f t="shared" si="0"/>
        <v>0</v>
      </c>
      <c r="E18" s="408">
        <f>ROUND(+D18*1.03,0)</f>
        <v>0</v>
      </c>
    </row>
    <row r="19" spans="1:7" s="382" customFormat="1" ht="15.75" customHeight="1">
      <c r="A19" s="411" t="s">
        <v>181</v>
      </c>
      <c r="B19" s="417" t="s">
        <v>213</v>
      </c>
      <c r="C19" s="230">
        <f>+'2 mell'!F17</f>
        <v>0</v>
      </c>
      <c r="D19" s="405">
        <f t="shared" si="0"/>
        <v>0</v>
      </c>
      <c r="E19" s="408">
        <f>ROUND(+D19*1.03,0)</f>
        <v>0</v>
      </c>
      <c r="F19" s="378"/>
      <c r="G19" s="381"/>
    </row>
    <row r="20" spans="1:15" ht="15.75">
      <c r="A20" s="411" t="s">
        <v>271</v>
      </c>
      <c r="B20" s="417" t="s">
        <v>214</v>
      </c>
      <c r="C20" s="230">
        <f>+'2 mell'!F18</f>
        <v>30000</v>
      </c>
      <c r="D20" s="405">
        <f>ROUND(+C20*1,0)</f>
        <v>30000</v>
      </c>
      <c r="E20" s="405">
        <f>ROUND(+D20*1,0)</f>
        <v>30000</v>
      </c>
      <c r="O20" s="223" t="s">
        <v>278</v>
      </c>
    </row>
    <row r="21" spans="1:5" ht="15.75" customHeight="1">
      <c r="A21" s="411" t="s">
        <v>272</v>
      </c>
      <c r="B21" s="417" t="s">
        <v>159</v>
      </c>
      <c r="C21" s="230">
        <f>+'2 mell'!F19</f>
        <v>49088</v>
      </c>
      <c r="D21" s="405">
        <f>ROUND(+C21*0.65,0)-1103</f>
        <v>30804</v>
      </c>
      <c r="E21" s="405">
        <f>ROUND(+D21*1,0)</f>
        <v>30804</v>
      </c>
    </row>
    <row r="22" spans="1:5" ht="15" customHeight="1">
      <c r="A22" s="411" t="s">
        <v>273</v>
      </c>
      <c r="B22" s="401" t="s">
        <v>236</v>
      </c>
      <c r="C22" s="393">
        <f>SUM(C10,C11,C12,C13,C14,C19,C20,C21)</f>
        <v>2735408</v>
      </c>
      <c r="D22" s="393">
        <f>SUM(D10,D11,D12,D13,D14,D19,D20,D21)</f>
        <v>2776432</v>
      </c>
      <c r="E22" s="393">
        <f>SUM(E10,E11,E12,E13,E14,E19,E20,E21)</f>
        <v>2838538</v>
      </c>
    </row>
    <row r="23" spans="1:5" ht="15.75" customHeight="1">
      <c r="A23" s="411" t="s">
        <v>274</v>
      </c>
      <c r="B23" s="100" t="s">
        <v>215</v>
      </c>
      <c r="C23" s="230">
        <f>+'2 mell'!F21</f>
        <v>58319</v>
      </c>
      <c r="D23" s="405">
        <f>ROUND(+C23*1.09,0)</f>
        <v>63568</v>
      </c>
      <c r="E23" s="408">
        <f>ROUND(+D23*1.09,0)</f>
        <v>69289</v>
      </c>
    </row>
    <row r="24" spans="1:5" ht="15.75" customHeight="1">
      <c r="A24" s="411" t="s">
        <v>170</v>
      </c>
      <c r="B24" s="100" t="s">
        <v>119</v>
      </c>
      <c r="C24" s="230">
        <f>+'2 mell'!F22</f>
        <v>429912</v>
      </c>
      <c r="D24" s="405">
        <f>ROUND(+C24*1.09,0)</f>
        <v>468604</v>
      </c>
      <c r="E24" s="405">
        <f>ROUND(+D24*1.09,0)</f>
        <v>510778</v>
      </c>
    </row>
    <row r="25" spans="1:5" ht="16.5" customHeight="1">
      <c r="A25" s="411" t="s">
        <v>275</v>
      </c>
      <c r="B25" s="100" t="s">
        <v>216</v>
      </c>
      <c r="C25" s="403">
        <f>SUM(C26:C29)</f>
        <v>42458</v>
      </c>
      <c r="D25" s="405">
        <f>ROUND(+C25*1,0)</f>
        <v>42458</v>
      </c>
      <c r="E25" s="408">
        <f>ROUND(+D25*1.03,0)</f>
        <v>43732</v>
      </c>
    </row>
    <row r="26" spans="1:7" ht="47.25">
      <c r="A26" s="413" t="s">
        <v>395</v>
      </c>
      <c r="B26" s="406" t="s">
        <v>389</v>
      </c>
      <c r="C26" s="230">
        <f>+'2 mell'!F24</f>
        <v>5197</v>
      </c>
      <c r="D26" s="405">
        <v>0</v>
      </c>
      <c r="E26" s="408">
        <v>0</v>
      </c>
      <c r="G26" s="378"/>
    </row>
    <row r="27" spans="1:7" ht="15.75" customHeight="1">
      <c r="A27" s="413" t="s">
        <v>396</v>
      </c>
      <c r="B27" s="407" t="s">
        <v>390</v>
      </c>
      <c r="C27" s="230">
        <f>+'2 mell'!F25</f>
        <v>37261</v>
      </c>
      <c r="D27" s="405">
        <v>0</v>
      </c>
      <c r="E27" s="408">
        <v>0</v>
      </c>
      <c r="G27" s="378"/>
    </row>
    <row r="28" spans="1:9" s="382" customFormat="1" ht="31.5" customHeight="1">
      <c r="A28" s="413" t="s">
        <v>397</v>
      </c>
      <c r="B28" s="406" t="s">
        <v>391</v>
      </c>
      <c r="C28" s="230">
        <f>+'2 mell'!F26</f>
        <v>0</v>
      </c>
      <c r="D28" s="405">
        <f t="shared" si="0"/>
        <v>0</v>
      </c>
      <c r="E28" s="408">
        <f aca="true" t="shared" si="1" ref="E28:E35">ROUND(+D28*1.03,0)</f>
        <v>0</v>
      </c>
      <c r="F28" s="378"/>
      <c r="G28" s="378"/>
      <c r="I28" s="383"/>
    </row>
    <row r="29" spans="1:7" s="382" customFormat="1" ht="31.5" customHeight="1">
      <c r="A29" s="413" t="s">
        <v>398</v>
      </c>
      <c r="B29" s="406" t="s">
        <v>392</v>
      </c>
      <c r="C29" s="230">
        <f>+'2 mell'!F27</f>
        <v>0</v>
      </c>
      <c r="D29" s="405">
        <f t="shared" si="0"/>
        <v>0</v>
      </c>
      <c r="E29" s="408">
        <f t="shared" si="1"/>
        <v>0</v>
      </c>
      <c r="F29" s="378"/>
      <c r="G29" s="378"/>
    </row>
    <row r="30" spans="1:7" s="384" customFormat="1" ht="15.75" customHeight="1">
      <c r="A30" s="411" t="s">
        <v>276</v>
      </c>
      <c r="B30" s="417" t="s">
        <v>217</v>
      </c>
      <c r="C30" s="230">
        <f>+'2 mell'!F28</f>
        <v>0</v>
      </c>
      <c r="D30" s="405">
        <f t="shared" si="0"/>
        <v>0</v>
      </c>
      <c r="E30" s="408">
        <f t="shared" si="1"/>
        <v>0</v>
      </c>
      <c r="F30" s="378"/>
      <c r="G30" s="379"/>
    </row>
    <row r="31" spans="1:9" s="384" customFormat="1" ht="15.75" customHeight="1">
      <c r="A31" s="411" t="s">
        <v>277</v>
      </c>
      <c r="B31" s="417" t="s">
        <v>218</v>
      </c>
      <c r="C31" s="230">
        <f>+'2 mell'!F29</f>
        <v>0</v>
      </c>
      <c r="D31" s="405">
        <f t="shared" si="0"/>
        <v>0</v>
      </c>
      <c r="E31" s="408">
        <f t="shared" si="1"/>
        <v>0</v>
      </c>
      <c r="F31" s="378"/>
      <c r="G31" s="378"/>
      <c r="I31" s="385"/>
    </row>
    <row r="32" spans="1:7" s="384" customFormat="1" ht="32.25" customHeight="1">
      <c r="A32" s="411" t="s">
        <v>279</v>
      </c>
      <c r="B32" s="105" t="s">
        <v>219</v>
      </c>
      <c r="C32" s="230">
        <f>+'2 mell'!F30</f>
        <v>0</v>
      </c>
      <c r="D32" s="405">
        <f t="shared" si="0"/>
        <v>0</v>
      </c>
      <c r="E32" s="408">
        <f t="shared" si="1"/>
        <v>0</v>
      </c>
      <c r="F32" s="378"/>
      <c r="G32" s="378"/>
    </row>
    <row r="33" spans="1:7" s="384" customFormat="1" ht="15.75">
      <c r="A33" s="411" t="s">
        <v>280</v>
      </c>
      <c r="B33" s="105" t="s">
        <v>194</v>
      </c>
      <c r="C33" s="230">
        <f>+'2 mell'!F31</f>
        <v>0</v>
      </c>
      <c r="D33" s="405">
        <f t="shared" si="0"/>
        <v>0</v>
      </c>
      <c r="E33" s="408">
        <f t="shared" si="1"/>
        <v>0</v>
      </c>
      <c r="F33" s="386"/>
      <c r="G33" s="381"/>
    </row>
    <row r="34" spans="1:7" s="384" customFormat="1" ht="15.75" customHeight="1">
      <c r="A34" s="411" t="s">
        <v>281</v>
      </c>
      <c r="B34" s="105" t="s">
        <v>195</v>
      </c>
      <c r="C34" s="230">
        <f>+'2 mell'!F32</f>
        <v>0</v>
      </c>
      <c r="D34" s="405">
        <f t="shared" si="0"/>
        <v>0</v>
      </c>
      <c r="E34" s="408">
        <f t="shared" si="1"/>
        <v>0</v>
      </c>
      <c r="F34" s="378"/>
      <c r="G34" s="379"/>
    </row>
    <row r="35" spans="1:7" s="384" customFormat="1" ht="16.5" customHeight="1">
      <c r="A35" s="411" t="s">
        <v>282</v>
      </c>
      <c r="B35" s="105" t="s">
        <v>196</v>
      </c>
      <c r="C35" s="230">
        <f>+'2 mell'!F33</f>
        <v>0</v>
      </c>
      <c r="D35" s="405">
        <f t="shared" si="0"/>
        <v>0</v>
      </c>
      <c r="E35" s="408">
        <f t="shared" si="1"/>
        <v>0</v>
      </c>
      <c r="F35" s="378"/>
      <c r="G35" s="379"/>
    </row>
    <row r="36" spans="1:7" s="382" customFormat="1" ht="15.75" customHeight="1">
      <c r="A36" s="411" t="s">
        <v>283</v>
      </c>
      <c r="B36" s="401" t="s">
        <v>237</v>
      </c>
      <c r="C36" s="393">
        <f>SUM(C23,C24,C25,C30,C31,C32,C33,C34,C35)</f>
        <v>530689</v>
      </c>
      <c r="D36" s="393">
        <f>SUM(D23,D24,D25,D30,D31,D32,D33,D34,D35)</f>
        <v>574630</v>
      </c>
      <c r="E36" s="393">
        <f>SUM(E23,E24,E25,E30,E31,E32,E33,E34,E35)</f>
        <v>623799</v>
      </c>
      <c r="F36" s="386"/>
      <c r="G36" s="381"/>
    </row>
    <row r="37" spans="1:7" s="384" customFormat="1" ht="15" customHeight="1">
      <c r="A37" s="411" t="s">
        <v>284</v>
      </c>
      <c r="B37" s="278" t="s">
        <v>377</v>
      </c>
      <c r="C37" s="394">
        <f>SUM(C22,C36)</f>
        <v>3266097</v>
      </c>
      <c r="D37" s="394">
        <f>SUM(D22,D36)</f>
        <v>3351062</v>
      </c>
      <c r="E37" s="394">
        <f>SUM(E22,E36)</f>
        <v>3462337</v>
      </c>
      <c r="F37" s="378"/>
      <c r="G37" s="379"/>
    </row>
    <row r="38" spans="1:7" s="384" customFormat="1" ht="15.75" customHeight="1">
      <c r="A38" s="411" t="s">
        <v>285</v>
      </c>
      <c r="B38" s="242" t="s">
        <v>182</v>
      </c>
      <c r="C38" s="241">
        <f>SUM(C39:C41)</f>
        <v>62592</v>
      </c>
      <c r="D38" s="241">
        <f>SUM(D39:D41)</f>
        <v>64470</v>
      </c>
      <c r="E38" s="241">
        <f>SUM(E39:E41)</f>
        <v>66404</v>
      </c>
      <c r="F38" s="378"/>
      <c r="G38" s="379"/>
    </row>
    <row r="39" spans="1:7" s="384" customFormat="1" ht="15.75" customHeight="1">
      <c r="A39" s="412" t="s">
        <v>399</v>
      </c>
      <c r="B39" s="240" t="s">
        <v>379</v>
      </c>
      <c r="C39" s="230">
        <f>+'2 mell'!F37</f>
        <v>9893</v>
      </c>
      <c r="D39" s="405">
        <f aca="true" t="shared" si="2" ref="D39:E41">ROUND(+C39*1.03,0)</f>
        <v>10190</v>
      </c>
      <c r="E39" s="532">
        <f t="shared" si="2"/>
        <v>10496</v>
      </c>
      <c r="F39" s="378"/>
      <c r="G39" s="379"/>
    </row>
    <row r="40" spans="1:7" s="384" customFormat="1" ht="16.5" customHeight="1">
      <c r="A40" s="413" t="s">
        <v>400</v>
      </c>
      <c r="B40" s="240" t="s">
        <v>183</v>
      </c>
      <c r="C40" s="230">
        <f>+'2 mell'!F38</f>
        <v>32435</v>
      </c>
      <c r="D40" s="405">
        <f t="shared" si="2"/>
        <v>33408</v>
      </c>
      <c r="E40" s="532">
        <f t="shared" si="2"/>
        <v>34410</v>
      </c>
      <c r="F40" s="378"/>
      <c r="G40" s="379"/>
    </row>
    <row r="41" spans="1:7" s="384" customFormat="1" ht="16.5" customHeight="1">
      <c r="A41" s="413" t="s">
        <v>401</v>
      </c>
      <c r="B41" s="240" t="s">
        <v>378</v>
      </c>
      <c r="C41" s="230">
        <f>+'2 mell'!F39</f>
        <v>20264</v>
      </c>
      <c r="D41" s="405">
        <f t="shared" si="2"/>
        <v>20872</v>
      </c>
      <c r="E41" s="532">
        <f t="shared" si="2"/>
        <v>21498</v>
      </c>
      <c r="F41" s="378"/>
      <c r="G41" s="379"/>
    </row>
    <row r="42" spans="1:10" s="384" customFormat="1" ht="15.75">
      <c r="A42" s="411" t="s">
        <v>286</v>
      </c>
      <c r="B42" s="242" t="s">
        <v>426</v>
      </c>
      <c r="C42" s="230">
        <f>+'2 mell'!F40</f>
        <v>0</v>
      </c>
      <c r="D42" s="405">
        <f t="shared" si="0"/>
        <v>0</v>
      </c>
      <c r="E42" s="408">
        <f aca="true" t="shared" si="3" ref="E42:E47">ROUND(+D42*1.03,0)</f>
        <v>0</v>
      </c>
      <c r="F42" s="378"/>
      <c r="G42" s="385"/>
      <c r="I42" s="385"/>
      <c r="J42" s="385"/>
    </row>
    <row r="43" spans="1:7" s="384" customFormat="1" ht="15.75" customHeight="1">
      <c r="A43" s="411" t="s">
        <v>287</v>
      </c>
      <c r="B43" s="242" t="s">
        <v>185</v>
      </c>
      <c r="C43" s="230">
        <f>+'2 mell'!F41</f>
        <v>735000</v>
      </c>
      <c r="D43" s="405">
        <v>0</v>
      </c>
      <c r="E43" s="408">
        <f t="shared" si="3"/>
        <v>0</v>
      </c>
      <c r="F43" s="378"/>
      <c r="G43" s="379"/>
    </row>
    <row r="44" spans="1:7" s="384" customFormat="1" ht="15.75" customHeight="1">
      <c r="A44" s="411" t="s">
        <v>288</v>
      </c>
      <c r="B44" s="242" t="s">
        <v>186</v>
      </c>
      <c r="C44" s="230">
        <f>+'2 mell'!F42</f>
        <v>0</v>
      </c>
      <c r="D44" s="405">
        <f t="shared" si="0"/>
        <v>0</v>
      </c>
      <c r="E44" s="408">
        <f t="shared" si="3"/>
        <v>0</v>
      </c>
      <c r="F44" s="378"/>
      <c r="G44" s="379"/>
    </row>
    <row r="45" spans="1:7" s="382" customFormat="1" ht="16.5" customHeight="1">
      <c r="A45" s="411" t="s">
        <v>289</v>
      </c>
      <c r="B45" s="242" t="s">
        <v>187</v>
      </c>
      <c r="C45" s="230">
        <f>+'2 mell'!F43</f>
        <v>0</v>
      </c>
      <c r="D45" s="405">
        <f t="shared" si="0"/>
        <v>0</v>
      </c>
      <c r="E45" s="408">
        <f t="shared" si="3"/>
        <v>0</v>
      </c>
      <c r="F45" s="378"/>
      <c r="G45" s="379"/>
    </row>
    <row r="46" spans="1:7" s="382" customFormat="1" ht="15.75">
      <c r="A46" s="411" t="s">
        <v>290</v>
      </c>
      <c r="B46" s="242" t="s">
        <v>188</v>
      </c>
      <c r="C46" s="230">
        <f>+'2 mell'!F44</f>
        <v>0</v>
      </c>
      <c r="D46" s="405">
        <f t="shared" si="0"/>
        <v>0</v>
      </c>
      <c r="E46" s="408">
        <f t="shared" si="3"/>
        <v>0</v>
      </c>
      <c r="F46" s="386"/>
      <c r="G46" s="379"/>
    </row>
    <row r="47" spans="1:7" s="382" customFormat="1" ht="16.5" customHeight="1">
      <c r="A47" s="411" t="s">
        <v>350</v>
      </c>
      <c r="B47" s="242" t="s">
        <v>189</v>
      </c>
      <c r="C47" s="230">
        <f>+'2 mell'!F45</f>
        <v>0</v>
      </c>
      <c r="D47" s="405">
        <f t="shared" si="0"/>
        <v>0</v>
      </c>
      <c r="E47" s="408">
        <f t="shared" si="3"/>
        <v>0</v>
      </c>
      <c r="F47" s="386"/>
      <c r="G47" s="379"/>
    </row>
    <row r="48" spans="1:7" s="382" customFormat="1" ht="16.5" customHeight="1">
      <c r="A48" s="411" t="s">
        <v>351</v>
      </c>
      <c r="B48" s="253" t="s">
        <v>380</v>
      </c>
      <c r="C48" s="410">
        <f>+C38+C42+C43+C44+C45+C46+C47</f>
        <v>797592</v>
      </c>
      <c r="D48" s="410">
        <f>+D38+D42+D43+D44+D45+D46+D47</f>
        <v>64470</v>
      </c>
      <c r="E48" s="410">
        <f>+E38+E42+E43+E44+E45+E46+E47</f>
        <v>66404</v>
      </c>
      <c r="F48" s="386"/>
      <c r="G48" s="379"/>
    </row>
    <row r="49" spans="1:7" s="382" customFormat="1" ht="15.75" customHeight="1" thickBot="1">
      <c r="A49" s="414" t="s">
        <v>291</v>
      </c>
      <c r="B49" s="409" t="s">
        <v>197</v>
      </c>
      <c r="C49" s="395">
        <f>+C37+C48</f>
        <v>4063689</v>
      </c>
      <c r="D49" s="395">
        <f>+D37+D48</f>
        <v>3415532</v>
      </c>
      <c r="E49" s="395">
        <f>+E37+E48</f>
        <v>3528741</v>
      </c>
      <c r="F49" s="386"/>
      <c r="G49" s="379"/>
    </row>
    <row r="50" spans="1:7" s="382" customFormat="1" ht="16.5" customHeight="1">
      <c r="A50" s="415"/>
      <c r="B50" s="397"/>
      <c r="C50" s="397"/>
      <c r="D50" s="397"/>
      <c r="E50" s="397"/>
      <c r="F50" s="378"/>
      <c r="G50" s="379"/>
    </row>
    <row r="51" spans="1:7" s="382" customFormat="1" ht="15.75" customHeight="1" thickBot="1">
      <c r="A51" s="415"/>
      <c r="B51" s="397"/>
      <c r="C51" s="397"/>
      <c r="D51" s="397"/>
      <c r="E51" s="397"/>
      <c r="F51" s="378"/>
      <c r="G51" s="379"/>
    </row>
    <row r="52" spans="1:5" ht="16.5" customHeight="1">
      <c r="A52" s="850" t="s">
        <v>30</v>
      </c>
      <c r="B52" s="852" t="s">
        <v>190</v>
      </c>
      <c r="C52" s="846" t="s">
        <v>349</v>
      </c>
      <c r="D52" s="846" t="s">
        <v>300</v>
      </c>
      <c r="E52" s="848" t="s">
        <v>301</v>
      </c>
    </row>
    <row r="53" spans="1:5" ht="15.75" customHeight="1">
      <c r="A53" s="851"/>
      <c r="B53" s="853"/>
      <c r="C53" s="847"/>
      <c r="D53" s="847"/>
      <c r="E53" s="849"/>
    </row>
    <row r="54" spans="1:5" ht="15.75" customHeight="1">
      <c r="A54" s="411" t="s">
        <v>254</v>
      </c>
      <c r="B54" s="100" t="s">
        <v>220</v>
      </c>
      <c r="C54" s="230">
        <f>+'2 mell'!F52</f>
        <v>0</v>
      </c>
      <c r="D54" s="405">
        <f aca="true" t="shared" si="4" ref="D54:E73">ROUND(+C54*1.03,0)</f>
        <v>0</v>
      </c>
      <c r="E54" s="408">
        <f t="shared" si="4"/>
        <v>0</v>
      </c>
    </row>
    <row r="55" spans="1:5" ht="15.75" customHeight="1">
      <c r="A55" s="411" t="s">
        <v>255</v>
      </c>
      <c r="B55" s="100" t="s">
        <v>221</v>
      </c>
      <c r="C55" s="230">
        <f>+'2 mell'!F53</f>
        <v>426099</v>
      </c>
      <c r="D55" s="405">
        <f>ROUND(+C55*1.02,0)</f>
        <v>434621</v>
      </c>
      <c r="E55" s="408">
        <f>ROUND(+D55*1.02,0)</f>
        <v>443313</v>
      </c>
    </row>
    <row r="56" spans="1:5" ht="15.75" customHeight="1">
      <c r="A56" s="411" t="s">
        <v>33</v>
      </c>
      <c r="B56" s="100" t="s">
        <v>222</v>
      </c>
      <c r="C56" s="230">
        <f>+'2 mell'!F54</f>
        <v>480111</v>
      </c>
      <c r="D56" s="405">
        <f>ROUND(+C56*1.05,0)</f>
        <v>504117</v>
      </c>
      <c r="E56" s="408">
        <f>ROUND(+D56*1.05,0)</f>
        <v>529323</v>
      </c>
    </row>
    <row r="57" spans="1:5" ht="15.75" customHeight="1">
      <c r="A57" s="411" t="s">
        <v>49</v>
      </c>
      <c r="B57" s="100" t="s">
        <v>223</v>
      </c>
      <c r="C57" s="230">
        <f>+'2 mell'!F55</f>
        <v>67148</v>
      </c>
      <c r="D57" s="405">
        <f t="shared" si="4"/>
        <v>69162</v>
      </c>
      <c r="E57" s="408">
        <f t="shared" si="4"/>
        <v>71237</v>
      </c>
    </row>
    <row r="58" spans="1:5" ht="16.5" customHeight="1">
      <c r="A58" s="411" t="s">
        <v>130</v>
      </c>
      <c r="B58" s="100" t="s">
        <v>224</v>
      </c>
      <c r="C58" s="230">
        <f>+'2 mell'!F56</f>
        <v>328600</v>
      </c>
      <c r="D58" s="405">
        <f>ROUND(+C58*1.04,0)</f>
        <v>341744</v>
      </c>
      <c r="E58" s="408">
        <f>ROUND(+D58*1.04,0)</f>
        <v>355414</v>
      </c>
    </row>
    <row r="59" spans="1:5" ht="15.75">
      <c r="A59" s="411" t="s">
        <v>181</v>
      </c>
      <c r="B59" s="101" t="s">
        <v>198</v>
      </c>
      <c r="C59" s="230">
        <f>+'2 mell'!F57</f>
        <v>0</v>
      </c>
      <c r="D59" s="405">
        <f t="shared" si="4"/>
        <v>0</v>
      </c>
      <c r="E59" s="408">
        <f t="shared" si="4"/>
        <v>0</v>
      </c>
    </row>
    <row r="60" spans="1:5" ht="15.75" customHeight="1">
      <c r="A60" s="411" t="s">
        <v>271</v>
      </c>
      <c r="B60" s="101" t="s">
        <v>199</v>
      </c>
      <c r="C60" s="230">
        <f>+'2 mell'!F58</f>
        <v>7000</v>
      </c>
      <c r="D60" s="405">
        <f>ROUND(+C60*1,0)</f>
        <v>7000</v>
      </c>
      <c r="E60" s="405">
        <f>ROUND(+D60*1,0)</f>
        <v>7000</v>
      </c>
    </row>
    <row r="61" spans="1:5" ht="15.75">
      <c r="A61" s="411" t="s">
        <v>272</v>
      </c>
      <c r="B61" s="101" t="s">
        <v>200</v>
      </c>
      <c r="C61" s="230">
        <f>+'2 mell'!F59</f>
        <v>25600</v>
      </c>
      <c r="D61" s="405">
        <f t="shared" si="4"/>
        <v>26368</v>
      </c>
      <c r="E61" s="408">
        <f t="shared" si="4"/>
        <v>27159</v>
      </c>
    </row>
    <row r="62" spans="1:5" ht="15.75" customHeight="1">
      <c r="A62" s="411" t="s">
        <v>273</v>
      </c>
      <c r="B62" s="100" t="s">
        <v>225</v>
      </c>
      <c r="C62" s="230">
        <f>+'2 mell'!F60</f>
        <v>1353072</v>
      </c>
      <c r="D62" s="405">
        <f>ROUND(+C62*1.05,0)</f>
        <v>1420726</v>
      </c>
      <c r="E62" s="408">
        <f>ROUND(+D62*1.05,0)</f>
        <v>1491762</v>
      </c>
    </row>
    <row r="63" spans="1:5" ht="15.75" customHeight="1">
      <c r="A63" s="411" t="s">
        <v>274</v>
      </c>
      <c r="B63" s="399" t="s">
        <v>226</v>
      </c>
      <c r="C63" s="230">
        <f>+'2 mell'!F61</f>
        <v>2050</v>
      </c>
      <c r="D63" s="405">
        <f t="shared" si="4"/>
        <v>2112</v>
      </c>
      <c r="E63" s="408">
        <f t="shared" si="4"/>
        <v>2175</v>
      </c>
    </row>
    <row r="64" spans="1:5" ht="16.5" customHeight="1">
      <c r="A64" s="411" t="s">
        <v>170</v>
      </c>
      <c r="B64" s="400" t="s">
        <v>201</v>
      </c>
      <c r="C64" s="393">
        <f>SUM(C54:C63)</f>
        <v>2689680</v>
      </c>
      <c r="D64" s="393">
        <f>SUM(D54:D63)</f>
        <v>2805850</v>
      </c>
      <c r="E64" s="393">
        <f>SUM(E54:E63)</f>
        <v>2927383</v>
      </c>
    </row>
    <row r="65" spans="1:5" ht="16.5" customHeight="1">
      <c r="A65" s="411" t="s">
        <v>275</v>
      </c>
      <c r="B65" s="400" t="s">
        <v>243</v>
      </c>
      <c r="C65" s="393">
        <f>SUM(C64-C22)</f>
        <v>-45728</v>
      </c>
      <c r="D65" s="393">
        <f>SUM(D64-D22)</f>
        <v>29418</v>
      </c>
      <c r="E65" s="393">
        <f>SUM(E64-E22)</f>
        <v>88845</v>
      </c>
    </row>
    <row r="66" spans="1:5" ht="15.75">
      <c r="A66" s="411" t="s">
        <v>276</v>
      </c>
      <c r="B66" s="105" t="s">
        <v>202</v>
      </c>
      <c r="C66" s="230">
        <f>+'2 mell'!F64</f>
        <v>0</v>
      </c>
      <c r="D66" s="405">
        <f t="shared" si="4"/>
        <v>0</v>
      </c>
      <c r="E66" s="408">
        <f t="shared" si="4"/>
        <v>0</v>
      </c>
    </row>
    <row r="67" spans="1:5" ht="17.25" customHeight="1">
      <c r="A67" s="411" t="s">
        <v>277</v>
      </c>
      <c r="B67" s="100" t="s">
        <v>227</v>
      </c>
      <c r="C67" s="230">
        <f>+'2 mell'!F65</f>
        <v>45728</v>
      </c>
      <c r="D67" s="405">
        <f t="shared" si="4"/>
        <v>47100</v>
      </c>
      <c r="E67" s="408">
        <f t="shared" si="4"/>
        <v>48513</v>
      </c>
    </row>
    <row r="68" spans="1:5" ht="15.75">
      <c r="A68" s="411" t="s">
        <v>279</v>
      </c>
      <c r="B68" s="401" t="s">
        <v>238</v>
      </c>
      <c r="C68" s="403">
        <f>SUM(C64,C66,C67)</f>
        <v>2735408</v>
      </c>
      <c r="D68" s="405">
        <f t="shared" si="4"/>
        <v>2817470</v>
      </c>
      <c r="E68" s="408">
        <f t="shared" si="4"/>
        <v>2901994</v>
      </c>
    </row>
    <row r="69" spans="1:5" ht="16.5" customHeight="1">
      <c r="A69" s="411" t="s">
        <v>280</v>
      </c>
      <c r="B69" s="100" t="s">
        <v>228</v>
      </c>
      <c r="C69" s="392">
        <f>+'2 mell'!F67</f>
        <v>0</v>
      </c>
      <c r="D69" s="405">
        <f t="shared" si="4"/>
        <v>0</v>
      </c>
      <c r="E69" s="408">
        <f t="shared" si="4"/>
        <v>0</v>
      </c>
    </row>
    <row r="70" spans="1:5" ht="16.5" customHeight="1">
      <c r="A70" s="411" t="s">
        <v>281</v>
      </c>
      <c r="B70" s="100" t="s">
        <v>229</v>
      </c>
      <c r="C70" s="392">
        <f>+'2 mell'!F68</f>
        <v>18990</v>
      </c>
      <c r="D70" s="405">
        <f aca="true" t="shared" si="5" ref="D70:E72">ROUND(+C70*1.09,0)</f>
        <v>20699</v>
      </c>
      <c r="E70" s="408">
        <f t="shared" si="5"/>
        <v>22562</v>
      </c>
    </row>
    <row r="71" spans="1:5" ht="16.5" customHeight="1">
      <c r="A71" s="411" t="s">
        <v>282</v>
      </c>
      <c r="B71" s="100" t="s">
        <v>230</v>
      </c>
      <c r="C71" s="392">
        <f>+'2 mell'!F69</f>
        <v>50342</v>
      </c>
      <c r="D71" s="405">
        <f t="shared" si="5"/>
        <v>54873</v>
      </c>
      <c r="E71" s="408">
        <f t="shared" si="5"/>
        <v>59812</v>
      </c>
    </row>
    <row r="72" spans="1:5" ht="32.25" customHeight="1">
      <c r="A72" s="411" t="s">
        <v>283</v>
      </c>
      <c r="B72" s="100" t="s">
        <v>231</v>
      </c>
      <c r="C72" s="392">
        <f>+'2 mell'!F70</f>
        <v>367652</v>
      </c>
      <c r="D72" s="405">
        <f t="shared" si="5"/>
        <v>400741</v>
      </c>
      <c r="E72" s="408">
        <f t="shared" si="5"/>
        <v>436808</v>
      </c>
    </row>
    <row r="73" spans="1:5" ht="31.5">
      <c r="A73" s="411" t="s">
        <v>284</v>
      </c>
      <c r="B73" s="100" t="s">
        <v>232</v>
      </c>
      <c r="C73" s="392">
        <f>+'2 mell'!F71</f>
        <v>6000</v>
      </c>
      <c r="D73" s="405">
        <f t="shared" si="4"/>
        <v>6180</v>
      </c>
      <c r="E73" s="408">
        <f t="shared" si="4"/>
        <v>6365</v>
      </c>
    </row>
    <row r="74" spans="1:5" ht="16.5" customHeight="1">
      <c r="A74" s="411" t="s">
        <v>285</v>
      </c>
      <c r="B74" s="100" t="s">
        <v>233</v>
      </c>
      <c r="C74" s="392">
        <f>+'2 mell'!F72</f>
        <v>0</v>
      </c>
      <c r="D74" s="405">
        <f aca="true" t="shared" si="6" ref="D74:E90">ROUND(+C74*1.03,0)</f>
        <v>0</v>
      </c>
      <c r="E74" s="408">
        <f t="shared" si="6"/>
        <v>0</v>
      </c>
    </row>
    <row r="75" spans="1:5" ht="16.5" customHeight="1">
      <c r="A75" s="411" t="s">
        <v>286</v>
      </c>
      <c r="B75" s="399" t="s">
        <v>234</v>
      </c>
      <c r="C75" s="392">
        <f>+'2 mell'!F73</f>
        <v>0</v>
      </c>
      <c r="D75" s="405">
        <f t="shared" si="6"/>
        <v>0</v>
      </c>
      <c r="E75" s="408">
        <f t="shared" si="6"/>
        <v>0</v>
      </c>
    </row>
    <row r="76" spans="1:6" ht="16.5" customHeight="1">
      <c r="A76" s="411" t="s">
        <v>287</v>
      </c>
      <c r="B76" s="400" t="s">
        <v>203</v>
      </c>
      <c r="C76" s="393">
        <f>SUM(C69:C75)</f>
        <v>442984</v>
      </c>
      <c r="D76" s="393">
        <f>SUM(D69:D75)</f>
        <v>482493</v>
      </c>
      <c r="E76" s="393">
        <f>SUM(E69:E75)</f>
        <v>525547</v>
      </c>
      <c r="F76" s="379"/>
    </row>
    <row r="77" spans="1:5" ht="15.75">
      <c r="A77" s="411" t="s">
        <v>288</v>
      </c>
      <c r="B77" s="400" t="s">
        <v>244</v>
      </c>
      <c r="C77" s="393">
        <f>SUM(C76-C36)</f>
        <v>-87705</v>
      </c>
      <c r="D77" s="393">
        <f>SUM(D76-D36)</f>
        <v>-92137</v>
      </c>
      <c r="E77" s="393">
        <f>SUM(E76-E36)</f>
        <v>-98252</v>
      </c>
    </row>
    <row r="78" spans="1:5" ht="15.75">
      <c r="A78" s="411" t="s">
        <v>289</v>
      </c>
      <c r="B78" s="105" t="s">
        <v>204</v>
      </c>
      <c r="C78" s="230">
        <f>+'2 mell'!F76</f>
        <v>24705</v>
      </c>
      <c r="D78" s="405">
        <f t="shared" si="6"/>
        <v>25446</v>
      </c>
      <c r="E78" s="408">
        <f>ROUND(+D78*1.03,0)-9000</f>
        <v>17209</v>
      </c>
    </row>
    <row r="79" spans="1:6" ht="31.5">
      <c r="A79" s="411" t="s">
        <v>290</v>
      </c>
      <c r="B79" s="100" t="s">
        <v>235</v>
      </c>
      <c r="C79" s="416">
        <f>+'2 mell'!F77</f>
        <v>63000</v>
      </c>
      <c r="D79" s="405">
        <f>ROUND(+C79*0.6,0)-12147</f>
        <v>25653</v>
      </c>
      <c r="E79" s="408">
        <f>ROUND(+D79*1.03,0)-8836</f>
        <v>17587</v>
      </c>
      <c r="F79" s="379"/>
    </row>
    <row r="80" spans="1:5" ht="15.75">
      <c r="A80" s="411" t="s">
        <v>350</v>
      </c>
      <c r="B80" s="105" t="s">
        <v>205</v>
      </c>
      <c r="C80" s="230">
        <f>+'2 mell'!F78</f>
        <v>0</v>
      </c>
      <c r="D80" s="405">
        <f t="shared" si="6"/>
        <v>0</v>
      </c>
      <c r="E80" s="408">
        <f t="shared" si="6"/>
        <v>0</v>
      </c>
    </row>
    <row r="81" spans="1:5" ht="15.75">
      <c r="A81" s="411" t="s">
        <v>351</v>
      </c>
      <c r="B81" s="105" t="s">
        <v>206</v>
      </c>
      <c r="C81" s="230">
        <f>+'2 mell'!F79</f>
        <v>0</v>
      </c>
      <c r="D81" s="405">
        <f t="shared" si="6"/>
        <v>0</v>
      </c>
      <c r="E81" s="408">
        <f t="shared" si="6"/>
        <v>0</v>
      </c>
    </row>
    <row r="82" spans="1:5" ht="15.75">
      <c r="A82" s="411" t="s">
        <v>291</v>
      </c>
      <c r="B82" s="401" t="s">
        <v>239</v>
      </c>
      <c r="C82" s="393">
        <f>SUM(C76,C78,C79,C80,C81)</f>
        <v>530689</v>
      </c>
      <c r="D82" s="393">
        <f>SUM(D76,D78,D79,D80,D81)</f>
        <v>533592</v>
      </c>
      <c r="E82" s="393">
        <f>SUM(E76,E78,E79,E80,E81)</f>
        <v>560343</v>
      </c>
    </row>
    <row r="83" spans="1:5" ht="15.75">
      <c r="A83" s="411" t="s">
        <v>292</v>
      </c>
      <c r="B83" s="402" t="s">
        <v>376</v>
      </c>
      <c r="C83" s="394">
        <f>SUM(C68,C82)</f>
        <v>3266097</v>
      </c>
      <c r="D83" s="394">
        <f>SUM(D68,D82)</f>
        <v>3351062</v>
      </c>
      <c r="E83" s="394">
        <f>SUM(E68,E82)</f>
        <v>3462337</v>
      </c>
    </row>
    <row r="84" spans="1:5" ht="15.75">
      <c r="A84" s="411" t="s">
        <v>293</v>
      </c>
      <c r="B84" s="255" t="s">
        <v>172</v>
      </c>
      <c r="C84" s="230">
        <f>+'2 mell'!F82</f>
        <v>0</v>
      </c>
      <c r="D84" s="405">
        <f t="shared" si="6"/>
        <v>0</v>
      </c>
      <c r="E84" s="408">
        <f t="shared" si="6"/>
        <v>0</v>
      </c>
    </row>
    <row r="85" spans="1:5" ht="15.75">
      <c r="A85" s="411" t="s">
        <v>294</v>
      </c>
      <c r="B85" s="255" t="s">
        <v>428</v>
      </c>
      <c r="C85" s="230">
        <f>+'2 mell'!F83</f>
        <v>735000</v>
      </c>
      <c r="D85" s="405">
        <v>0</v>
      </c>
      <c r="E85" s="408">
        <f t="shared" si="6"/>
        <v>0</v>
      </c>
    </row>
    <row r="86" spans="1:5" ht="15.75">
      <c r="A86" s="411" t="s">
        <v>352</v>
      </c>
      <c r="B86" s="255" t="s">
        <v>176</v>
      </c>
      <c r="C86" s="230">
        <f>+'2 mell'!F84</f>
        <v>62592</v>
      </c>
      <c r="D86" s="405">
        <f t="shared" si="6"/>
        <v>64470</v>
      </c>
      <c r="E86" s="408">
        <f t="shared" si="6"/>
        <v>66404</v>
      </c>
    </row>
    <row r="87" spans="1:5" ht="15.75">
      <c r="A87" s="411" t="s">
        <v>353</v>
      </c>
      <c r="B87" s="255" t="s">
        <v>177</v>
      </c>
      <c r="C87" s="230">
        <f>+'2 mell'!F85</f>
        <v>0</v>
      </c>
      <c r="D87" s="405">
        <f t="shared" si="6"/>
        <v>0</v>
      </c>
      <c r="E87" s="408">
        <f t="shared" si="6"/>
        <v>0</v>
      </c>
    </row>
    <row r="88" spans="1:5" ht="15.75">
      <c r="A88" s="411" t="s">
        <v>354</v>
      </c>
      <c r="B88" s="255" t="s">
        <v>178</v>
      </c>
      <c r="C88" s="230">
        <f>+'2 mell'!F86</f>
        <v>0</v>
      </c>
      <c r="D88" s="405">
        <f t="shared" si="6"/>
        <v>0</v>
      </c>
      <c r="E88" s="408">
        <f t="shared" si="6"/>
        <v>0</v>
      </c>
    </row>
    <row r="89" spans="1:5" ht="15.75">
      <c r="A89" s="411" t="s">
        <v>355</v>
      </c>
      <c r="B89" s="255" t="s">
        <v>179</v>
      </c>
      <c r="C89" s="230">
        <f>+'2 mell'!F87</f>
        <v>0</v>
      </c>
      <c r="D89" s="405">
        <f t="shared" si="6"/>
        <v>0</v>
      </c>
      <c r="E89" s="408">
        <f t="shared" si="6"/>
        <v>0</v>
      </c>
    </row>
    <row r="90" spans="1:5" ht="15.75">
      <c r="A90" s="411" t="s">
        <v>356</v>
      </c>
      <c r="B90" s="255" t="s">
        <v>180</v>
      </c>
      <c r="C90" s="230">
        <f>+'2 mell'!F88</f>
        <v>0</v>
      </c>
      <c r="D90" s="405">
        <f t="shared" si="6"/>
        <v>0</v>
      </c>
      <c r="E90" s="408">
        <f t="shared" si="6"/>
        <v>0</v>
      </c>
    </row>
    <row r="91" spans="1:5" ht="15.75">
      <c r="A91" s="411" t="s">
        <v>357</v>
      </c>
      <c r="B91" s="253" t="s">
        <v>381</v>
      </c>
      <c r="C91" s="410">
        <f>SUM(C84:C90)</f>
        <v>797592</v>
      </c>
      <c r="D91" s="410">
        <f>SUM(D84:D90)</f>
        <v>64470</v>
      </c>
      <c r="E91" s="410">
        <f>SUM(E84:E90)</f>
        <v>66404</v>
      </c>
    </row>
    <row r="92" spans="1:5" ht="16.5" thickBot="1">
      <c r="A92" s="414" t="s">
        <v>358</v>
      </c>
      <c r="B92" s="409" t="s">
        <v>382</v>
      </c>
      <c r="C92" s="395">
        <f>+C91+C83</f>
        <v>4063689</v>
      </c>
      <c r="D92" s="395">
        <f>+D91+D83</f>
        <v>3415532</v>
      </c>
      <c r="E92" s="395">
        <f>+E91+E83</f>
        <v>3528741</v>
      </c>
    </row>
    <row r="93" spans="1:3" ht="15.75">
      <c r="A93" s="396"/>
      <c r="B93" s="397"/>
      <c r="C93" s="398"/>
    </row>
    <row r="94" spans="1:3" ht="15.75">
      <c r="A94" s="396"/>
      <c r="B94" s="397"/>
      <c r="C94" s="398"/>
    </row>
    <row r="95" spans="1:5" ht="15.75">
      <c r="A95" s="396"/>
      <c r="B95" s="397"/>
      <c r="C95" s="398">
        <f>+C92-C49</f>
        <v>0</v>
      </c>
      <c r="D95" s="398">
        <f>+D92-D49</f>
        <v>0</v>
      </c>
      <c r="E95" s="398">
        <f>+E92-E49</f>
        <v>0</v>
      </c>
    </row>
    <row r="96" spans="1:3" ht="15.75">
      <c r="A96" s="396"/>
      <c r="B96" s="397"/>
      <c r="C96" s="398"/>
    </row>
    <row r="97" spans="1:3" ht="15.75">
      <c r="A97" s="396"/>
      <c r="B97" s="397"/>
      <c r="C97" s="398"/>
    </row>
    <row r="98" spans="1:3" ht="15.75">
      <c r="A98" s="396"/>
      <c r="B98" s="397"/>
      <c r="C98" s="398"/>
    </row>
    <row r="99" spans="1:3" ht="15.75">
      <c r="A99" s="396"/>
      <c r="B99" s="397"/>
      <c r="C99" s="398"/>
    </row>
    <row r="100" spans="1:3" ht="15.75">
      <c r="A100" s="396"/>
      <c r="B100" s="397"/>
      <c r="C100" s="398"/>
    </row>
    <row r="101" spans="1:3" ht="15.75">
      <c r="A101" s="396"/>
      <c r="B101" s="397"/>
      <c r="C101" s="398"/>
    </row>
    <row r="102" spans="1:3" ht="15.75">
      <c r="A102" s="396"/>
      <c r="B102" s="397"/>
      <c r="C102" s="398"/>
    </row>
    <row r="103" spans="1:3" ht="15.75">
      <c r="A103" s="396"/>
      <c r="B103" s="397"/>
      <c r="C103" s="398"/>
    </row>
    <row r="104" spans="1:3" ht="15.75">
      <c r="A104" s="396"/>
      <c r="B104" s="397"/>
      <c r="C104" s="398"/>
    </row>
    <row r="105" spans="1:3" ht="15.75">
      <c r="A105" s="396"/>
      <c r="B105" s="397"/>
      <c r="C105" s="398"/>
    </row>
    <row r="106" spans="1:3" ht="15.75">
      <c r="A106" s="396"/>
      <c r="B106" s="397"/>
      <c r="C106" s="398"/>
    </row>
    <row r="107" spans="1:3" ht="15.75">
      <c r="A107" s="396"/>
      <c r="B107" s="397"/>
      <c r="C107" s="398"/>
    </row>
    <row r="108" spans="1:3" ht="15.75">
      <c r="A108" s="396"/>
      <c r="B108" s="397"/>
      <c r="C108" s="398"/>
    </row>
    <row r="109" spans="1:3" ht="15.75">
      <c r="A109" s="396"/>
      <c r="B109" s="397"/>
      <c r="C109" s="398"/>
    </row>
    <row r="110" spans="1:3" ht="15.75">
      <c r="A110" s="396"/>
      <c r="B110" s="397"/>
      <c r="C110" s="398"/>
    </row>
    <row r="111" spans="1:3" ht="15.75">
      <c r="A111" s="396"/>
      <c r="B111" s="397"/>
      <c r="C111" s="398"/>
    </row>
    <row r="112" spans="1:3" ht="15.75">
      <c r="A112" s="396"/>
      <c r="B112" s="397"/>
      <c r="C112" s="398"/>
    </row>
    <row r="113" spans="1:3" ht="15.75">
      <c r="A113" s="396"/>
      <c r="B113" s="397"/>
      <c r="C113" s="398"/>
    </row>
    <row r="114" spans="1:3" ht="15.75">
      <c r="A114" s="396"/>
      <c r="B114" s="397"/>
      <c r="C114" s="398"/>
    </row>
    <row r="115" spans="1:3" ht="15.75">
      <c r="A115" s="396"/>
      <c r="B115" s="397"/>
      <c r="C115" s="398"/>
    </row>
    <row r="116" spans="1:3" ht="15.75">
      <c r="A116" s="396"/>
      <c r="B116" s="397"/>
      <c r="C116" s="398"/>
    </row>
    <row r="117" spans="1:3" ht="15.75">
      <c r="A117" s="396"/>
      <c r="B117" s="397"/>
      <c r="C117" s="398"/>
    </row>
    <row r="118" spans="1:3" ht="15.75">
      <c r="A118" s="396"/>
      <c r="B118" s="397"/>
      <c r="C118" s="398"/>
    </row>
    <row r="119" spans="1:3" ht="15.75">
      <c r="A119" s="396"/>
      <c r="B119" s="397"/>
      <c r="C119" s="398"/>
    </row>
    <row r="120" spans="1:3" ht="15.75">
      <c r="A120" s="396"/>
      <c r="B120" s="397"/>
      <c r="C120" s="398"/>
    </row>
    <row r="121" spans="1:3" ht="15.75">
      <c r="A121" s="396"/>
      <c r="B121" s="397"/>
      <c r="C121" s="398"/>
    </row>
    <row r="122" spans="1:3" ht="15.75">
      <c r="A122" s="396"/>
      <c r="B122" s="397"/>
      <c r="C122" s="398"/>
    </row>
    <row r="123" spans="1:3" ht="15.75">
      <c r="A123" s="396"/>
      <c r="B123" s="397"/>
      <c r="C123" s="398"/>
    </row>
    <row r="124" spans="1:3" ht="15.75">
      <c r="A124" s="396"/>
      <c r="B124" s="397"/>
      <c r="C124" s="398"/>
    </row>
    <row r="125" spans="1:3" ht="15.75">
      <c r="A125" s="396"/>
      <c r="B125" s="397"/>
      <c r="C125" s="398"/>
    </row>
    <row r="126" spans="1:3" ht="15.75">
      <c r="A126" s="396"/>
      <c r="B126" s="397"/>
      <c r="C126" s="398"/>
    </row>
    <row r="127" spans="1:3" ht="15.75">
      <c r="A127" s="396"/>
      <c r="B127" s="397"/>
      <c r="C127" s="398"/>
    </row>
    <row r="128" spans="1:3" ht="15.75">
      <c r="A128" s="396"/>
      <c r="B128" s="397"/>
      <c r="C128" s="398"/>
    </row>
    <row r="129" spans="1:3" ht="15.75">
      <c r="A129" s="396"/>
      <c r="B129" s="397"/>
      <c r="C129" s="398"/>
    </row>
    <row r="130" spans="1:3" ht="15.75">
      <c r="A130" s="396"/>
      <c r="B130" s="397"/>
      <c r="C130" s="398"/>
    </row>
    <row r="131" spans="1:3" ht="15.75">
      <c r="A131" s="396"/>
      <c r="B131" s="397"/>
      <c r="C131" s="398"/>
    </row>
    <row r="132" spans="1:3" ht="15.75">
      <c r="A132" s="396"/>
      <c r="B132" s="397"/>
      <c r="C132" s="398"/>
    </row>
    <row r="133" spans="1:3" ht="15.75">
      <c r="A133" s="396"/>
      <c r="B133" s="397"/>
      <c r="C133" s="398"/>
    </row>
    <row r="134" spans="1:3" ht="15.75">
      <c r="A134" s="396"/>
      <c r="B134" s="397"/>
      <c r="C134" s="398"/>
    </row>
    <row r="135" spans="1:3" ht="15.75">
      <c r="A135" s="396"/>
      <c r="B135" s="397"/>
      <c r="C135" s="398"/>
    </row>
    <row r="136" spans="1:3" ht="15.75">
      <c r="A136" s="396"/>
      <c r="B136" s="397"/>
      <c r="C136" s="398"/>
    </row>
    <row r="137" spans="1:3" ht="15.75">
      <c r="A137" s="396"/>
      <c r="B137" s="397"/>
      <c r="C137" s="398"/>
    </row>
    <row r="138" spans="1:3" ht="15.75">
      <c r="A138" s="396"/>
      <c r="B138" s="397"/>
      <c r="C138" s="398"/>
    </row>
    <row r="139" spans="1:3" ht="15.75">
      <c r="A139" s="396"/>
      <c r="B139" s="397"/>
      <c r="C139" s="398"/>
    </row>
    <row r="140" spans="1:3" ht="15.75">
      <c r="A140" s="396"/>
      <c r="B140" s="397"/>
      <c r="C140" s="398"/>
    </row>
    <row r="141" spans="1:3" ht="15.75">
      <c r="A141" s="396"/>
      <c r="B141" s="397"/>
      <c r="C141" s="398"/>
    </row>
    <row r="142" spans="1:3" ht="15.75">
      <c r="A142" s="396"/>
      <c r="B142" s="397"/>
      <c r="C142" s="398"/>
    </row>
    <row r="143" spans="1:3" ht="15.75">
      <c r="A143" s="396"/>
      <c r="B143" s="397"/>
      <c r="C143" s="398"/>
    </row>
    <row r="144" spans="1:3" ht="15.75">
      <c r="A144" s="396"/>
      <c r="B144" s="397"/>
      <c r="C144" s="398"/>
    </row>
    <row r="145" spans="1:3" ht="15.75">
      <c r="A145" s="396"/>
      <c r="B145" s="397"/>
      <c r="C145" s="398"/>
    </row>
    <row r="146" spans="1:3" ht="15.75">
      <c r="A146" s="396"/>
      <c r="B146" s="397"/>
      <c r="C146" s="398"/>
    </row>
    <row r="147" spans="1:3" ht="15.75">
      <c r="A147" s="396"/>
      <c r="B147" s="397"/>
      <c r="C147" s="398"/>
    </row>
    <row r="148" spans="1:3" ht="15.75">
      <c r="A148" s="396"/>
      <c r="B148" s="397"/>
      <c r="C148" s="398"/>
    </row>
    <row r="149" spans="1:3" ht="15.75">
      <c r="A149" s="396"/>
      <c r="B149" s="397"/>
      <c r="C149" s="398"/>
    </row>
    <row r="150" spans="1:3" ht="15.75">
      <c r="A150" s="396"/>
      <c r="B150" s="397"/>
      <c r="C150" s="398"/>
    </row>
    <row r="151" spans="1:3" ht="15.75">
      <c r="A151" s="396"/>
      <c r="B151" s="397"/>
      <c r="C151" s="398"/>
    </row>
    <row r="152" spans="1:3" ht="15.75">
      <c r="A152" s="396"/>
      <c r="B152" s="397"/>
      <c r="C152" s="398"/>
    </row>
    <row r="153" spans="1:3" ht="15.75">
      <c r="A153" s="396"/>
      <c r="B153" s="397"/>
      <c r="C153" s="398"/>
    </row>
    <row r="154" spans="1:3" ht="15.75">
      <c r="A154" s="396"/>
      <c r="B154" s="397"/>
      <c r="C154" s="398"/>
    </row>
    <row r="155" spans="1:3" ht="15.75">
      <c r="A155" s="396"/>
      <c r="B155" s="397"/>
      <c r="C155" s="398"/>
    </row>
    <row r="156" spans="1:3" ht="15.75">
      <c r="A156" s="396"/>
      <c r="B156" s="397"/>
      <c r="C156" s="398"/>
    </row>
    <row r="157" ht="15.75">
      <c r="C157" s="404"/>
    </row>
    <row r="158" ht="15.75">
      <c r="C158" s="404"/>
    </row>
    <row r="159" ht="15.75">
      <c r="C159" s="404"/>
    </row>
    <row r="160" ht="15.75">
      <c r="C160" s="404"/>
    </row>
    <row r="161" ht="15.75">
      <c r="C161" s="404"/>
    </row>
    <row r="162" ht="15.75">
      <c r="C162" s="404"/>
    </row>
    <row r="163" ht="15.75">
      <c r="C163" s="404"/>
    </row>
    <row r="164" ht="15.75">
      <c r="C164" s="404"/>
    </row>
    <row r="165" ht="15.75">
      <c r="C165" s="404"/>
    </row>
    <row r="166" ht="15.75">
      <c r="C166" s="404"/>
    </row>
    <row r="167" ht="15.75">
      <c r="C167" s="404"/>
    </row>
    <row r="168" ht="15.75">
      <c r="C168" s="404"/>
    </row>
    <row r="169" ht="15.75">
      <c r="C169" s="404"/>
    </row>
    <row r="170" ht="15.75">
      <c r="C170" s="404"/>
    </row>
    <row r="171" ht="15.75">
      <c r="C171" s="404"/>
    </row>
    <row r="172" ht="15.75">
      <c r="C172" s="404"/>
    </row>
    <row r="173" ht="15.75">
      <c r="C173" s="404"/>
    </row>
    <row r="174" ht="15.75">
      <c r="C174" s="404"/>
    </row>
    <row r="175" ht="15.75">
      <c r="C175" s="404"/>
    </row>
    <row r="176" ht="15.75">
      <c r="C176" s="404"/>
    </row>
    <row r="177" ht="15.75">
      <c r="C177" s="404"/>
    </row>
    <row r="178" ht="15.75">
      <c r="C178" s="404"/>
    </row>
    <row r="179" ht="15.75">
      <c r="C179" s="404"/>
    </row>
    <row r="180" ht="15.75">
      <c r="C180" s="404"/>
    </row>
    <row r="181" ht="15.75">
      <c r="C181" s="404"/>
    </row>
    <row r="182" ht="15.75">
      <c r="C182" s="404"/>
    </row>
    <row r="183" ht="15.75">
      <c r="C183" s="404"/>
    </row>
    <row r="184" ht="15.75">
      <c r="C184" s="404"/>
    </row>
    <row r="185" ht="15.75">
      <c r="C185" s="404"/>
    </row>
    <row r="186" ht="15.75">
      <c r="C186" s="404"/>
    </row>
    <row r="187" ht="15.75">
      <c r="C187" s="404"/>
    </row>
    <row r="188" ht="15.75">
      <c r="C188" s="404"/>
    </row>
    <row r="189" ht="15.75">
      <c r="C189" s="404"/>
    </row>
    <row r="190" ht="15.75">
      <c r="C190" s="404"/>
    </row>
    <row r="191" ht="15.75">
      <c r="C191" s="404"/>
    </row>
    <row r="192" ht="15.75">
      <c r="C192" s="404"/>
    </row>
    <row r="193" ht="15.75">
      <c r="C193" s="404"/>
    </row>
    <row r="194" ht="15.75">
      <c r="C194" s="404"/>
    </row>
    <row r="195" ht="15.75">
      <c r="C195" s="404"/>
    </row>
    <row r="196" ht="15.75">
      <c r="C196" s="404"/>
    </row>
    <row r="197" ht="15.75">
      <c r="C197" s="404"/>
    </row>
    <row r="198" ht="15.75">
      <c r="C198" s="404"/>
    </row>
    <row r="199" ht="15.75">
      <c r="C199" s="404"/>
    </row>
    <row r="200" ht="15.75">
      <c r="C200" s="404"/>
    </row>
    <row r="201" ht="15.75">
      <c r="C201" s="404"/>
    </row>
    <row r="202" ht="15.75">
      <c r="C202" s="404"/>
    </row>
    <row r="203" ht="15.75">
      <c r="C203" s="404"/>
    </row>
    <row r="204" ht="15.75">
      <c r="C204" s="404"/>
    </row>
    <row r="205" ht="15.75">
      <c r="C205" s="404"/>
    </row>
    <row r="206" ht="15.75">
      <c r="C206" s="404"/>
    </row>
    <row r="207" ht="15.75">
      <c r="C207" s="404"/>
    </row>
    <row r="208" ht="15.75">
      <c r="C208" s="404"/>
    </row>
    <row r="209" ht="15.75">
      <c r="C209" s="404"/>
    </row>
    <row r="210" ht="15.75">
      <c r="C210" s="404"/>
    </row>
    <row r="211" ht="15.75">
      <c r="C211" s="404"/>
    </row>
    <row r="212" ht="15.75">
      <c r="C212" s="404"/>
    </row>
    <row r="213" ht="15.75">
      <c r="C213" s="404"/>
    </row>
    <row r="214" ht="15.75">
      <c r="C214" s="404"/>
    </row>
    <row r="215" ht="15.75">
      <c r="C215" s="404"/>
    </row>
    <row r="216" ht="15.75">
      <c r="C216" s="404"/>
    </row>
    <row r="217" ht="15.75">
      <c r="C217" s="404"/>
    </row>
    <row r="218" ht="15.75">
      <c r="C218" s="404"/>
    </row>
    <row r="219" ht="15.75">
      <c r="C219" s="404"/>
    </row>
    <row r="220" ht="15.75">
      <c r="C220" s="404"/>
    </row>
    <row r="221" ht="15.75">
      <c r="C221" s="404"/>
    </row>
    <row r="222" ht="15.75">
      <c r="C222" s="404"/>
    </row>
    <row r="223" ht="15.75">
      <c r="C223" s="404"/>
    </row>
    <row r="224" ht="15.75">
      <c r="C224" s="404"/>
    </row>
    <row r="225" ht="15.75">
      <c r="C225" s="404"/>
    </row>
    <row r="226" ht="15.75">
      <c r="C226" s="404"/>
    </row>
    <row r="227" ht="15.75">
      <c r="C227" s="404"/>
    </row>
    <row r="228" ht="15.75">
      <c r="C228" s="404"/>
    </row>
    <row r="229" ht="15.75">
      <c r="C229" s="404"/>
    </row>
    <row r="230" ht="15.75">
      <c r="C230" s="404"/>
    </row>
    <row r="231" ht="15.75">
      <c r="C231" s="404"/>
    </row>
    <row r="232" ht="15.75">
      <c r="C232" s="404"/>
    </row>
    <row r="233" ht="15.75">
      <c r="C233" s="404"/>
    </row>
    <row r="234" ht="15.75">
      <c r="C234" s="404"/>
    </row>
    <row r="235" ht="15.75">
      <c r="C235" s="404"/>
    </row>
    <row r="236" ht="15.75">
      <c r="C236" s="404"/>
    </row>
    <row r="237" ht="15.75">
      <c r="C237" s="404"/>
    </row>
    <row r="238" ht="15.75">
      <c r="C238" s="404"/>
    </row>
    <row r="239" ht="15.75">
      <c r="C239" s="404"/>
    </row>
    <row r="240" ht="15.75">
      <c r="C240" s="404"/>
    </row>
    <row r="241" ht="15.75">
      <c r="C241" s="404"/>
    </row>
    <row r="242" ht="15.75">
      <c r="C242" s="404"/>
    </row>
    <row r="243" ht="15.75">
      <c r="C243" s="404"/>
    </row>
    <row r="244" ht="15.75">
      <c r="C244" s="404"/>
    </row>
    <row r="245" ht="15.75">
      <c r="C245" s="404"/>
    </row>
    <row r="246" ht="15.75">
      <c r="C246" s="404"/>
    </row>
    <row r="247" ht="15.75">
      <c r="C247" s="404"/>
    </row>
    <row r="248" ht="15.75">
      <c r="C248" s="404"/>
    </row>
    <row r="249" ht="15.75">
      <c r="C249" s="404"/>
    </row>
    <row r="250" ht="15.75">
      <c r="C250" s="404"/>
    </row>
    <row r="251" ht="15.75">
      <c r="C251" s="404"/>
    </row>
    <row r="252" ht="15.75">
      <c r="C252" s="404"/>
    </row>
    <row r="253" ht="15.75">
      <c r="C253" s="404"/>
    </row>
    <row r="254" ht="15.75">
      <c r="C254" s="404"/>
    </row>
    <row r="255" ht="15.75">
      <c r="C255" s="404"/>
    </row>
    <row r="256" ht="15.75">
      <c r="C256" s="404"/>
    </row>
    <row r="257" ht="15.75">
      <c r="C257" s="404"/>
    </row>
    <row r="258" ht="15.75">
      <c r="C258" s="404"/>
    </row>
    <row r="259" ht="15.75">
      <c r="C259" s="404"/>
    </row>
    <row r="260" ht="15.75">
      <c r="C260" s="404"/>
    </row>
    <row r="261" ht="15.75">
      <c r="C261" s="404"/>
    </row>
    <row r="262" ht="15.75">
      <c r="C262" s="404"/>
    </row>
    <row r="263" ht="15.75">
      <c r="C263" s="404"/>
    </row>
    <row r="264" ht="15.75">
      <c r="C264" s="404"/>
    </row>
    <row r="265" ht="15.75">
      <c r="C265" s="404"/>
    </row>
    <row r="266" ht="15.75">
      <c r="C266" s="404"/>
    </row>
    <row r="267" ht="15.75">
      <c r="C267" s="404"/>
    </row>
    <row r="268" ht="15.75">
      <c r="C268" s="404"/>
    </row>
    <row r="269" ht="15.75">
      <c r="C269" s="404"/>
    </row>
    <row r="270" ht="15.75">
      <c r="C270" s="404"/>
    </row>
    <row r="271" ht="15.75">
      <c r="C271" s="404"/>
    </row>
    <row r="272" ht="15.75">
      <c r="C272" s="404"/>
    </row>
    <row r="273" ht="15.75">
      <c r="C273" s="404"/>
    </row>
    <row r="274" ht="15.75">
      <c r="C274" s="404"/>
    </row>
    <row r="275" ht="15.75">
      <c r="C275" s="404"/>
    </row>
    <row r="276" ht="15.75">
      <c r="C276" s="404"/>
    </row>
    <row r="277" ht="15.75">
      <c r="C277" s="404"/>
    </row>
    <row r="278" ht="15.75">
      <c r="C278" s="404"/>
    </row>
    <row r="279" ht="15.75">
      <c r="C279" s="404"/>
    </row>
    <row r="280" ht="15.75">
      <c r="C280" s="404"/>
    </row>
    <row r="281" ht="15.75">
      <c r="C281" s="404"/>
    </row>
    <row r="282" ht="15.75">
      <c r="C282" s="404"/>
    </row>
    <row r="283" ht="15.75">
      <c r="C283" s="404"/>
    </row>
    <row r="284" ht="15.75">
      <c r="C284" s="404"/>
    </row>
    <row r="285" ht="15.75">
      <c r="C285" s="404"/>
    </row>
    <row r="286" ht="15.75">
      <c r="C286" s="404"/>
    </row>
    <row r="287" ht="15.75">
      <c r="C287" s="404"/>
    </row>
    <row r="288" ht="15.75">
      <c r="C288" s="404"/>
    </row>
    <row r="289" ht="15.75">
      <c r="C289" s="404"/>
    </row>
    <row r="290" ht="15.75">
      <c r="C290" s="404"/>
    </row>
    <row r="291" ht="15.75">
      <c r="C291" s="404"/>
    </row>
    <row r="292" ht="15.75">
      <c r="C292" s="404"/>
    </row>
    <row r="293" ht="15.75">
      <c r="C293" s="404"/>
    </row>
    <row r="294" ht="15.75">
      <c r="C294" s="404"/>
    </row>
    <row r="295" ht="15.75">
      <c r="C295" s="404"/>
    </row>
    <row r="296" ht="15.75">
      <c r="C296" s="404"/>
    </row>
    <row r="297" ht="15.75">
      <c r="C297" s="404"/>
    </row>
    <row r="298" ht="15.75">
      <c r="C298" s="404"/>
    </row>
    <row r="299" ht="15.75">
      <c r="C299" s="404"/>
    </row>
    <row r="300" ht="15.75">
      <c r="C300" s="404"/>
    </row>
    <row r="301" ht="15.75">
      <c r="C301" s="404"/>
    </row>
    <row r="302" ht="15.75">
      <c r="C302" s="404"/>
    </row>
    <row r="303" ht="15.75">
      <c r="C303" s="404"/>
    </row>
    <row r="304" ht="15.75">
      <c r="C304" s="404"/>
    </row>
    <row r="305" ht="15.75">
      <c r="C305" s="404"/>
    </row>
    <row r="306" ht="15.75">
      <c r="C306" s="404"/>
    </row>
    <row r="307" ht="15.75">
      <c r="C307" s="404"/>
    </row>
    <row r="308" ht="15.75">
      <c r="C308" s="404"/>
    </row>
    <row r="309" ht="15.75">
      <c r="C309" s="404"/>
    </row>
    <row r="310" ht="15.75">
      <c r="C310" s="404"/>
    </row>
  </sheetData>
  <sheetProtection/>
  <mergeCells count="13">
    <mergeCell ref="A8:A9"/>
    <mergeCell ref="B8:B9"/>
    <mergeCell ref="C8:C9"/>
    <mergeCell ref="A52:A53"/>
    <mergeCell ref="B52:B53"/>
    <mergeCell ref="C52:C53"/>
    <mergeCell ref="B4:E4"/>
    <mergeCell ref="B5:E5"/>
    <mergeCell ref="B6:E6"/>
    <mergeCell ref="D52:D53"/>
    <mergeCell ref="E52:E53"/>
    <mergeCell ref="D8:D9"/>
    <mergeCell ref="E8:E9"/>
  </mergeCells>
  <printOptions horizontalCentered="1"/>
  <pageMargins left="0.4724409448818898" right="0.35433070866141736" top="0.64" bottom="0.4724409448818898" header="0.31496062992125984" footer="0.31496062992125984"/>
  <pageSetup horizontalDpi="600" verticalDpi="600" orientation="portrait" paperSize="9" scale="80" r:id="rId1"/>
  <headerFooter alignWithMargins="0">
    <oddFooter>&amp;R&amp;P</oddFooter>
  </headerFooter>
  <rowBreaks count="1" manualBreakCount="1">
    <brk id="5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24"/>
  <sheetViews>
    <sheetView view="pageBreakPreview" zoomScale="70" zoomScaleSheetLayoutView="70" workbookViewId="0" topLeftCell="A1">
      <selection activeCell="H1" sqref="H1"/>
    </sheetView>
  </sheetViews>
  <sheetFormatPr defaultColWidth="9.140625" defaultRowHeight="12.75"/>
  <cols>
    <col min="2" max="2" width="6.57421875" style="18" customWidth="1"/>
    <col min="3" max="3" width="57.421875" style="275" customWidth="1"/>
    <col min="4" max="5" width="12.7109375" style="0" customWidth="1"/>
    <col min="6" max="6" width="13.8515625" style="0" customWidth="1"/>
    <col min="7" max="7" width="11.421875" style="0" customWidth="1"/>
    <col min="8" max="9" width="12.57421875" style="0" customWidth="1"/>
    <col min="11" max="11" width="15.140625" style="0" customWidth="1"/>
  </cols>
  <sheetData>
    <row r="1" ht="18.75">
      <c r="I1" s="260" t="s">
        <v>501</v>
      </c>
    </row>
    <row r="2" ht="15.75">
      <c r="I2" s="10" t="s">
        <v>473</v>
      </c>
    </row>
    <row r="3" spans="4:9" ht="16.5">
      <c r="D3" s="87"/>
      <c r="E3" s="87"/>
      <c r="F3" s="87"/>
      <c r="G3" s="87"/>
      <c r="H3" s="87"/>
      <c r="I3" s="87"/>
    </row>
    <row r="4" spans="3:9" ht="18.75">
      <c r="C4" s="4" t="s">
        <v>2</v>
      </c>
      <c r="D4" s="256" t="s">
        <v>3</v>
      </c>
      <c r="E4" s="87"/>
      <c r="F4" s="87"/>
      <c r="G4" s="87"/>
      <c r="H4" s="87"/>
      <c r="I4" s="87"/>
    </row>
    <row r="5" spans="3:11" ht="17.25" thickBot="1">
      <c r="C5" s="276"/>
      <c r="D5" s="87"/>
      <c r="E5" s="87"/>
      <c r="G5" s="87"/>
      <c r="H5" s="87"/>
      <c r="I5" s="540" t="s">
        <v>0</v>
      </c>
      <c r="J5" s="87"/>
      <c r="K5" s="87"/>
    </row>
    <row r="6" spans="1:11" ht="16.5" customHeight="1">
      <c r="A6" s="263"/>
      <c r="B6" s="774" t="s">
        <v>30</v>
      </c>
      <c r="C6" s="782" t="s">
        <v>190</v>
      </c>
      <c r="D6" s="776" t="s">
        <v>383</v>
      </c>
      <c r="E6" s="777"/>
      <c r="F6" s="778"/>
      <c r="G6" s="784" t="s">
        <v>475</v>
      </c>
      <c r="H6" s="777"/>
      <c r="I6" s="778"/>
      <c r="J6" s="87"/>
      <c r="K6" s="87"/>
    </row>
    <row r="7" spans="1:9" s="226" customFormat="1" ht="31.5">
      <c r="A7" s="264"/>
      <c r="B7" s="775"/>
      <c r="C7" s="783"/>
      <c r="D7" s="542" t="s">
        <v>436</v>
      </c>
      <c r="E7" s="257" t="s">
        <v>437</v>
      </c>
      <c r="F7" s="259" t="s">
        <v>193</v>
      </c>
      <c r="G7" s="641" t="s">
        <v>436</v>
      </c>
      <c r="H7" s="257" t="s">
        <v>437</v>
      </c>
      <c r="I7" s="259" t="s">
        <v>193</v>
      </c>
    </row>
    <row r="8" spans="1:10" s="1" customFormat="1" ht="15.75">
      <c r="A8" s="265"/>
      <c r="B8" s="491" t="s">
        <v>254</v>
      </c>
      <c r="C8" s="657" t="s">
        <v>208</v>
      </c>
      <c r="D8" s="569">
        <f>+'7 Önk'!D6+'9 VGIG'!D6+'12 Ovi'!D6+'10 Járób'!D6+'11 Szoci'!D6+'13 Művh'!D6+'14 Könyvt'!D6+'8 Ph'!D6</f>
        <v>616888</v>
      </c>
      <c r="E8" s="229">
        <f>+'7 Önk'!E6+'9 VGIG'!E6+'12 Ovi'!E6+'10 Járób'!E6+'11 Szoci'!E6+'13 Művh'!E6+'14 Könyvt'!E6+'8 Ph'!E6</f>
        <v>285285</v>
      </c>
      <c r="F8" s="245">
        <f aca="true" t="shared" si="0" ref="F8:F19">SUM(D8:E8)</f>
        <v>902173</v>
      </c>
      <c r="G8" s="642">
        <f>+'7 Önk'!G6+'9 VGIG'!G6+'12 Ovi'!G6+'10 Járób'!G6+'11 Szoci'!G6+'13 Művh'!G6+'14 Könyvt'!G6+'8 Ph'!G6</f>
        <v>629102</v>
      </c>
      <c r="H8" s="229">
        <f>+'7 Önk'!H6+'9 VGIG'!H6+'12 Ovi'!H6+'10 Járób'!H6+'11 Szoci'!H6+'13 Művh'!H6+'14 Könyvt'!H6+'8 Ph'!H6</f>
        <v>288564</v>
      </c>
      <c r="I8" s="245">
        <f aca="true" t="shared" si="1" ref="I8:I19">SUM(G8:H8)</f>
        <v>917666</v>
      </c>
      <c r="J8" s="16"/>
    </row>
    <row r="9" spans="1:10" s="1" customFormat="1" ht="31.5">
      <c r="A9" s="265"/>
      <c r="B9" s="491" t="s">
        <v>255</v>
      </c>
      <c r="C9" s="657" t="s">
        <v>209</v>
      </c>
      <c r="D9" s="569">
        <f>+'7 Önk'!D7+'9 VGIG'!D7+'12 Ovi'!D7+'10 Járób'!D7+'11 Szoci'!D7+'13 Művh'!D7+'14 Könyvt'!D7+'8 Ph'!D7</f>
        <v>163031</v>
      </c>
      <c r="E9" s="229">
        <f>+'7 Önk'!E7+'9 VGIG'!E7+'12 Ovi'!E7+'10 Járób'!E7+'11 Szoci'!E7+'13 Művh'!E7+'14 Könyvt'!E7+'8 Ph'!E7</f>
        <v>60143</v>
      </c>
      <c r="F9" s="245">
        <f t="shared" si="0"/>
        <v>223174</v>
      </c>
      <c r="G9" s="642">
        <f>+'7 Önk'!G7+'9 VGIG'!G7+'12 Ovi'!G7+'10 Járób'!G7+'11 Szoci'!G7+'13 Művh'!G7+'14 Könyvt'!G7+'8 Ph'!G7</f>
        <v>166336</v>
      </c>
      <c r="H9" s="229">
        <f>+'7 Önk'!H7+'9 VGIG'!H7+'12 Ovi'!H7+'10 Járób'!H7+'11 Szoci'!H7+'13 Művh'!H7+'14 Könyvt'!H7+'8 Ph'!H7</f>
        <v>60946</v>
      </c>
      <c r="I9" s="245">
        <f t="shared" si="1"/>
        <v>227282</v>
      </c>
      <c r="J9" s="16"/>
    </row>
    <row r="10" spans="1:10" s="1" customFormat="1" ht="15.75">
      <c r="A10" s="265"/>
      <c r="B10" s="491" t="s">
        <v>33</v>
      </c>
      <c r="C10" s="657" t="s">
        <v>210</v>
      </c>
      <c r="D10" s="569">
        <f>+'7 Önk'!D8+'9 VGIG'!D8+'12 Ovi'!D8+'10 Járób'!D8+'11 Szoci'!D8+'13 Művh'!D8+'14 Könyvt'!D8+'8 Ph'!D8</f>
        <v>665464</v>
      </c>
      <c r="E10" s="229">
        <f>+'7 Önk'!E8+'9 VGIG'!E8+'12 Ovi'!E8+'10 Járób'!E8+'11 Szoci'!E8+'13 Művh'!E8+'14 Könyvt'!E8+'8 Ph'!E8</f>
        <v>333359</v>
      </c>
      <c r="F10" s="245">
        <f t="shared" si="0"/>
        <v>998823</v>
      </c>
      <c r="G10" s="642">
        <f>+'7 Önk'!G8+'9 VGIG'!G8+'12 Ovi'!G8+'10 Járób'!G8+'11 Szoci'!G8+'13 Művh'!G8+'14 Könyvt'!G8+'8 Ph'!G8</f>
        <v>713673</v>
      </c>
      <c r="H10" s="229">
        <f>+'7 Önk'!H8+'9 VGIG'!H8+'12 Ovi'!H8+'10 Járób'!H8+'11 Szoci'!H8+'13 Művh'!H8+'14 Könyvt'!H8+'8 Ph'!H8</f>
        <v>346401</v>
      </c>
      <c r="I10" s="245">
        <f t="shared" si="1"/>
        <v>1060074</v>
      </c>
      <c r="J10" s="16"/>
    </row>
    <row r="11" spans="1:10" s="1" customFormat="1" ht="15.75">
      <c r="A11" s="265"/>
      <c r="B11" s="491" t="s">
        <v>49</v>
      </c>
      <c r="C11" s="657" t="s">
        <v>211</v>
      </c>
      <c r="D11" s="569">
        <f>+'7 Önk'!D9+'9 VGIG'!D9+'12 Ovi'!D9+'10 Járób'!D9+'11 Szoci'!D9+'13 Művh'!D9+'14 Könyvt'!D9+'8 Ph'!D9</f>
        <v>0</v>
      </c>
      <c r="E11" s="229">
        <f>+'7 Önk'!E9+'9 VGIG'!E9+'12 Ovi'!E9+'10 Járób'!E9+'11 Szoci'!E9+'13 Művh'!E9+'14 Könyvt'!E9+'8 Ph'!E9</f>
        <v>0</v>
      </c>
      <c r="F11" s="245">
        <f t="shared" si="0"/>
        <v>0</v>
      </c>
      <c r="G11" s="642">
        <f>+'7 Önk'!G9+'9 VGIG'!G9+'12 Ovi'!G9+'10 Járób'!G9+'11 Szoci'!G9+'13 Művh'!G9+'14 Könyvt'!G9+'8 Ph'!G9</f>
        <v>0</v>
      </c>
      <c r="H11" s="229">
        <f>+'7 Önk'!H9+'9 VGIG'!H9+'12 Ovi'!H9+'10 Járób'!H9+'11 Szoci'!H9+'13 Művh'!H9+'14 Könyvt'!H9+'8 Ph'!H9</f>
        <v>0</v>
      </c>
      <c r="I11" s="245">
        <f t="shared" si="1"/>
        <v>0</v>
      </c>
      <c r="J11" s="16"/>
    </row>
    <row r="12" spans="1:10" s="1" customFormat="1" ht="15.75">
      <c r="A12" s="265"/>
      <c r="B12" s="491" t="s">
        <v>130</v>
      </c>
      <c r="C12" s="657" t="s">
        <v>212</v>
      </c>
      <c r="D12" s="570">
        <f>SUM(D13:D16)</f>
        <v>474774</v>
      </c>
      <c r="E12" s="231">
        <f>SUM(E13:E16)</f>
        <v>57376</v>
      </c>
      <c r="F12" s="245">
        <f t="shared" si="0"/>
        <v>532150</v>
      </c>
      <c r="G12" s="643">
        <f>SUM(G13:G16)</f>
        <v>475774</v>
      </c>
      <c r="H12" s="231">
        <f>SUM(H13:H16)</f>
        <v>70407</v>
      </c>
      <c r="I12" s="245">
        <f t="shared" si="1"/>
        <v>546181</v>
      </c>
      <c r="J12" s="16"/>
    </row>
    <row r="13" spans="1:10" s="1" customFormat="1" ht="31.5">
      <c r="A13" s="265"/>
      <c r="B13" s="652" t="s">
        <v>131</v>
      </c>
      <c r="C13" s="658" t="s">
        <v>385</v>
      </c>
      <c r="D13" s="569">
        <f>+'7 Önk'!D11+'9 VGIG'!D11+'12 Ovi'!D11+'10 Járób'!D11+'11 Szoci'!D11+'13 Művh'!D11+'14 Könyvt'!D11+'8 Ph'!D11</f>
        <v>277381</v>
      </c>
      <c r="E13" s="229">
        <f>+'7 Önk'!E11+'9 VGIG'!E11+'12 Ovi'!E11+'10 Járób'!E11+'11 Szoci'!E11+'13 Művh'!E11+'14 Könyvt'!E11+'8 Ph'!E11</f>
        <v>0</v>
      </c>
      <c r="F13" s="245">
        <f t="shared" si="0"/>
        <v>277381</v>
      </c>
      <c r="G13" s="642">
        <f>+'7 Önk'!G11+'9 VGIG'!G11+'12 Ovi'!G11+'10 Járób'!G11+'11 Szoci'!G11+'13 Művh'!G11+'14 Könyvt'!G11+'8 Ph'!G11</f>
        <v>277381</v>
      </c>
      <c r="H13" s="229">
        <f>+'7 Önk'!H11+'9 VGIG'!H11+'12 Ovi'!H11+'10 Járób'!H11+'11 Szoci'!H11+'13 Művh'!H11+'14 Könyvt'!H11+'8 Ph'!H11</f>
        <v>0</v>
      </c>
      <c r="I13" s="245">
        <f t="shared" si="1"/>
        <v>277381</v>
      </c>
      <c r="J13" s="16"/>
    </row>
    <row r="14" spans="1:10" s="1" customFormat="1" ht="15.75">
      <c r="A14" s="265"/>
      <c r="B14" s="652" t="s">
        <v>139</v>
      </c>
      <c r="C14" s="658" t="s">
        <v>386</v>
      </c>
      <c r="D14" s="569">
        <f>+'7 Önk'!D12+'9 VGIG'!D12+'12 Ovi'!D12+'10 Járób'!D12+'11 Szoci'!D12+'13 Művh'!D12+'14 Könyvt'!D12+'8 Ph'!D12</f>
        <v>197393</v>
      </c>
      <c r="E14" s="229">
        <f>+'7 Önk'!E12+'9 VGIG'!E12+'12 Ovi'!E12+'10 Járób'!E12+'11 Szoci'!E12+'13 Művh'!E12+'14 Könyvt'!E12+'8 Ph'!E12</f>
        <v>57376</v>
      </c>
      <c r="F14" s="245">
        <f t="shared" si="0"/>
        <v>254769</v>
      </c>
      <c r="G14" s="642">
        <f>+'7 Önk'!G12+'9 VGIG'!G12+'12 Ovi'!G12+'10 Járób'!G12+'11 Szoci'!G12+'13 Művh'!G12+'14 Könyvt'!G12+'8 Ph'!G12</f>
        <v>198393</v>
      </c>
      <c r="H14" s="229">
        <f>+'7 Önk'!H12+'9 VGIG'!H12+'12 Ovi'!H12+'10 Járób'!H12+'11 Szoci'!H12+'13 Művh'!H12+'14 Könyvt'!H12+'8 Ph'!H12</f>
        <v>37354</v>
      </c>
      <c r="I14" s="245">
        <f t="shared" si="1"/>
        <v>235747</v>
      </c>
      <c r="J14" s="16"/>
    </row>
    <row r="15" spans="1:10" s="1" customFormat="1" ht="31.5">
      <c r="A15" s="265"/>
      <c r="B15" s="652" t="s">
        <v>144</v>
      </c>
      <c r="C15" s="658" t="s">
        <v>387</v>
      </c>
      <c r="D15" s="569">
        <f>+'7 Önk'!D13+'9 VGIG'!D13+'12 Ovi'!D13+'10 Járób'!D13+'11 Szoci'!D13+'13 Művh'!D13+'14 Könyvt'!D13+'8 Ph'!D13</f>
        <v>0</v>
      </c>
      <c r="E15" s="229">
        <f>+'7 Önk'!E13+'9 VGIG'!E13+'12 Ovi'!E13+'10 Járób'!E13+'11 Szoci'!E13+'13 Művh'!E13+'14 Könyvt'!E13+'8 Ph'!E13</f>
        <v>0</v>
      </c>
      <c r="F15" s="245">
        <f t="shared" si="0"/>
        <v>0</v>
      </c>
      <c r="G15" s="642">
        <f>+'7 Önk'!G13+'9 VGIG'!G13+'12 Ovi'!G13+'10 Járób'!G13+'11 Szoci'!G13+'13 Művh'!G13+'14 Könyvt'!G13+'8 Ph'!G13</f>
        <v>0</v>
      </c>
      <c r="H15" s="229">
        <f>+'7 Önk'!H13+'9 VGIG'!H13+'12 Ovi'!H13+'10 Járób'!H13+'11 Szoci'!H13+'13 Művh'!H13+'14 Könyvt'!H13+'8 Ph'!H13</f>
        <v>12626</v>
      </c>
      <c r="I15" s="245">
        <f t="shared" si="1"/>
        <v>12626</v>
      </c>
      <c r="J15" s="16"/>
    </row>
    <row r="16" spans="1:10" s="1" customFormat="1" ht="31.5">
      <c r="A16" s="265"/>
      <c r="B16" s="652" t="s">
        <v>149</v>
      </c>
      <c r="C16" s="658" t="s">
        <v>388</v>
      </c>
      <c r="D16" s="569">
        <f>+'7 Önk'!D14+'9 VGIG'!D14+'12 Ovi'!D14+'10 Járób'!D14+'11 Szoci'!D14+'13 Művh'!D14+'14 Könyvt'!D14+'8 Ph'!D14</f>
        <v>0</v>
      </c>
      <c r="E16" s="229">
        <f>+'7 Önk'!E14+'9 VGIG'!E14+'12 Ovi'!E14+'10 Járób'!E14+'11 Szoci'!E14+'13 Művh'!E14+'14 Könyvt'!E14+'8 Ph'!E14</f>
        <v>0</v>
      </c>
      <c r="F16" s="245">
        <f t="shared" si="0"/>
        <v>0</v>
      </c>
      <c r="G16" s="642">
        <f>+'7 Önk'!G14+'9 VGIG'!G14+'12 Ovi'!G14+'10 Járób'!G14+'11 Szoci'!G14+'13 Művh'!G14+'14 Könyvt'!G14+'8 Ph'!G14</f>
        <v>0</v>
      </c>
      <c r="H16" s="229">
        <f>+'7 Önk'!H14+'9 VGIG'!H14+'12 Ovi'!H14+'10 Járób'!H14+'11 Szoci'!H14+'13 Művh'!H14+'14 Könyvt'!H14+'8 Ph'!H14</f>
        <v>20427</v>
      </c>
      <c r="I16" s="245">
        <f t="shared" si="1"/>
        <v>20427</v>
      </c>
      <c r="J16" s="16"/>
    </row>
    <row r="17" spans="1:10" s="114" customFormat="1" ht="31.5">
      <c r="A17" s="266"/>
      <c r="B17" s="653" t="s">
        <v>181</v>
      </c>
      <c r="C17" s="659" t="s">
        <v>213</v>
      </c>
      <c r="D17" s="571"/>
      <c r="E17" s="232"/>
      <c r="F17" s="246">
        <f t="shared" si="0"/>
        <v>0</v>
      </c>
      <c r="G17" s="644"/>
      <c r="H17" s="232"/>
      <c r="I17" s="246">
        <f t="shared" si="1"/>
        <v>0</v>
      </c>
      <c r="J17" s="16"/>
    </row>
    <row r="18" spans="1:10" s="1" customFormat="1" ht="15.75">
      <c r="A18" s="265"/>
      <c r="B18" s="491" t="s">
        <v>271</v>
      </c>
      <c r="C18" s="660" t="s">
        <v>214</v>
      </c>
      <c r="D18" s="569">
        <f>+'6 Tart'!D10</f>
        <v>30000</v>
      </c>
      <c r="E18" s="229"/>
      <c r="F18" s="245">
        <f t="shared" si="0"/>
        <v>30000</v>
      </c>
      <c r="G18" s="642">
        <f>+'6 Tart'!E10</f>
        <v>25348</v>
      </c>
      <c r="H18" s="229"/>
      <c r="I18" s="245">
        <f t="shared" si="1"/>
        <v>25348</v>
      </c>
      <c r="J18" s="16"/>
    </row>
    <row r="19" spans="1:10" s="1" customFormat="1" ht="15.75">
      <c r="A19" s="265"/>
      <c r="B19" s="491" t="s">
        <v>272</v>
      </c>
      <c r="C19" s="660" t="s">
        <v>159</v>
      </c>
      <c r="D19" s="569">
        <f>+'6 Tart'!D16</f>
        <v>49088</v>
      </c>
      <c r="E19" s="229"/>
      <c r="F19" s="245">
        <f t="shared" si="0"/>
        <v>49088</v>
      </c>
      <c r="G19" s="642">
        <f>+'6 Tart'!E16</f>
        <v>18008</v>
      </c>
      <c r="H19" s="229"/>
      <c r="I19" s="245">
        <f t="shared" si="1"/>
        <v>18008</v>
      </c>
      <c r="J19" s="16"/>
    </row>
    <row r="20" spans="1:10" s="1" customFormat="1" ht="15.75">
      <c r="A20" s="265"/>
      <c r="B20" s="491" t="s">
        <v>273</v>
      </c>
      <c r="C20" s="661" t="s">
        <v>236</v>
      </c>
      <c r="D20" s="572">
        <f aca="true" t="shared" si="2" ref="D20:I20">SUM(D8,D9,D10,D11,D12,D17,D18,D19)</f>
        <v>1999245</v>
      </c>
      <c r="E20" s="228">
        <f t="shared" si="2"/>
        <v>736163</v>
      </c>
      <c r="F20" s="247">
        <f t="shared" si="2"/>
        <v>2735408</v>
      </c>
      <c r="G20" s="645">
        <f t="shared" si="2"/>
        <v>2028241</v>
      </c>
      <c r="H20" s="228">
        <f t="shared" si="2"/>
        <v>766318</v>
      </c>
      <c r="I20" s="247">
        <f t="shared" si="2"/>
        <v>2794559</v>
      </c>
      <c r="J20" s="16"/>
    </row>
    <row r="21" spans="1:10" s="1" customFormat="1" ht="15.75">
      <c r="A21" s="265"/>
      <c r="B21" s="491" t="s">
        <v>274</v>
      </c>
      <c r="C21" s="657" t="s">
        <v>215</v>
      </c>
      <c r="D21" s="569">
        <f>+'7 Önk'!D19+'9 VGIG'!D19+'12 Ovi'!D19+'10 Járób'!D19+'11 Szoci'!D19+'13 Művh'!D19+'14 Könyvt'!D19+'8 Ph'!D19+'5 Fel Kiad'!D10</f>
        <v>46819</v>
      </c>
      <c r="E21" s="229">
        <f>+'7 Önk'!E19+'9 VGIG'!E19+'12 Ovi'!E19+'10 Járób'!E19+'11 Szoci'!E19+'13 Művh'!E19+'14 Könyvt'!E19+'8 Ph'!E19+'5 Fel Kiad'!E10</f>
        <v>11500</v>
      </c>
      <c r="F21" s="245">
        <f aca="true" t="shared" si="3" ref="F21:F33">SUM(D21:E21)</f>
        <v>58319</v>
      </c>
      <c r="G21" s="642">
        <f>+'7 Önk'!G19+'9 VGIG'!G19+'12 Ovi'!G19+'10 Járób'!G19+'11 Szoci'!G19+'13 Művh'!G19+'14 Könyvt'!G19+'8 Ph'!G19+'5 Fel Kiad'!F10</f>
        <v>46819</v>
      </c>
      <c r="H21" s="229">
        <f>+'7 Önk'!H19+'9 VGIG'!H19+'12 Ovi'!H19+'10 Járób'!H19+'11 Szoci'!H19+'13 Művh'!H19+'14 Könyvt'!H19+'8 Ph'!H19+'5 Fel Kiad'!G10</f>
        <v>32421</v>
      </c>
      <c r="I21" s="245">
        <f aca="true" t="shared" si="4" ref="I21:I33">SUM(G21:H21)</f>
        <v>79240</v>
      </c>
      <c r="J21" s="16"/>
    </row>
    <row r="22" spans="1:10" s="1" customFormat="1" ht="15.75">
      <c r="A22" s="265"/>
      <c r="B22" s="491" t="s">
        <v>170</v>
      </c>
      <c r="C22" s="657" t="s">
        <v>119</v>
      </c>
      <c r="D22" s="569">
        <f>+'7 Önk'!D20+'9 VGIG'!D20+'12 Ovi'!D20+'10 Járób'!D20+'11 Szoci'!D20+'13 Művh'!D20+'14 Könyvt'!D20+'8 Ph'!D20+'5 Fel Kiad'!D21</f>
        <v>389879</v>
      </c>
      <c r="E22" s="229">
        <f>+'7 Önk'!E20+'9 VGIG'!E20+'12 Ovi'!E20+'10 Járób'!E20+'11 Szoci'!E20+'13 Művh'!E20+'14 Könyvt'!E20+'8 Ph'!E20+'5 Fel Kiad'!E21</f>
        <v>40033</v>
      </c>
      <c r="F22" s="245">
        <f t="shared" si="3"/>
        <v>429912</v>
      </c>
      <c r="G22" s="642">
        <f>+'7 Önk'!G20+'9 VGIG'!G20+'12 Ovi'!G20+'10 Járób'!G20+'11 Szoci'!G20+'13 Művh'!G20+'14 Könyvt'!G20+'8 Ph'!G20+'5 Fel Kiad'!F21</f>
        <v>423212</v>
      </c>
      <c r="H22" s="569">
        <f>+'7 Önk'!H20+'9 VGIG'!H20+'12 Ovi'!H20+'10 Járób'!H20+'11 Szoci'!H20+'13 Művh'!H20+'14 Könyvt'!H20+'8 Ph'!H20+'5 Fel Kiad'!G21</f>
        <v>40033</v>
      </c>
      <c r="I22" s="245">
        <f t="shared" si="4"/>
        <v>463245</v>
      </c>
      <c r="J22" s="16"/>
    </row>
    <row r="23" spans="1:10" s="1" customFormat="1" ht="15.75">
      <c r="A23" s="265"/>
      <c r="B23" s="491" t="s">
        <v>275</v>
      </c>
      <c r="C23" s="657" t="s">
        <v>216</v>
      </c>
      <c r="D23" s="570">
        <f>SUM(D24:D27)</f>
        <v>37261</v>
      </c>
      <c r="E23" s="231">
        <f>SUM(E24:E27)</f>
        <v>5197</v>
      </c>
      <c r="F23" s="245">
        <f t="shared" si="3"/>
        <v>42458</v>
      </c>
      <c r="G23" s="643">
        <f>SUM(G24:G27)</f>
        <v>37261</v>
      </c>
      <c r="H23" s="231">
        <f>SUM(H24:H27)</f>
        <v>5197</v>
      </c>
      <c r="I23" s="245">
        <f t="shared" si="4"/>
        <v>42458</v>
      </c>
      <c r="J23" s="16"/>
    </row>
    <row r="24" spans="1:10" s="1" customFormat="1" ht="61.5" customHeight="1">
      <c r="A24" s="265"/>
      <c r="B24" s="654" t="s">
        <v>395</v>
      </c>
      <c r="C24" s="658" t="s">
        <v>389</v>
      </c>
      <c r="D24" s="569">
        <f>+'7 Önk'!D22+'9 VGIG'!D22+'12 Ovi'!D22+'10 Járób'!D22+'11 Szoci'!D22+'13 Művh'!D22+'14 Könyvt'!D22+'8 Ph'!D22</f>
        <v>0</v>
      </c>
      <c r="E24" s="229">
        <f>+'7 Önk'!E22+'9 VGIG'!E22+'12 Ovi'!E22+'10 Járób'!E22+'11 Szoci'!E22+'13 Művh'!E22+'14 Könyvt'!E22+'8 Ph'!E22</f>
        <v>5197</v>
      </c>
      <c r="F24" s="245">
        <f t="shared" si="3"/>
        <v>5197</v>
      </c>
      <c r="G24" s="642">
        <f>+'7 Önk'!G22+'9 VGIG'!G22+'12 Ovi'!G22+'10 Járób'!G22+'11 Szoci'!G22+'13 Művh'!G22+'14 Könyvt'!G22+'8 Ph'!G22</f>
        <v>0</v>
      </c>
      <c r="H24" s="229">
        <f>+'7 Önk'!H22+'9 VGIG'!H22+'12 Ovi'!H22+'10 Járób'!H22+'11 Szoci'!H22+'13 Művh'!H22+'14 Könyvt'!H22+'8 Ph'!H22</f>
        <v>5197</v>
      </c>
      <c r="I24" s="245">
        <f t="shared" si="4"/>
        <v>5197</v>
      </c>
      <c r="J24" s="16"/>
    </row>
    <row r="25" spans="1:10" s="1" customFormat="1" ht="15.75">
      <c r="A25" s="265"/>
      <c r="B25" s="654" t="s">
        <v>396</v>
      </c>
      <c r="C25" s="662" t="s">
        <v>390</v>
      </c>
      <c r="D25" s="569">
        <f>+'7 Önk'!D23+'9 VGIG'!D23+'12 Ovi'!D23+'10 Járób'!D23+'11 Szoci'!D23+'13 Művh'!D23+'14 Könyvt'!D23+'8 Ph'!D23+'5 Fel Kiad'!D37</f>
        <v>37261</v>
      </c>
      <c r="E25" s="229">
        <f>+'7 Önk'!E23+'9 VGIG'!E23+'12 Ovi'!E23+'10 Járób'!E23+'11 Szoci'!E23+'13 Művh'!E23+'14 Könyvt'!E23+'8 Ph'!E23+'5 Fel Kiad'!E37</f>
        <v>0</v>
      </c>
      <c r="F25" s="245">
        <f t="shared" si="3"/>
        <v>37261</v>
      </c>
      <c r="G25" s="642">
        <f>+'7 Önk'!G23+'9 VGIG'!G23+'12 Ovi'!G23+'10 Járób'!G23+'11 Szoci'!G23+'13 Művh'!G23+'14 Könyvt'!G23+'8 Ph'!G23+'5 Fel Kiad'!F37</f>
        <v>37261</v>
      </c>
      <c r="H25" s="229">
        <f>+'7 Önk'!H23+'9 VGIG'!H23+'12 Ovi'!H23+'10 Járób'!H23+'11 Szoci'!H23+'13 Művh'!H23+'14 Könyvt'!H23+'8 Ph'!H23+'5 Fel Kiad'!H37</f>
        <v>0</v>
      </c>
      <c r="I25" s="245">
        <f t="shared" si="4"/>
        <v>37261</v>
      </c>
      <c r="J25" s="16"/>
    </row>
    <row r="26" spans="1:10" s="1" customFormat="1" ht="31.5">
      <c r="A26" s="265"/>
      <c r="B26" s="654" t="s">
        <v>397</v>
      </c>
      <c r="C26" s="658" t="s">
        <v>391</v>
      </c>
      <c r="D26" s="569">
        <f>+'7 Önk'!D24+'9 VGIG'!D24+'12 Ovi'!D24+'10 Járób'!D24+'11 Szoci'!D24+'13 Művh'!D24+'14 Könyvt'!D24+'8 Ph'!D24</f>
        <v>0</v>
      </c>
      <c r="E26" s="229">
        <f>+'7 Önk'!E24+'9 VGIG'!E24+'12 Ovi'!E24+'10 Járób'!E24+'11 Szoci'!E24+'13 Művh'!E24+'14 Könyvt'!E24+'8 Ph'!E24</f>
        <v>0</v>
      </c>
      <c r="F26" s="245">
        <f t="shared" si="3"/>
        <v>0</v>
      </c>
      <c r="G26" s="642">
        <f>+'7 Önk'!G24+'9 VGIG'!G24+'12 Ovi'!G24+'10 Járób'!G24+'11 Szoci'!G24+'13 Művh'!G24+'14 Könyvt'!G24+'8 Ph'!G24</f>
        <v>0</v>
      </c>
      <c r="H26" s="229">
        <f>+'7 Önk'!H24+'9 VGIG'!H24+'12 Ovi'!H24+'10 Járób'!H24+'11 Szoci'!H24+'13 Művh'!H24+'14 Könyvt'!H24+'8 Ph'!H24</f>
        <v>0</v>
      </c>
      <c r="I26" s="245">
        <f t="shared" si="4"/>
        <v>0</v>
      </c>
      <c r="J26" s="16"/>
    </row>
    <row r="27" spans="1:10" s="1" customFormat="1" ht="31.5">
      <c r="A27" s="265"/>
      <c r="B27" s="654" t="s">
        <v>398</v>
      </c>
      <c r="C27" s="658" t="s">
        <v>392</v>
      </c>
      <c r="D27" s="569">
        <f>+'7 Önk'!D25+'9 VGIG'!D25+'12 Ovi'!D25+'10 Járób'!D25+'11 Szoci'!D25+'13 Művh'!D25+'14 Könyvt'!D25+'8 Ph'!D25</f>
        <v>0</v>
      </c>
      <c r="E27" s="229">
        <f>+'7 Önk'!E25+'9 VGIG'!E25+'12 Ovi'!E25+'10 Járób'!E25+'11 Szoci'!E25+'13 Művh'!E25+'14 Könyvt'!E25+'8 Ph'!E25</f>
        <v>0</v>
      </c>
      <c r="F27" s="245">
        <f t="shared" si="3"/>
        <v>0</v>
      </c>
      <c r="G27" s="642">
        <f>+'7 Önk'!G25+'9 VGIG'!G25+'12 Ovi'!G25+'10 Járób'!G25+'11 Szoci'!G25+'13 Művh'!G25+'14 Könyvt'!G25+'8 Ph'!G25</f>
        <v>0</v>
      </c>
      <c r="H27" s="229">
        <f>+'7 Önk'!H25+'9 VGIG'!H25+'12 Ovi'!H25+'10 Járób'!H25+'11 Szoci'!H25+'13 Művh'!H25+'14 Könyvt'!H25+'8 Ph'!H25</f>
        <v>0</v>
      </c>
      <c r="I27" s="245">
        <f t="shared" si="4"/>
        <v>0</v>
      </c>
      <c r="J27" s="16"/>
    </row>
    <row r="28" spans="1:10" s="1" customFormat="1" ht="15.75">
      <c r="A28" s="265"/>
      <c r="B28" s="491" t="s">
        <v>276</v>
      </c>
      <c r="C28" s="660" t="s">
        <v>217</v>
      </c>
      <c r="D28" s="569">
        <f>+'6 Tart'!D13</f>
        <v>0</v>
      </c>
      <c r="E28" s="229"/>
      <c r="F28" s="245">
        <f t="shared" si="3"/>
        <v>0</v>
      </c>
      <c r="G28" s="642">
        <f>+'6 Tart'!E13</f>
        <v>0</v>
      </c>
      <c r="H28" s="229"/>
      <c r="I28" s="245">
        <f t="shared" si="4"/>
        <v>0</v>
      </c>
      <c r="J28" s="16"/>
    </row>
    <row r="29" spans="1:10" s="1" customFormat="1" ht="15.75">
      <c r="A29" s="265"/>
      <c r="B29" s="491" t="s">
        <v>277</v>
      </c>
      <c r="C29" s="660" t="s">
        <v>218</v>
      </c>
      <c r="D29" s="569">
        <f>+'6 Tart'!D28</f>
        <v>0</v>
      </c>
      <c r="E29" s="229"/>
      <c r="F29" s="245">
        <f t="shared" si="3"/>
        <v>0</v>
      </c>
      <c r="G29" s="642">
        <f>+'6 Tart'!E28</f>
        <v>0</v>
      </c>
      <c r="H29" s="229"/>
      <c r="I29" s="245">
        <f t="shared" si="4"/>
        <v>0</v>
      </c>
      <c r="J29" s="16"/>
    </row>
    <row r="30" spans="1:10" s="114" customFormat="1" ht="31.5">
      <c r="A30" s="266"/>
      <c r="B30" s="653" t="s">
        <v>279</v>
      </c>
      <c r="C30" s="663" t="s">
        <v>219</v>
      </c>
      <c r="D30" s="571"/>
      <c r="E30" s="232"/>
      <c r="F30" s="246">
        <f t="shared" si="3"/>
        <v>0</v>
      </c>
      <c r="G30" s="644"/>
      <c r="H30" s="232"/>
      <c r="I30" s="246">
        <f t="shared" si="4"/>
        <v>0</v>
      </c>
      <c r="J30" s="16"/>
    </row>
    <row r="31" spans="1:10" s="1" customFormat="1" ht="15.75">
      <c r="A31" s="265"/>
      <c r="B31" s="653" t="s">
        <v>280</v>
      </c>
      <c r="C31" s="664" t="s">
        <v>194</v>
      </c>
      <c r="D31" s="569">
        <f>+'7 Önk'!D29+'9 VGIG'!D29+'12 Ovi'!D29+'10 Járób'!D29+'11 Szoci'!D29+'13 Művh'!D29+'14 Könyvt'!D29+'8 Ph'!D29</f>
        <v>0</v>
      </c>
      <c r="E31" s="229">
        <f>+'7 Önk'!E29+'9 VGIG'!E29+'12 Ovi'!E29+'10 Járób'!E29+'11 Szoci'!E29+'13 Művh'!E29+'14 Könyvt'!E29+'8 Ph'!E29</f>
        <v>0</v>
      </c>
      <c r="F31" s="245">
        <f t="shared" si="3"/>
        <v>0</v>
      </c>
      <c r="G31" s="642">
        <f>+'7 Önk'!G29+'9 VGIG'!G29+'12 Ovi'!G29+'10 Járób'!G29+'11 Szoci'!G29+'13 Művh'!G29+'14 Könyvt'!G29+'8 Ph'!G29</f>
        <v>0</v>
      </c>
      <c r="H31" s="229">
        <f>+'7 Önk'!H29+'9 VGIG'!H29+'12 Ovi'!H29+'10 Járób'!H29+'11 Szoci'!H29+'13 Művh'!H29+'14 Könyvt'!H29+'8 Ph'!H29</f>
        <v>0</v>
      </c>
      <c r="I31" s="245">
        <f t="shared" si="4"/>
        <v>0</v>
      </c>
      <c r="J31" s="16"/>
    </row>
    <row r="32" spans="1:10" s="1" customFormat="1" ht="15.75">
      <c r="A32" s="265"/>
      <c r="B32" s="653" t="s">
        <v>281</v>
      </c>
      <c r="C32" s="664" t="s">
        <v>195</v>
      </c>
      <c r="D32" s="569">
        <f>+'7 Önk'!D30+'9 VGIG'!D30+'12 Ovi'!D30+'10 Járób'!D30+'11 Szoci'!D30+'13 Művh'!D30+'14 Könyvt'!D30+'8 Ph'!D30</f>
        <v>0</v>
      </c>
      <c r="E32" s="229">
        <f>+'7 Önk'!E30+'9 VGIG'!E30+'12 Ovi'!E30+'10 Járób'!E30+'11 Szoci'!E30+'13 Művh'!E30+'14 Könyvt'!E30+'8 Ph'!E30</f>
        <v>0</v>
      </c>
      <c r="F32" s="245">
        <f t="shared" si="3"/>
        <v>0</v>
      </c>
      <c r="G32" s="642">
        <f>+'7 Önk'!G30+'9 VGIG'!G30+'12 Ovi'!G30+'10 Járób'!G30+'11 Szoci'!G30+'13 Művh'!G30+'14 Könyvt'!G30+'8 Ph'!G30</f>
        <v>0</v>
      </c>
      <c r="H32" s="229">
        <f>+'7 Önk'!H30+'9 VGIG'!H30+'12 Ovi'!H30+'10 Járób'!H30+'11 Szoci'!H30+'13 Művh'!H30+'14 Könyvt'!H30+'8 Ph'!H30</f>
        <v>0</v>
      </c>
      <c r="I32" s="245">
        <f t="shared" si="4"/>
        <v>0</v>
      </c>
      <c r="J32" s="16"/>
    </row>
    <row r="33" spans="1:10" s="1" customFormat="1" ht="15.75">
      <c r="A33" s="265"/>
      <c r="B33" s="653" t="s">
        <v>282</v>
      </c>
      <c r="C33" s="664" t="s">
        <v>196</v>
      </c>
      <c r="D33" s="569">
        <f>+'7 Önk'!D31+'9 VGIG'!D31+'12 Ovi'!D31+'10 Járób'!D31+'11 Szoci'!D31+'13 Művh'!D31+'14 Könyvt'!D31+'8 Ph'!D31</f>
        <v>0</v>
      </c>
      <c r="E33" s="229">
        <f>+'7 Önk'!E31+'9 VGIG'!E31+'12 Ovi'!E31+'10 Járób'!E31+'11 Szoci'!E31+'13 Művh'!E31+'14 Könyvt'!E31+'8 Ph'!E31</f>
        <v>0</v>
      </c>
      <c r="F33" s="245">
        <f t="shared" si="3"/>
        <v>0</v>
      </c>
      <c r="G33" s="642">
        <f>+'7 Önk'!G31+'9 VGIG'!G31+'12 Ovi'!G31+'10 Járób'!G31+'11 Szoci'!G31+'13 Művh'!G31+'14 Könyvt'!G31+'8 Ph'!G31</f>
        <v>0</v>
      </c>
      <c r="H33" s="229">
        <f>+'7 Önk'!H31+'9 VGIG'!H31+'12 Ovi'!H31+'10 Járób'!H31+'11 Szoci'!H31+'13 Művh'!H31+'14 Könyvt'!H31+'8 Ph'!H31</f>
        <v>0</v>
      </c>
      <c r="I33" s="245">
        <f t="shared" si="4"/>
        <v>0</v>
      </c>
      <c r="J33" s="16"/>
    </row>
    <row r="34" spans="1:10" s="1" customFormat="1" ht="15.75">
      <c r="A34" s="265"/>
      <c r="B34" s="653" t="s">
        <v>283</v>
      </c>
      <c r="C34" s="661" t="s">
        <v>237</v>
      </c>
      <c r="D34" s="572">
        <f aca="true" t="shared" si="5" ref="D34:I34">SUM(D21,D22,D23,D28,D29,D30,D31,D32,D33)</f>
        <v>473959</v>
      </c>
      <c r="E34" s="228">
        <f t="shared" si="5"/>
        <v>56730</v>
      </c>
      <c r="F34" s="247">
        <f t="shared" si="5"/>
        <v>530689</v>
      </c>
      <c r="G34" s="645">
        <f t="shared" si="5"/>
        <v>507292</v>
      </c>
      <c r="H34" s="228">
        <f t="shared" si="5"/>
        <v>77651</v>
      </c>
      <c r="I34" s="247">
        <f t="shared" si="5"/>
        <v>584943</v>
      </c>
      <c r="J34" s="16"/>
    </row>
    <row r="35" spans="1:10" s="1" customFormat="1" ht="15.75">
      <c r="A35" s="265"/>
      <c r="B35" s="653" t="s">
        <v>284</v>
      </c>
      <c r="C35" s="665" t="s">
        <v>377</v>
      </c>
      <c r="D35" s="573">
        <f aca="true" t="shared" si="6" ref="D35:I35">SUM(D20,D34)</f>
        <v>2473204</v>
      </c>
      <c r="E35" s="99">
        <f t="shared" si="6"/>
        <v>792893</v>
      </c>
      <c r="F35" s="248">
        <f t="shared" si="6"/>
        <v>3266097</v>
      </c>
      <c r="G35" s="646">
        <f t="shared" si="6"/>
        <v>2535533</v>
      </c>
      <c r="H35" s="99">
        <f t="shared" si="6"/>
        <v>843969</v>
      </c>
      <c r="I35" s="248">
        <f t="shared" si="6"/>
        <v>3379502</v>
      </c>
      <c r="J35" s="16"/>
    </row>
    <row r="36" spans="1:10" s="1" customFormat="1" ht="15.75">
      <c r="A36" s="265"/>
      <c r="B36" s="653" t="s">
        <v>285</v>
      </c>
      <c r="C36" s="666" t="s">
        <v>182</v>
      </c>
      <c r="D36" s="574">
        <f>SUM(D37:D39)</f>
        <v>62592</v>
      </c>
      <c r="E36" s="241">
        <f>SUM(E37:E39)</f>
        <v>0</v>
      </c>
      <c r="F36" s="245">
        <f aca="true" t="shared" si="7" ref="F36:F46">SUM(D36:E36)</f>
        <v>62592</v>
      </c>
      <c r="G36" s="647">
        <f>SUM(G37:G39)</f>
        <v>62592</v>
      </c>
      <c r="H36" s="241">
        <f>SUM(H37:H39)</f>
        <v>0</v>
      </c>
      <c r="I36" s="245">
        <f aca="true" t="shared" si="8" ref="I36:I46">SUM(G36:H36)</f>
        <v>62592</v>
      </c>
      <c r="J36" s="16"/>
    </row>
    <row r="37" spans="1:10" s="1" customFormat="1" ht="15.75">
      <c r="A37" s="265"/>
      <c r="B37" s="655" t="s">
        <v>399</v>
      </c>
      <c r="C37" s="667" t="s">
        <v>467</v>
      </c>
      <c r="D37" s="575">
        <f>ROUND((2568+11208+19200)*0.3,0)</f>
        <v>9893</v>
      </c>
      <c r="E37" s="433"/>
      <c r="F37" s="245">
        <f t="shared" si="7"/>
        <v>9893</v>
      </c>
      <c r="G37" s="648">
        <f>ROUND((2568+11208+19200)*0.3,0)</f>
        <v>9893</v>
      </c>
      <c r="H37" s="433"/>
      <c r="I37" s="245">
        <f t="shared" si="8"/>
        <v>9893</v>
      </c>
      <c r="J37" s="16"/>
    </row>
    <row r="38" spans="1:10" s="1" customFormat="1" ht="15.75">
      <c r="A38" s="265"/>
      <c r="B38" s="656" t="s">
        <v>400</v>
      </c>
      <c r="C38" s="667" t="s">
        <v>468</v>
      </c>
      <c r="D38" s="576">
        <f>ROUND(108115*0.3,0)</f>
        <v>32435</v>
      </c>
      <c r="E38" s="434"/>
      <c r="F38" s="245">
        <f t="shared" si="7"/>
        <v>32435</v>
      </c>
      <c r="G38" s="649">
        <f>ROUND(108115*0.3,0)</f>
        <v>32435</v>
      </c>
      <c r="H38" s="434"/>
      <c r="I38" s="245">
        <f t="shared" si="8"/>
        <v>32435</v>
      </c>
      <c r="J38" s="16"/>
    </row>
    <row r="39" spans="1:10" s="1" customFormat="1" ht="15.75">
      <c r="A39" s="265"/>
      <c r="B39" s="656" t="s">
        <v>401</v>
      </c>
      <c r="C39" s="667" t="s">
        <v>469</v>
      </c>
      <c r="D39" s="576">
        <f>ROUND(67547*0.3,0)</f>
        <v>20264</v>
      </c>
      <c r="E39" s="434"/>
      <c r="F39" s="245">
        <f t="shared" si="7"/>
        <v>20264</v>
      </c>
      <c r="G39" s="649">
        <f>ROUND(67547*0.3,0)</f>
        <v>20264</v>
      </c>
      <c r="H39" s="434"/>
      <c r="I39" s="245">
        <f t="shared" si="8"/>
        <v>20264</v>
      </c>
      <c r="J39" s="16"/>
    </row>
    <row r="40" spans="1:10" s="1" customFormat="1" ht="31.5">
      <c r="A40" s="265"/>
      <c r="B40" s="653" t="s">
        <v>286</v>
      </c>
      <c r="C40" s="666" t="s">
        <v>184</v>
      </c>
      <c r="D40" s="574"/>
      <c r="E40" s="241"/>
      <c r="F40" s="245">
        <f t="shared" si="7"/>
        <v>0</v>
      </c>
      <c r="G40" s="647"/>
      <c r="H40" s="241"/>
      <c r="I40" s="245">
        <f t="shared" si="8"/>
        <v>0</v>
      </c>
      <c r="J40" s="16"/>
    </row>
    <row r="41" spans="1:10" s="1" customFormat="1" ht="15.75">
      <c r="A41" s="265"/>
      <c r="B41" s="653" t="s">
        <v>287</v>
      </c>
      <c r="C41" s="666" t="s">
        <v>185</v>
      </c>
      <c r="D41" s="574">
        <v>735000</v>
      </c>
      <c r="E41" s="241"/>
      <c r="F41" s="245">
        <f t="shared" si="7"/>
        <v>735000</v>
      </c>
      <c r="G41" s="642">
        <f>735000</f>
        <v>735000</v>
      </c>
      <c r="H41" s="241"/>
      <c r="I41" s="245">
        <f t="shared" si="8"/>
        <v>735000</v>
      </c>
      <c r="J41" s="16"/>
    </row>
    <row r="42" spans="1:10" s="1" customFormat="1" ht="15.75">
      <c r="A42" s="265"/>
      <c r="B42" s="653" t="s">
        <v>288</v>
      </c>
      <c r="C42" s="666" t="s">
        <v>186</v>
      </c>
      <c r="D42" s="574"/>
      <c r="E42" s="241"/>
      <c r="F42" s="245">
        <f t="shared" si="7"/>
        <v>0</v>
      </c>
      <c r="G42" s="647"/>
      <c r="H42" s="241"/>
      <c r="I42" s="245">
        <f t="shared" si="8"/>
        <v>0</v>
      </c>
      <c r="J42" s="16"/>
    </row>
    <row r="43" spans="1:10" s="1" customFormat="1" ht="15.75">
      <c r="A43" s="265"/>
      <c r="B43" s="653" t="s">
        <v>289</v>
      </c>
      <c r="C43" s="666" t="s">
        <v>447</v>
      </c>
      <c r="D43" s="574"/>
      <c r="E43" s="241"/>
      <c r="F43" s="245">
        <f t="shared" si="7"/>
        <v>0</v>
      </c>
      <c r="G43" s="647"/>
      <c r="H43" s="241"/>
      <c r="I43" s="245">
        <f t="shared" si="8"/>
        <v>0</v>
      </c>
      <c r="J43" s="16"/>
    </row>
    <row r="44" spans="1:10" s="1" customFormat="1" ht="15.75">
      <c r="A44" s="265"/>
      <c r="B44" s="653" t="s">
        <v>290</v>
      </c>
      <c r="C44" s="666" t="s">
        <v>188</v>
      </c>
      <c r="D44" s="574"/>
      <c r="E44" s="241"/>
      <c r="F44" s="245">
        <f t="shared" si="7"/>
        <v>0</v>
      </c>
      <c r="G44" s="647"/>
      <c r="H44" s="241"/>
      <c r="I44" s="245">
        <f t="shared" si="8"/>
        <v>0</v>
      </c>
      <c r="J44" s="16"/>
    </row>
    <row r="45" spans="1:10" s="1" customFormat="1" ht="15.75">
      <c r="A45" s="265"/>
      <c r="B45" s="653" t="s">
        <v>350</v>
      </c>
      <c r="C45" s="666" t="s">
        <v>189</v>
      </c>
      <c r="D45" s="574"/>
      <c r="E45" s="241"/>
      <c r="F45" s="245">
        <f t="shared" si="7"/>
        <v>0</v>
      </c>
      <c r="G45" s="647"/>
      <c r="H45" s="241"/>
      <c r="I45" s="245">
        <f t="shared" si="8"/>
        <v>0</v>
      </c>
      <c r="J45" s="16"/>
    </row>
    <row r="46" spans="1:10" s="244" customFormat="1" ht="15.75">
      <c r="A46" s="267"/>
      <c r="B46" s="653" t="s">
        <v>351</v>
      </c>
      <c r="C46" s="668" t="s">
        <v>380</v>
      </c>
      <c r="D46" s="577">
        <f>+D36+D40+D41+D42+D43+D44+D45</f>
        <v>797592</v>
      </c>
      <c r="E46" s="243">
        <f>+E36+E40+E41+E42+E43+E44+E45</f>
        <v>0</v>
      </c>
      <c r="F46" s="254">
        <f t="shared" si="7"/>
        <v>797592</v>
      </c>
      <c r="G46" s="650">
        <f>+G36+G40+G41+G42+G43+G44+G45</f>
        <v>797592</v>
      </c>
      <c r="H46" s="243">
        <f>+H36+H40+H41+H42+H43+H44+H45</f>
        <v>0</v>
      </c>
      <c r="I46" s="254">
        <f t="shared" si="8"/>
        <v>797592</v>
      </c>
      <c r="J46" s="16"/>
    </row>
    <row r="47" spans="1:10" s="1" customFormat="1" ht="16.5" thickBot="1">
      <c r="A47" s="268"/>
      <c r="B47" s="492" t="s">
        <v>291</v>
      </c>
      <c r="C47" s="669" t="s">
        <v>197</v>
      </c>
      <c r="D47" s="578">
        <f aca="true" t="shared" si="9" ref="D47:I47">+D35+D46</f>
        <v>3270796</v>
      </c>
      <c r="E47" s="250">
        <f t="shared" si="9"/>
        <v>792893</v>
      </c>
      <c r="F47" s="251">
        <f t="shared" si="9"/>
        <v>4063689</v>
      </c>
      <c r="G47" s="651">
        <f t="shared" si="9"/>
        <v>3333125</v>
      </c>
      <c r="H47" s="250">
        <f t="shared" si="9"/>
        <v>843969</v>
      </c>
      <c r="I47" s="251">
        <f t="shared" si="9"/>
        <v>4177094</v>
      </c>
      <c r="J47" s="16"/>
    </row>
    <row r="48" spans="2:10" s="1" customFormat="1" ht="15.75">
      <c r="B48" s="212"/>
      <c r="C48" s="277"/>
      <c r="D48" s="11"/>
      <c r="E48" s="11"/>
      <c r="F48" s="11"/>
      <c r="G48" s="16"/>
      <c r="J48" s="16"/>
    </row>
    <row r="49" spans="2:10" s="1" customFormat="1" ht="16.5" thickBot="1">
      <c r="B49" s="212"/>
      <c r="C49" s="277"/>
      <c r="D49" s="11"/>
      <c r="E49" s="11"/>
      <c r="G49" s="16"/>
      <c r="I49" s="540" t="s">
        <v>0</v>
      </c>
      <c r="J49" s="16"/>
    </row>
    <row r="50" spans="1:10" s="1" customFormat="1" ht="15.75" customHeight="1">
      <c r="A50" s="272"/>
      <c r="B50" s="774" t="s">
        <v>30</v>
      </c>
      <c r="C50" s="772" t="s">
        <v>190</v>
      </c>
      <c r="D50" s="776" t="s">
        <v>383</v>
      </c>
      <c r="E50" s="777"/>
      <c r="F50" s="778"/>
      <c r="G50" s="776" t="s">
        <v>475</v>
      </c>
      <c r="H50" s="777"/>
      <c r="I50" s="778"/>
      <c r="J50" s="16"/>
    </row>
    <row r="51" spans="1:10" s="226" customFormat="1" ht="31.5">
      <c r="A51" s="264"/>
      <c r="B51" s="775"/>
      <c r="C51" s="773"/>
      <c r="D51" s="542" t="s">
        <v>436</v>
      </c>
      <c r="E51" s="257" t="s">
        <v>437</v>
      </c>
      <c r="F51" s="259" t="s">
        <v>193</v>
      </c>
      <c r="G51" s="542" t="s">
        <v>436</v>
      </c>
      <c r="H51" s="257" t="s">
        <v>437</v>
      </c>
      <c r="I51" s="259" t="s">
        <v>193</v>
      </c>
      <c r="J51" s="16"/>
    </row>
    <row r="52" spans="1:10" s="1" customFormat="1" ht="15.75">
      <c r="A52" s="265"/>
      <c r="B52" s="491" t="s">
        <v>254</v>
      </c>
      <c r="C52" s="670" t="s">
        <v>220</v>
      </c>
      <c r="D52" s="569">
        <f>+'7 Önk'!D37+'9 VGIG'!D37+'12 Ovi'!D37+'10 Járób'!D37+'11 Szoci'!D37+'13 Művh'!D37+'14 Könyvt'!D37+'8 Ph'!D37</f>
        <v>0</v>
      </c>
      <c r="E52" s="229">
        <f>+'7 Önk'!E37+'9 VGIG'!E37+'12 Ovi'!E37+'10 Járób'!E37+'11 Szoci'!E37+'13 Művh'!E37+'14 Könyvt'!E37+'8 Ph'!E37</f>
        <v>0</v>
      </c>
      <c r="F52" s="245">
        <f aca="true" t="shared" si="10" ref="F52:F65">SUM(D52:E52)</f>
        <v>0</v>
      </c>
      <c r="G52" s="229">
        <f>+'7 Önk'!G37+'9 VGIG'!G37+'12 Ovi'!G37+'10 Járób'!G37+'11 Szoci'!G37+'13 Művh'!G37+'14 Könyvt'!G37+'8 Ph'!G37</f>
        <v>0</v>
      </c>
      <c r="H52" s="229">
        <f>+'7 Önk'!H37+'9 VGIG'!H37+'12 Ovi'!H37+'10 Járób'!H37+'11 Szoci'!H37+'13 Művh'!H37+'14 Könyvt'!H37+'8 Ph'!H37</f>
        <v>0</v>
      </c>
      <c r="I52" s="245">
        <f aca="true" t="shared" si="11" ref="I52:I65">SUM(G52:H52)</f>
        <v>0</v>
      </c>
      <c r="J52" s="16"/>
    </row>
    <row r="53" spans="1:10" s="1" customFormat="1" ht="15.75">
      <c r="A53" s="265"/>
      <c r="B53" s="491" t="s">
        <v>255</v>
      </c>
      <c r="C53" s="671" t="s">
        <v>221</v>
      </c>
      <c r="D53" s="569">
        <f>+'7 Önk'!D38+'9 VGIG'!D38+'12 Ovi'!D38+'10 Járób'!D38+'11 Szoci'!D38+'13 Művh'!D38+'14 Könyvt'!D38+'8 Ph'!D38+'3 Műk Bev'!E11</f>
        <v>268404</v>
      </c>
      <c r="E53" s="229">
        <f>+'7 Önk'!E38+'9 VGIG'!E38+'12 Ovi'!E38+'10 Járób'!E38+'11 Szoci'!E38+'13 Művh'!E38+'14 Könyvt'!E38+'8 Ph'!E38</f>
        <v>157695</v>
      </c>
      <c r="F53" s="245">
        <f t="shared" si="10"/>
        <v>426099</v>
      </c>
      <c r="G53" s="229">
        <f>+'7 Önk'!G38+'9 VGIG'!G38+'12 Ovi'!G38+'10 Járób'!G38+'11 Szoci'!G38+'13 Művh'!G38+'14 Könyvt'!G38+'8 Ph'!G38+'3 Műk Bev'!H11</f>
        <v>266766</v>
      </c>
      <c r="H53" s="229">
        <f>+'7 Önk'!H38+'9 VGIG'!H38+'12 Ovi'!H38+'10 Járób'!H38+'11 Szoci'!H38+'13 Művh'!H38+'14 Könyvt'!H38+'8 Ph'!H38</f>
        <v>157695</v>
      </c>
      <c r="I53" s="245">
        <f t="shared" si="11"/>
        <v>424461</v>
      </c>
      <c r="J53" s="16"/>
    </row>
    <row r="54" spans="1:10" s="1" customFormat="1" ht="15.75">
      <c r="A54" s="265"/>
      <c r="B54" s="491" t="s">
        <v>33</v>
      </c>
      <c r="C54" s="671" t="s">
        <v>222</v>
      </c>
      <c r="D54" s="569">
        <f>+'7 Önk'!D39+'9 VGIG'!D39+'12 Ovi'!D39+'10 Járób'!D39+'11 Szoci'!D39+'13 Művh'!D39+'14 Könyvt'!D39+'8 Ph'!D39</f>
        <v>38736</v>
      </c>
      <c r="E54" s="229">
        <f>+'7 Önk'!E39+'9 VGIG'!E39+'12 Ovi'!E39+'10 Járób'!E39+'11 Szoci'!E39+'13 Művh'!E39+'14 Könyvt'!E39+'8 Ph'!E39</f>
        <v>441375</v>
      </c>
      <c r="F54" s="245">
        <f t="shared" si="10"/>
        <v>480111</v>
      </c>
      <c r="G54" s="229">
        <f>+'7 Önk'!G39+'9 VGIG'!G39+'12 Ovi'!G39+'10 Járób'!G39+'11 Szoci'!G39+'13 Művh'!G39+'14 Könyvt'!G39+'8 Ph'!G39</f>
        <v>39842</v>
      </c>
      <c r="H54" s="229">
        <f>+'7 Önk'!H39+'9 VGIG'!H39+'12 Ovi'!H39+'10 Járób'!H39+'11 Szoci'!H39+'13 Művh'!H39+'14 Könyvt'!H39+'8 Ph'!H39</f>
        <v>441375</v>
      </c>
      <c r="I54" s="245">
        <f t="shared" si="11"/>
        <v>481217</v>
      </c>
      <c r="J54" s="16"/>
    </row>
    <row r="55" spans="1:10" s="1" customFormat="1" ht="15.75">
      <c r="A55" s="265"/>
      <c r="B55" s="491" t="s">
        <v>49</v>
      </c>
      <c r="C55" s="671" t="s">
        <v>223</v>
      </c>
      <c r="D55" s="569">
        <f>+'7 Önk'!D40+'9 VGIG'!D40+'12 Ovi'!D40+'10 Járób'!D40+'11 Szoci'!D40+'13 Művh'!D40+'14 Könyvt'!D40+'8 Ph'!D40+'3 Műk Bev'!E85</f>
        <v>39441</v>
      </c>
      <c r="E55" s="229">
        <f>+'7 Önk'!E40+'9 VGIG'!E40+'12 Ovi'!E40+'10 Járób'!E40+'11 Szoci'!E40+'13 Művh'!E40+'14 Könyvt'!E40+'8 Ph'!E40</f>
        <v>27707</v>
      </c>
      <c r="F55" s="245">
        <f t="shared" si="10"/>
        <v>67148</v>
      </c>
      <c r="G55" s="229">
        <f>+'7 Önk'!G40+'9 VGIG'!G40+'12 Ovi'!G40+'10 Járób'!G40+'11 Szoci'!G40+'13 Művh'!G40+'14 Könyvt'!G40+'8 Ph'!G40+'3 Műk Bev'!F85</f>
        <v>40930</v>
      </c>
      <c r="H55" s="229">
        <f>+'7 Önk'!H40+'9 VGIG'!H40+'12 Ovi'!H40+'10 Járób'!H40+'11 Szoci'!H40+'13 Művh'!H40+'14 Könyvt'!H40+'8 Ph'!H40</f>
        <v>27707</v>
      </c>
      <c r="I55" s="245">
        <f t="shared" si="11"/>
        <v>68637</v>
      </c>
      <c r="J55" s="16"/>
    </row>
    <row r="56" spans="1:12" s="1" customFormat="1" ht="15.75">
      <c r="A56" s="265"/>
      <c r="B56" s="491" t="s">
        <v>130</v>
      </c>
      <c r="C56" s="671" t="s">
        <v>224</v>
      </c>
      <c r="D56" s="569">
        <f>+'7 Önk'!D41+'9 VGIG'!D41+'12 Ovi'!D41+'10 Járób'!D41+'11 Szoci'!D41+'13 Művh'!D41+'14 Könyvt'!D41+'8 Ph'!D41+'3 Műk Bev'!E13-E56</f>
        <v>264992</v>
      </c>
      <c r="E56" s="229">
        <f>+'7 Önk'!E41+'9 VGIG'!E41+'12 Ovi'!E41+'10 Járób'!E41+'11 Szoci'!E41+'13 Művh'!E41+'14 Könyvt'!E41+'8 Ph'!E41+63608</f>
        <v>63608</v>
      </c>
      <c r="F56" s="245">
        <f t="shared" si="10"/>
        <v>328600</v>
      </c>
      <c r="G56" s="229">
        <f>+'7 Önk'!G41+'9 VGIG'!G41+'12 Ovi'!G41+'10 Járób'!G41+'11 Szoci'!G41+'13 Művh'!G41+'14 Könyvt'!G41+'8 Ph'!G41+'3 Műk Bev'!F13-H56</f>
        <v>264992</v>
      </c>
      <c r="H56" s="229">
        <f>+'7 Önk'!H41+'9 VGIG'!H41+'12 Ovi'!H41+'10 Járób'!H41+'11 Szoci'!H41+'13 Művh'!H41+'14 Könyvt'!H41+'8 Ph'!H41+63608</f>
        <v>63608</v>
      </c>
      <c r="I56" s="245">
        <f t="shared" si="11"/>
        <v>328600</v>
      </c>
      <c r="J56" s="16"/>
      <c r="K56" s="16"/>
      <c r="L56" s="16">
        <f>+E63+E65</f>
        <v>0</v>
      </c>
    </row>
    <row r="57" spans="1:10" s="1" customFormat="1" ht="15.75">
      <c r="A57" s="265"/>
      <c r="B57" s="491" t="s">
        <v>181</v>
      </c>
      <c r="C57" s="672" t="s">
        <v>198</v>
      </c>
      <c r="D57" s="569">
        <f>+'7 Önk'!D42+'9 VGIG'!D42+'12 Ovi'!D42+'10 Járób'!D42+'11 Szoci'!D42+'13 Művh'!D42+'14 Könyvt'!D42+'8 Ph'!D42</f>
        <v>0</v>
      </c>
      <c r="E57" s="229">
        <f>+'7 Önk'!E42+'9 VGIG'!E42+'12 Ovi'!E42+'10 Járób'!E42+'11 Szoci'!E42+'13 Művh'!E42+'14 Könyvt'!E42+'8 Ph'!E42</f>
        <v>0</v>
      </c>
      <c r="F57" s="245">
        <f t="shared" si="10"/>
        <v>0</v>
      </c>
      <c r="G57" s="229">
        <f>+'7 Önk'!G42+'9 VGIG'!G42+'12 Ovi'!G42+'10 Járób'!G42+'11 Szoci'!G42+'13 Művh'!G42+'14 Könyvt'!G42+'8 Ph'!G42</f>
        <v>0</v>
      </c>
      <c r="H57" s="229">
        <f>+'7 Önk'!H42+'9 VGIG'!H42+'12 Ovi'!H42+'10 Járób'!H42+'11 Szoci'!H42+'13 Művh'!H42+'14 Könyvt'!H42+'8 Ph'!H42</f>
        <v>0</v>
      </c>
      <c r="I57" s="245">
        <f t="shared" si="11"/>
        <v>0</v>
      </c>
      <c r="J57" s="16"/>
    </row>
    <row r="58" spans="1:10" s="1" customFormat="1" ht="15.75">
      <c r="A58" s="265"/>
      <c r="B58" s="491" t="s">
        <v>271</v>
      </c>
      <c r="C58" s="672" t="s">
        <v>199</v>
      </c>
      <c r="D58" s="569">
        <f>+'7 Önk'!D43+'9 VGIG'!D43+'12 Ovi'!D43+'10 Járób'!D43+'11 Szoci'!D43+'13 Művh'!D43+'14 Könyvt'!D43+'8 Ph'!D43+'3 Műk Bev'!E19</f>
        <v>7000</v>
      </c>
      <c r="E58" s="229">
        <f>+'7 Önk'!E43+'9 VGIG'!E43+'12 Ovi'!E43+'10 Járób'!E43+'11 Szoci'!E43+'13 Művh'!E43+'14 Könyvt'!E43+'8 Ph'!E43</f>
        <v>0</v>
      </c>
      <c r="F58" s="245">
        <f t="shared" si="10"/>
        <v>7000</v>
      </c>
      <c r="G58" s="229">
        <f>+'7 Önk'!G43+'9 VGIG'!G43+'12 Ovi'!G43+'10 Járób'!G43+'11 Szoci'!G43+'13 Művh'!G43+'14 Könyvt'!G43+'8 Ph'!G43+'3 Műk Bev'!F19</f>
        <v>7000</v>
      </c>
      <c r="H58" s="229">
        <f>+'7 Önk'!H43+'9 VGIG'!H43+'12 Ovi'!H43+'10 Járób'!H43+'11 Szoci'!H43+'13 Művh'!H43+'14 Könyvt'!H43+'8 Ph'!H43</f>
        <v>0</v>
      </c>
      <c r="I58" s="245">
        <f t="shared" si="11"/>
        <v>7000</v>
      </c>
      <c r="J58" s="16"/>
    </row>
    <row r="59" spans="1:10" s="1" customFormat="1" ht="15.75">
      <c r="A59" s="265"/>
      <c r="B59" s="491" t="s">
        <v>272</v>
      </c>
      <c r="C59" s="672" t="s">
        <v>200</v>
      </c>
      <c r="D59" s="569">
        <f>+'3 Műk Bev'!E22</f>
        <v>25600</v>
      </c>
      <c r="E59" s="229">
        <f>+'7 Önk'!E44+'9 VGIG'!E44+'12 Ovi'!E44+'10 Járób'!E44+'11 Szoci'!E44+'13 Művh'!E44+'14 Könyvt'!E44+'8 Ph'!E44</f>
        <v>0</v>
      </c>
      <c r="F59" s="245">
        <f t="shared" si="10"/>
        <v>25600</v>
      </c>
      <c r="G59" s="229">
        <f>+'3 Műk Bev'!F22</f>
        <v>25600</v>
      </c>
      <c r="H59" s="229">
        <f>+'7 Önk'!H44+'9 VGIG'!H44+'12 Ovi'!H44+'10 Járób'!H44+'11 Szoci'!H44+'13 Művh'!H44+'14 Könyvt'!H44+'8 Ph'!H44</f>
        <v>0</v>
      </c>
      <c r="I59" s="245">
        <f t="shared" si="11"/>
        <v>25600</v>
      </c>
      <c r="J59" s="16"/>
    </row>
    <row r="60" spans="1:10" s="1" customFormat="1" ht="47.25">
      <c r="A60" s="265"/>
      <c r="B60" s="491" t="s">
        <v>273</v>
      </c>
      <c r="C60" s="671" t="s">
        <v>225</v>
      </c>
      <c r="D60" s="569">
        <f>+'3 Műk Bev'!E26</f>
        <v>1353072</v>
      </c>
      <c r="E60" s="229"/>
      <c r="F60" s="245">
        <f t="shared" si="10"/>
        <v>1353072</v>
      </c>
      <c r="G60" s="229">
        <f>+'3 Műk Bev'!F26</f>
        <v>1394683</v>
      </c>
      <c r="H60" s="229"/>
      <c r="I60" s="245">
        <f t="shared" si="11"/>
        <v>1394683</v>
      </c>
      <c r="J60" s="16"/>
    </row>
    <row r="61" spans="1:10" s="1" customFormat="1" ht="15.75">
      <c r="A61" s="265"/>
      <c r="B61" s="491" t="s">
        <v>274</v>
      </c>
      <c r="C61" s="673" t="s">
        <v>226</v>
      </c>
      <c r="D61" s="569">
        <f>+'7 Önk'!D46+'9 VGIG'!D46+'12 Ovi'!D46+'10 Járób'!D46+'11 Szoci'!D46+'13 Művh'!D46+'14 Könyvt'!D46+'8 Ph'!D46</f>
        <v>2000</v>
      </c>
      <c r="E61" s="229">
        <f>+'7 Önk'!E46+'9 VGIG'!E46+'12 Ovi'!E46+'10 Járób'!E46+'11 Szoci'!E46+'13 Művh'!E46+'14 Könyvt'!E46+'8 Ph'!E46</f>
        <v>50</v>
      </c>
      <c r="F61" s="245">
        <f t="shared" si="10"/>
        <v>2050</v>
      </c>
      <c r="G61" s="229">
        <f>+'7 Önk'!G46+'9 VGIG'!G46+'12 Ovi'!G46+'10 Járób'!G46+'11 Szoci'!G46+'13 Művh'!G46+'14 Könyvt'!G46+'8 Ph'!G46</f>
        <v>2000</v>
      </c>
      <c r="H61" s="229">
        <f>+'7 Önk'!H46+'9 VGIG'!H46+'12 Ovi'!H46+'10 Járób'!H46+'11 Szoci'!H46+'13 Művh'!H46+'14 Könyvt'!H46+'8 Ph'!H46</f>
        <v>50</v>
      </c>
      <c r="I61" s="245">
        <f t="shared" si="11"/>
        <v>2050</v>
      </c>
      <c r="J61" s="16"/>
    </row>
    <row r="62" spans="1:10" s="109" customFormat="1" ht="15.75">
      <c r="A62" s="273"/>
      <c r="B62" s="491" t="s">
        <v>170</v>
      </c>
      <c r="C62" s="674" t="s">
        <v>201</v>
      </c>
      <c r="D62" s="683">
        <f>SUM(D52:D61)</f>
        <v>1999245</v>
      </c>
      <c r="E62" s="234">
        <f>SUM(E52:E61)</f>
        <v>690435</v>
      </c>
      <c r="F62" s="549">
        <f t="shared" si="10"/>
        <v>2689680</v>
      </c>
      <c r="G62" s="234">
        <f>SUM(G52:G61)</f>
        <v>2041813</v>
      </c>
      <c r="H62" s="234">
        <f>SUM(H52:H61)</f>
        <v>690435</v>
      </c>
      <c r="I62" s="549">
        <f t="shared" si="11"/>
        <v>2732248</v>
      </c>
      <c r="J62" s="16"/>
    </row>
    <row r="63" spans="1:10" s="111" customFormat="1" ht="15.75">
      <c r="A63" s="274"/>
      <c r="B63" s="491" t="s">
        <v>275</v>
      </c>
      <c r="C63" s="675" t="s">
        <v>243</v>
      </c>
      <c r="D63" s="684">
        <f>SUM(D62-D20)</f>
        <v>0</v>
      </c>
      <c r="E63" s="235">
        <f>SUM(E62-E20)</f>
        <v>-45728</v>
      </c>
      <c r="F63" s="550">
        <f t="shared" si="10"/>
        <v>-45728</v>
      </c>
      <c r="G63" s="235">
        <f>SUM(G62-G20)</f>
        <v>13572</v>
      </c>
      <c r="H63" s="235">
        <f>SUM(H62-H20)</f>
        <v>-75883</v>
      </c>
      <c r="I63" s="550">
        <f t="shared" si="11"/>
        <v>-62311</v>
      </c>
      <c r="J63" s="16"/>
    </row>
    <row r="64" spans="1:10" s="114" customFormat="1" ht="15.75">
      <c r="A64" s="266"/>
      <c r="B64" s="491" t="s">
        <v>276</v>
      </c>
      <c r="C64" s="676" t="s">
        <v>202</v>
      </c>
      <c r="D64" s="571"/>
      <c r="E64" s="232"/>
      <c r="F64" s="246">
        <f t="shared" si="10"/>
        <v>0</v>
      </c>
      <c r="G64" s="232"/>
      <c r="H64" s="232"/>
      <c r="I64" s="246">
        <f t="shared" si="11"/>
        <v>0</v>
      </c>
      <c r="J64" s="16"/>
    </row>
    <row r="65" spans="1:10" s="1" customFormat="1" ht="31.5">
      <c r="A65" s="265"/>
      <c r="B65" s="491" t="s">
        <v>277</v>
      </c>
      <c r="C65" s="670" t="s">
        <v>227</v>
      </c>
      <c r="D65" s="569">
        <f>+'7 Önk'!D50+'9 VGIG'!D50+'12 Ovi'!D51+'10 Járób'!D50+'11 Szoci'!D51+'13 Művh'!D50+'14 Könyvt'!D50+'8 Ph'!D50</f>
        <v>0</v>
      </c>
      <c r="E65" s="229">
        <f>+'7 Önk'!E50+'9 VGIG'!E50+'12 Ovi'!E51+'10 Járób'!E50+'11 Szoci'!E51+'13 Művh'!E50+'14 Könyvt'!E50+'8 Ph'!E50</f>
        <v>45728</v>
      </c>
      <c r="F65" s="245">
        <f t="shared" si="10"/>
        <v>45728</v>
      </c>
      <c r="G65" s="229">
        <f>+'7 Önk'!G50+'9 VGIG'!G50+'12 Ovi'!G51+'10 Járób'!G50+'11 Szoci'!G51+'13 Művh'!G50+'14 Könyvt'!G50+'8 Ph'!G50</f>
        <v>5405</v>
      </c>
      <c r="H65" s="229">
        <f>+'7 Önk'!H50+'9 VGIG'!H50+'12 Ovi'!H51+'10 Járób'!H50+'11 Szoci'!H51+'13 Művh'!H50+'14 Könyvt'!H50+'8 Ph'!H50</f>
        <v>81160</v>
      </c>
      <c r="I65" s="245">
        <f t="shared" si="11"/>
        <v>86565</v>
      </c>
      <c r="J65" s="16"/>
    </row>
    <row r="66" spans="1:10" s="1" customFormat="1" ht="15.75">
      <c r="A66" s="265"/>
      <c r="B66" s="491" t="s">
        <v>279</v>
      </c>
      <c r="C66" s="677" t="s">
        <v>238</v>
      </c>
      <c r="D66" s="572">
        <f aca="true" t="shared" si="12" ref="D66:I66">SUM(D62,D64,D65)</f>
        <v>1999245</v>
      </c>
      <c r="E66" s="228">
        <f t="shared" si="12"/>
        <v>736163</v>
      </c>
      <c r="F66" s="247">
        <f t="shared" si="12"/>
        <v>2735408</v>
      </c>
      <c r="G66" s="228">
        <f t="shared" si="12"/>
        <v>2047218</v>
      </c>
      <c r="H66" s="228">
        <f t="shared" si="12"/>
        <v>771595</v>
      </c>
      <c r="I66" s="247">
        <f t="shared" si="12"/>
        <v>2818813</v>
      </c>
      <c r="J66" s="16"/>
    </row>
    <row r="67" spans="1:10" s="1" customFormat="1" ht="15.75">
      <c r="A67" s="265"/>
      <c r="B67" s="491" t="s">
        <v>280</v>
      </c>
      <c r="C67" s="671" t="s">
        <v>228</v>
      </c>
      <c r="D67" s="569">
        <f>+'7 Önk'!D52+'9 VGIG'!D52+'12 Ovi'!D53+'10 Járób'!D52+'11 Szoci'!D53+'13 Művh'!D52+'14 Könyvt'!D52+'8 Ph'!D52</f>
        <v>0</v>
      </c>
      <c r="E67" s="229">
        <f>+'7 Önk'!E52+'9 VGIG'!E52+'12 Ovi'!E53+'10 Járób'!E52+'11 Szoci'!E53+'13 Művh'!E52+'14 Könyvt'!E52+'8 Ph'!E52</f>
        <v>0</v>
      </c>
      <c r="F67" s="245">
        <f aca="true" t="shared" si="13" ref="F67:F79">SUM(D67:E67)</f>
        <v>0</v>
      </c>
      <c r="G67" s="229">
        <f>+'7 Önk'!G52+'9 VGIG'!G52+'12 Ovi'!G53+'10 Járób'!G52+'11 Szoci'!G53+'13 Művh'!G52+'14 Könyvt'!G52+'8 Ph'!G52</f>
        <v>0</v>
      </c>
      <c r="H67" s="229">
        <f>+'7 Önk'!H52+'9 VGIG'!H52+'12 Ovi'!H53+'10 Járób'!H52+'11 Szoci'!H53+'13 Művh'!H52+'14 Könyvt'!H52+'8 Ph'!H52</f>
        <v>0</v>
      </c>
      <c r="I67" s="245">
        <f aca="true" t="shared" si="14" ref="I67:I79">SUM(G67:H67)</f>
        <v>0</v>
      </c>
      <c r="J67" s="16"/>
    </row>
    <row r="68" spans="1:10" s="1" customFormat="1" ht="15.75">
      <c r="A68" s="265"/>
      <c r="B68" s="491" t="s">
        <v>281</v>
      </c>
      <c r="C68" s="671" t="s">
        <v>229</v>
      </c>
      <c r="D68" s="569">
        <f>+'7 Önk'!D53+'9 VGIG'!D53+'12 Ovi'!D54+'10 Járób'!D53+'11 Szoci'!D54+'13 Művh'!D53+'14 Könyvt'!D53+'8 Ph'!D53</f>
        <v>8393</v>
      </c>
      <c r="E68" s="229">
        <f>+'7 Önk'!E53+'9 VGIG'!E53+'12 Ovi'!E54+'10 Járób'!E53+'11 Szoci'!E54+'13 Művh'!E53+'14 Könyvt'!E53+'8 Ph'!E53</f>
        <v>10597</v>
      </c>
      <c r="F68" s="245">
        <f t="shared" si="13"/>
        <v>18990</v>
      </c>
      <c r="G68" s="229">
        <f>+'7 Önk'!G53+'9 VGIG'!G53+'12 Ovi'!G54+'10 Járób'!G53+'11 Szoci'!G54+'13 Művh'!G53+'14 Könyvt'!G53+'8 Ph'!G53</f>
        <v>8393</v>
      </c>
      <c r="H68" s="229">
        <f>+'7 Önk'!H53+'9 VGIG'!H53+'12 Ovi'!H54+'10 Járób'!H53+'11 Szoci'!H54+'13 Művh'!H53+'14 Könyvt'!H53+'8 Ph'!H53</f>
        <v>10597</v>
      </c>
      <c r="I68" s="245">
        <f t="shared" si="14"/>
        <v>18990</v>
      </c>
      <c r="J68" s="16"/>
    </row>
    <row r="69" spans="1:10" s="1" customFormat="1" ht="15.75">
      <c r="A69" s="265"/>
      <c r="B69" s="491" t="s">
        <v>282</v>
      </c>
      <c r="C69" s="671" t="s">
        <v>230</v>
      </c>
      <c r="D69" s="569">
        <f>+'7 Önk'!D54+'9 VGIG'!D54+'12 Ovi'!D55+'10 Járób'!D54+'11 Szoci'!D55+'13 Művh'!D54+'14 Könyvt'!D54+'8 Ph'!D54+'4 Felh Bev'!D9</f>
        <v>25596</v>
      </c>
      <c r="E69" s="229">
        <f>+'7 Önk'!E54+'9 VGIG'!E54+'12 Ovi'!E55+'10 Járób'!E54+'11 Szoci'!E55+'13 Művh'!E54+'14 Könyvt'!E54+'8 Ph'!E54+'4 Felh Bev'!E9</f>
        <v>24746</v>
      </c>
      <c r="F69" s="245">
        <f t="shared" si="13"/>
        <v>50342</v>
      </c>
      <c r="G69" s="229">
        <f>+'7 Önk'!G54+'9 VGIG'!G54+'12 Ovi'!G55+'10 Járób'!G54+'11 Szoci'!G55+'13 Művh'!G54+'14 Könyvt'!G54+'8 Ph'!G54+'4 Felh Bev'!F9</f>
        <v>25596</v>
      </c>
      <c r="H69" s="229">
        <f>+'7 Önk'!H54+'9 VGIG'!H54+'12 Ovi'!H55+'10 Járób'!H54+'11 Szoci'!H55+'13 Művh'!H54+'14 Könyvt'!H54+'8 Ph'!H54+'4 Felh Bev'!G9</f>
        <v>24746</v>
      </c>
      <c r="I69" s="245">
        <f t="shared" si="14"/>
        <v>50342</v>
      </c>
      <c r="J69" s="16"/>
    </row>
    <row r="70" spans="1:10" s="1" customFormat="1" ht="31.5">
      <c r="A70" s="265"/>
      <c r="B70" s="491" t="s">
        <v>283</v>
      </c>
      <c r="C70" s="671" t="s">
        <v>231</v>
      </c>
      <c r="D70" s="569">
        <f>+'7 Önk'!D55+'9 VGIG'!D55+'12 Ovi'!D56+'10 Járób'!D55+'11 Szoci'!D56+'13 Művh'!D55+'14 Könyvt'!D55+'8 Ph'!D55+'4 Felh Bev'!D30</f>
        <v>327675</v>
      </c>
      <c r="E70" s="229">
        <f>+'7 Önk'!E55+'9 VGIG'!E55+'12 Ovi'!E56+'10 Járób'!E55+'11 Szoci'!E56+'13 Művh'!E55+'14 Könyvt'!E55+'8 Ph'!E55+'4 Felh Bev'!E30</f>
        <v>39977</v>
      </c>
      <c r="F70" s="245">
        <f t="shared" si="13"/>
        <v>367652</v>
      </c>
      <c r="G70" s="229">
        <f>+'7 Önk'!G55+'9 VGIG'!G55+'12 Ovi'!G56+'10 Járób'!G55+'11 Szoci'!G56+'13 Művh'!G55+'14 Könyvt'!G55+'8 Ph'!G55+'4 Felh Bev'!F30</f>
        <v>327675</v>
      </c>
      <c r="H70" s="229">
        <f>+'7 Önk'!H55+'9 VGIG'!H55+'12 Ovi'!H56+'10 Járób'!H55+'11 Szoci'!H56+'13 Művh'!H55+'14 Könyvt'!H55+'8 Ph'!H55+'4 Felh Bev'!G30</f>
        <v>39977</v>
      </c>
      <c r="I70" s="245">
        <f t="shared" si="14"/>
        <v>367652</v>
      </c>
      <c r="J70" s="16"/>
    </row>
    <row r="71" spans="1:10" s="1" customFormat="1" ht="31.5">
      <c r="A71" s="265"/>
      <c r="B71" s="491" t="s">
        <v>284</v>
      </c>
      <c r="C71" s="671" t="s">
        <v>232</v>
      </c>
      <c r="D71" s="569">
        <f>+'7 Önk'!D56+'9 VGIG'!D56+'12 Ovi'!D57+'10 Járób'!D56+'11 Szoci'!D57+'13 Művh'!D56+'14 Könyvt'!D56+'8 Ph'!D56+'4 Felh Bev'!D39</f>
        <v>2000</v>
      </c>
      <c r="E71" s="229">
        <f>+'7 Önk'!E56+'9 VGIG'!E56+'12 Ovi'!E57+'10 Járób'!E56+'11 Szoci'!E57+'13 Művh'!E56+'14 Könyvt'!E56+'8 Ph'!E56+'4 Felh Bev'!E39</f>
        <v>4000</v>
      </c>
      <c r="F71" s="245">
        <f t="shared" si="13"/>
        <v>6000</v>
      </c>
      <c r="G71" s="229">
        <f>+'7 Önk'!G56+'9 VGIG'!G56+'12 Ovi'!G57+'10 Járób'!G56+'11 Szoci'!G57+'13 Művh'!G56+'14 Könyvt'!G56+'8 Ph'!G56+'4 Felh Bev'!F39</f>
        <v>32000</v>
      </c>
      <c r="H71" s="229">
        <f>+'7 Önk'!H56+'9 VGIG'!H56+'12 Ovi'!H57+'10 Járób'!H56+'11 Szoci'!H57+'13 Művh'!H56+'14 Könyvt'!H56+'8 Ph'!H56+'4 Felh Bev'!G39</f>
        <v>4000</v>
      </c>
      <c r="I71" s="245">
        <f t="shared" si="14"/>
        <v>36000</v>
      </c>
      <c r="J71" s="16"/>
    </row>
    <row r="72" spans="1:10" s="1" customFormat="1" ht="15.75">
      <c r="A72" s="265"/>
      <c r="B72" s="491" t="s">
        <v>285</v>
      </c>
      <c r="C72" s="670" t="s">
        <v>233</v>
      </c>
      <c r="D72" s="569">
        <f>+'7 Önk'!D57+'9 VGIG'!D57+'12 Ovi'!D58+'10 Járób'!D57+'11 Szoci'!D58+'13 Művh'!D57+'14 Könyvt'!D57+'8 Ph'!D57</f>
        <v>0</v>
      </c>
      <c r="E72" s="229">
        <f>+'7 Önk'!E57+'9 VGIG'!E57+'12 Ovi'!E58+'10 Járób'!E57+'11 Szoci'!E58+'13 Művh'!E57+'14 Könyvt'!E57+'8 Ph'!E57</f>
        <v>0</v>
      </c>
      <c r="F72" s="245">
        <f t="shared" si="13"/>
        <v>0</v>
      </c>
      <c r="G72" s="229">
        <f>+'7 Önk'!G57+'9 VGIG'!G57+'12 Ovi'!G58+'10 Járób'!G57+'11 Szoci'!G58+'13 Művh'!G57+'14 Könyvt'!G57+'8 Ph'!G57</f>
        <v>0</v>
      </c>
      <c r="H72" s="229">
        <f>+'7 Önk'!H57+'9 VGIG'!H57+'12 Ovi'!H58+'10 Járób'!H57+'11 Szoci'!H58+'13 Művh'!H57+'14 Könyvt'!H57+'8 Ph'!H57</f>
        <v>0</v>
      </c>
      <c r="I72" s="245">
        <f t="shared" si="14"/>
        <v>0</v>
      </c>
      <c r="J72" s="16"/>
    </row>
    <row r="73" spans="1:10" s="1" customFormat="1" ht="15.75">
      <c r="A73" s="265"/>
      <c r="B73" s="491" t="s">
        <v>286</v>
      </c>
      <c r="C73" s="673" t="s">
        <v>234</v>
      </c>
      <c r="D73" s="569">
        <f>+'7 Önk'!D58+'9 VGIG'!D58+'12 Ovi'!D59+'10 Járób'!D58+'11 Szoci'!D59+'13 Művh'!D58+'14 Könyvt'!D58+'8 Ph'!D58</f>
        <v>0</v>
      </c>
      <c r="E73" s="229">
        <f>+'7 Önk'!E58+'9 VGIG'!E58+'12 Ovi'!E59+'10 Járób'!E58+'11 Szoci'!E59+'13 Művh'!E58+'14 Könyvt'!E58+'8 Ph'!E58</f>
        <v>0</v>
      </c>
      <c r="F73" s="245">
        <f t="shared" si="13"/>
        <v>0</v>
      </c>
      <c r="G73" s="229">
        <f>+'7 Önk'!G58+'9 VGIG'!G58+'12 Ovi'!G59+'10 Járób'!G58+'11 Szoci'!G59+'13 Művh'!G58+'14 Könyvt'!G58+'8 Ph'!G58</f>
        <v>0</v>
      </c>
      <c r="H73" s="229">
        <f>+'7 Önk'!H58+'9 VGIG'!H58+'12 Ovi'!H59+'10 Járób'!H58+'11 Szoci'!H59+'13 Művh'!H58+'14 Könyvt'!H58+'8 Ph'!H58</f>
        <v>0</v>
      </c>
      <c r="I73" s="245">
        <f t="shared" si="14"/>
        <v>0</v>
      </c>
      <c r="J73" s="16"/>
    </row>
    <row r="74" spans="1:10" s="109" customFormat="1" ht="15.75">
      <c r="A74" s="273"/>
      <c r="B74" s="491" t="s">
        <v>287</v>
      </c>
      <c r="C74" s="674" t="s">
        <v>203</v>
      </c>
      <c r="D74" s="683">
        <f>SUM(D67:D73)</f>
        <v>363664</v>
      </c>
      <c r="E74" s="234">
        <f>SUM(E67:E73)</f>
        <v>79320</v>
      </c>
      <c r="F74" s="549">
        <f t="shared" si="13"/>
        <v>442984</v>
      </c>
      <c r="G74" s="234">
        <f>SUM(G67:G73)</f>
        <v>393664</v>
      </c>
      <c r="H74" s="234">
        <f>SUM(H67:H73)</f>
        <v>79320</v>
      </c>
      <c r="I74" s="549">
        <f t="shared" si="14"/>
        <v>472984</v>
      </c>
      <c r="J74" s="16"/>
    </row>
    <row r="75" spans="1:10" s="111" customFormat="1" ht="15.75">
      <c r="A75" s="274"/>
      <c r="B75" s="491" t="s">
        <v>288</v>
      </c>
      <c r="C75" s="675" t="s">
        <v>244</v>
      </c>
      <c r="D75" s="684">
        <f>SUM(D74-D34)</f>
        <v>-110295</v>
      </c>
      <c r="E75" s="235">
        <f>SUM(E74-E34)</f>
        <v>22590</v>
      </c>
      <c r="F75" s="550">
        <f t="shared" si="13"/>
        <v>-87705</v>
      </c>
      <c r="G75" s="235">
        <f>SUM(G74-G34)</f>
        <v>-113628</v>
      </c>
      <c r="H75" s="235">
        <f>SUM(H74-H34)</f>
        <v>1669</v>
      </c>
      <c r="I75" s="550">
        <f t="shared" si="14"/>
        <v>-111959</v>
      </c>
      <c r="J75" s="16"/>
    </row>
    <row r="76" spans="1:10" s="114" customFormat="1" ht="15.75">
      <c r="A76" s="266"/>
      <c r="B76" s="491" t="s">
        <v>289</v>
      </c>
      <c r="C76" s="676" t="s">
        <v>202</v>
      </c>
      <c r="D76" s="571">
        <v>24705</v>
      </c>
      <c r="E76" s="232"/>
      <c r="F76" s="246">
        <f t="shared" si="13"/>
        <v>24705</v>
      </c>
      <c r="G76" s="232">
        <v>24705</v>
      </c>
      <c r="H76" s="232"/>
      <c r="I76" s="246">
        <f t="shared" si="14"/>
        <v>24705</v>
      </c>
      <c r="J76" s="16"/>
    </row>
    <row r="77" spans="1:10" s="1" customFormat="1" ht="31.5">
      <c r="A77" s="265"/>
      <c r="B77" s="491" t="s">
        <v>290</v>
      </c>
      <c r="C77" s="671" t="s">
        <v>235</v>
      </c>
      <c r="D77" s="569">
        <f>+'7 Önk'!D62+'9 VGIG'!D62+'12 Ovi'!D63+'10 Járób'!D62+'11 Szoci'!D63+'13 Művh'!D62+'14 Könyvt'!D62+'8 Ph'!D62+'4 Felh Bev'!D45</f>
        <v>63000</v>
      </c>
      <c r="E77" s="229">
        <f>+'7 Önk'!E62+'9 VGIG'!E62+'12 Ovi'!E63+'10 Járób'!E62+'11 Szoci'!E63+'13 Művh'!E62+'14 Könyvt'!E62+'8 Ph'!E62</f>
        <v>0</v>
      </c>
      <c r="F77" s="245">
        <f t="shared" si="13"/>
        <v>63000</v>
      </c>
      <c r="G77" s="229">
        <f>+'7 Önk'!G62+'9 VGIG'!G62+'12 Ovi'!G63+'10 Járób'!G62+'11 Szoci'!G63+'13 Művh'!G62+'14 Könyvt'!G62+'8 Ph'!G62+'4 Felh Bev'!F45</f>
        <v>63000</v>
      </c>
      <c r="H77" s="229">
        <f>+'7 Önk'!H62+'9 VGIG'!H62+'12 Ovi'!H63+'10 Járób'!H62+'11 Szoci'!H63+'13 Művh'!H62+'14 Könyvt'!H62+'8 Ph'!H62+'4 Felh Bev'!G45</f>
        <v>0</v>
      </c>
      <c r="I77" s="245">
        <f t="shared" si="14"/>
        <v>63000</v>
      </c>
      <c r="J77" s="16"/>
    </row>
    <row r="78" spans="1:10" s="1" customFormat="1" ht="15.75">
      <c r="A78" s="265"/>
      <c r="B78" s="491" t="s">
        <v>350</v>
      </c>
      <c r="C78" s="678" t="s">
        <v>205</v>
      </c>
      <c r="D78" s="569">
        <f>+'7 Önk'!D63+'9 VGIG'!D63+'12 Ovi'!D64+'10 Járób'!D63+'11 Szoci'!D64+'13 Művh'!D63+'14 Könyvt'!D63+'8 Ph'!D63</f>
        <v>0</v>
      </c>
      <c r="E78" s="229">
        <f>+'7 Önk'!E63+'9 VGIG'!E63+'12 Ovi'!E64+'10 Járób'!E63+'11 Szoci'!E64+'13 Művh'!E63+'14 Könyvt'!E63+'8 Ph'!E63</f>
        <v>0</v>
      </c>
      <c r="F78" s="245">
        <f t="shared" si="13"/>
        <v>0</v>
      </c>
      <c r="G78" s="229">
        <f>+'7 Önk'!G63+'9 VGIG'!G63+'12 Ovi'!G64+'10 Járób'!G63+'11 Szoci'!G64+'13 Művh'!G63+'14 Könyvt'!G63+'8 Ph'!G63</f>
        <v>0</v>
      </c>
      <c r="H78" s="229">
        <f>+'7 Önk'!H63+'9 VGIG'!H63+'12 Ovi'!H64+'10 Járób'!H63+'11 Szoci'!H64+'13 Művh'!H63+'14 Könyvt'!H63+'8 Ph'!H63</f>
        <v>0</v>
      </c>
      <c r="I78" s="245">
        <f t="shared" si="14"/>
        <v>0</v>
      </c>
      <c r="J78" s="16"/>
    </row>
    <row r="79" spans="1:10" s="1" customFormat="1" ht="15.75">
      <c r="A79" s="265"/>
      <c r="B79" s="491" t="s">
        <v>351</v>
      </c>
      <c r="C79" s="678" t="s">
        <v>206</v>
      </c>
      <c r="D79" s="569">
        <f>+'7 Önk'!D64+'9 VGIG'!D64+'12 Ovi'!D65+'10 Járób'!D64+'11 Szoci'!D65+'13 Művh'!D64+'14 Könyvt'!D64+'8 Ph'!D64</f>
        <v>0</v>
      </c>
      <c r="E79" s="229">
        <f>+'7 Önk'!E64+'9 VGIG'!E64+'12 Ovi'!E65+'10 Járób'!E64+'11 Szoci'!E65+'13 Művh'!E64+'14 Könyvt'!E64+'8 Ph'!E64</f>
        <v>0</v>
      </c>
      <c r="F79" s="245">
        <f t="shared" si="13"/>
        <v>0</v>
      </c>
      <c r="G79" s="229">
        <f>+'7 Önk'!G64+'9 VGIG'!G64+'12 Ovi'!G65+'10 Járób'!G64+'11 Szoci'!G65+'13 Művh'!G64+'14 Könyvt'!G64+'8 Ph'!G64</f>
        <v>0</v>
      </c>
      <c r="H79" s="229">
        <f>+'7 Önk'!H64+'9 VGIG'!H64+'12 Ovi'!H65+'10 Járób'!H64+'11 Szoci'!H65+'13 Művh'!H64+'14 Könyvt'!H64+'8 Ph'!H64</f>
        <v>0</v>
      </c>
      <c r="I79" s="245">
        <f t="shared" si="14"/>
        <v>0</v>
      </c>
      <c r="J79" s="16"/>
    </row>
    <row r="80" spans="1:10" s="1" customFormat="1" ht="15.75">
      <c r="A80" s="265"/>
      <c r="B80" s="491" t="s">
        <v>291</v>
      </c>
      <c r="C80" s="677" t="s">
        <v>239</v>
      </c>
      <c r="D80" s="572">
        <f aca="true" t="shared" si="15" ref="D80:I80">SUM(D74,D76,D77,D78,D79)</f>
        <v>451369</v>
      </c>
      <c r="E80" s="228">
        <f t="shared" si="15"/>
        <v>79320</v>
      </c>
      <c r="F80" s="247">
        <f t="shared" si="15"/>
        <v>530689</v>
      </c>
      <c r="G80" s="228">
        <f t="shared" si="15"/>
        <v>481369</v>
      </c>
      <c r="H80" s="228">
        <f t="shared" si="15"/>
        <v>79320</v>
      </c>
      <c r="I80" s="247">
        <f t="shared" si="15"/>
        <v>560689</v>
      </c>
      <c r="J80" s="16"/>
    </row>
    <row r="81" spans="1:10" s="1" customFormat="1" ht="15.75">
      <c r="A81" s="265"/>
      <c r="B81" s="491" t="s">
        <v>292</v>
      </c>
      <c r="C81" s="679" t="s">
        <v>376</v>
      </c>
      <c r="D81" s="573">
        <f aca="true" t="shared" si="16" ref="D81:I81">SUM(D66,D80)</f>
        <v>2450614</v>
      </c>
      <c r="E81" s="99">
        <f t="shared" si="16"/>
        <v>815483</v>
      </c>
      <c r="F81" s="248">
        <f t="shared" si="16"/>
        <v>3266097</v>
      </c>
      <c r="G81" s="99">
        <f t="shared" si="16"/>
        <v>2528587</v>
      </c>
      <c r="H81" s="99">
        <f t="shared" si="16"/>
        <v>850915</v>
      </c>
      <c r="I81" s="248">
        <f t="shared" si="16"/>
        <v>3379502</v>
      </c>
      <c r="J81" s="16"/>
    </row>
    <row r="82" spans="1:10" s="1" customFormat="1" ht="15.75">
      <c r="A82" s="265"/>
      <c r="B82" s="491" t="s">
        <v>293</v>
      </c>
      <c r="C82" s="680" t="s">
        <v>172</v>
      </c>
      <c r="D82" s="569"/>
      <c r="E82" s="229"/>
      <c r="F82" s="245">
        <f aca="true" t="shared" si="17" ref="F82:F88">SUM(D82:E82)</f>
        <v>0</v>
      </c>
      <c r="G82" s="229"/>
      <c r="H82" s="229"/>
      <c r="I82" s="245">
        <f aca="true" t="shared" si="18" ref="I82:I88">SUM(G82:H82)</f>
        <v>0</v>
      </c>
      <c r="J82" s="16"/>
    </row>
    <row r="83" spans="1:10" s="1" customFormat="1" ht="31.5">
      <c r="A83" s="265"/>
      <c r="B83" s="491" t="s">
        <v>294</v>
      </c>
      <c r="C83" s="680" t="s">
        <v>174</v>
      </c>
      <c r="D83" s="569">
        <v>735000</v>
      </c>
      <c r="E83" s="252"/>
      <c r="F83" s="245">
        <f t="shared" si="17"/>
        <v>735000</v>
      </c>
      <c r="G83" s="229">
        <f>735000</f>
        <v>735000</v>
      </c>
      <c r="H83" s="252"/>
      <c r="I83" s="245">
        <f t="shared" si="18"/>
        <v>735000</v>
      </c>
      <c r="J83" s="16"/>
    </row>
    <row r="84" spans="1:10" s="1" customFormat="1" ht="15.75">
      <c r="A84" s="265"/>
      <c r="B84" s="491" t="s">
        <v>352</v>
      </c>
      <c r="C84" s="680" t="s">
        <v>176</v>
      </c>
      <c r="D84" s="569">
        <v>62592</v>
      </c>
      <c r="E84" s="229"/>
      <c r="F84" s="245">
        <f t="shared" si="17"/>
        <v>62592</v>
      </c>
      <c r="G84" s="229">
        <v>62592</v>
      </c>
      <c r="H84" s="229"/>
      <c r="I84" s="245">
        <f t="shared" si="18"/>
        <v>62592</v>
      </c>
      <c r="J84" s="16"/>
    </row>
    <row r="85" spans="1:10" s="1" customFormat="1" ht="15.75">
      <c r="A85" s="265"/>
      <c r="B85" s="491" t="s">
        <v>353</v>
      </c>
      <c r="C85" s="680" t="s">
        <v>177</v>
      </c>
      <c r="D85" s="569"/>
      <c r="E85" s="229"/>
      <c r="F85" s="245">
        <f t="shared" si="17"/>
        <v>0</v>
      </c>
      <c r="G85" s="229"/>
      <c r="H85" s="229"/>
      <c r="I85" s="245">
        <f t="shared" si="18"/>
        <v>0</v>
      </c>
      <c r="J85" s="16"/>
    </row>
    <row r="86" spans="1:10" s="1" customFormat="1" ht="15.75">
      <c r="A86" s="265"/>
      <c r="B86" s="491" t="s">
        <v>354</v>
      </c>
      <c r="C86" s="680" t="s">
        <v>446</v>
      </c>
      <c r="D86" s="569"/>
      <c r="E86" s="229"/>
      <c r="F86" s="245">
        <f t="shared" si="17"/>
        <v>0</v>
      </c>
      <c r="G86" s="229"/>
      <c r="H86" s="229"/>
      <c r="I86" s="245">
        <f t="shared" si="18"/>
        <v>0</v>
      </c>
      <c r="J86" s="16"/>
    </row>
    <row r="87" spans="1:10" s="1" customFormat="1" ht="15.75">
      <c r="A87" s="265"/>
      <c r="B87" s="491" t="s">
        <v>355</v>
      </c>
      <c r="C87" s="680" t="s">
        <v>179</v>
      </c>
      <c r="D87" s="569"/>
      <c r="E87" s="229"/>
      <c r="F87" s="245">
        <f t="shared" si="17"/>
        <v>0</v>
      </c>
      <c r="G87" s="229"/>
      <c r="H87" s="229"/>
      <c r="I87" s="245">
        <f t="shared" si="18"/>
        <v>0</v>
      </c>
      <c r="J87" s="16"/>
    </row>
    <row r="88" spans="1:10" s="1" customFormat="1" ht="15.75">
      <c r="A88" s="265"/>
      <c r="B88" s="491" t="s">
        <v>356</v>
      </c>
      <c r="C88" s="680" t="s">
        <v>180</v>
      </c>
      <c r="D88" s="569"/>
      <c r="E88" s="229"/>
      <c r="F88" s="245">
        <f t="shared" si="17"/>
        <v>0</v>
      </c>
      <c r="G88" s="229"/>
      <c r="H88" s="229"/>
      <c r="I88" s="245">
        <f t="shared" si="18"/>
        <v>0</v>
      </c>
      <c r="J88" s="16"/>
    </row>
    <row r="89" spans="1:10" s="1" customFormat="1" ht="15.75">
      <c r="A89" s="265"/>
      <c r="B89" s="491" t="s">
        <v>357</v>
      </c>
      <c r="C89" s="681" t="s">
        <v>381</v>
      </c>
      <c r="D89" s="577">
        <f aca="true" t="shared" si="19" ref="D89:I89">SUM(D82:D88)</f>
        <v>797592</v>
      </c>
      <c r="E89" s="243">
        <f t="shared" si="19"/>
        <v>0</v>
      </c>
      <c r="F89" s="640">
        <f t="shared" si="19"/>
        <v>797592</v>
      </c>
      <c r="G89" s="243">
        <f t="shared" si="19"/>
        <v>797592</v>
      </c>
      <c r="H89" s="243">
        <f t="shared" si="19"/>
        <v>0</v>
      </c>
      <c r="I89" s="640">
        <f t="shared" si="19"/>
        <v>797592</v>
      </c>
      <c r="J89" s="16"/>
    </row>
    <row r="90" spans="1:10" s="1" customFormat="1" ht="16.5" thickBot="1">
      <c r="A90" s="268"/>
      <c r="B90" s="492" t="s">
        <v>358</v>
      </c>
      <c r="C90" s="682" t="s">
        <v>382</v>
      </c>
      <c r="D90" s="578">
        <f aca="true" t="shared" si="20" ref="D90:I90">+D89+D81</f>
        <v>3248206</v>
      </c>
      <c r="E90" s="250">
        <f t="shared" si="20"/>
        <v>815483</v>
      </c>
      <c r="F90" s="251">
        <f t="shared" si="20"/>
        <v>4063689</v>
      </c>
      <c r="G90" s="250">
        <f t="shared" si="20"/>
        <v>3326179</v>
      </c>
      <c r="H90" s="250">
        <f t="shared" si="20"/>
        <v>850915</v>
      </c>
      <c r="I90" s="251">
        <f t="shared" si="20"/>
        <v>4177094</v>
      </c>
      <c r="J90" s="16"/>
    </row>
    <row r="91" spans="2:10" s="1" customFormat="1" ht="16.5" thickBot="1">
      <c r="B91" s="212"/>
      <c r="C91" s="277"/>
      <c r="D91" s="11"/>
      <c r="E91" s="11"/>
      <c r="F91" s="11"/>
      <c r="J91" s="16"/>
    </row>
    <row r="92" spans="2:10" s="1" customFormat="1" ht="15.75" customHeight="1">
      <c r="B92" s="774" t="s">
        <v>30</v>
      </c>
      <c r="C92" s="780" t="s">
        <v>190</v>
      </c>
      <c r="D92" s="776" t="s">
        <v>383</v>
      </c>
      <c r="E92" s="777"/>
      <c r="F92" s="778"/>
      <c r="G92" s="776" t="s">
        <v>475</v>
      </c>
      <c r="H92" s="777"/>
      <c r="I92" s="778"/>
      <c r="J92" s="16"/>
    </row>
    <row r="93" spans="2:10" s="1" customFormat="1" ht="32.25" thickBot="1">
      <c r="B93" s="779"/>
      <c r="C93" s="781"/>
      <c r="D93" s="689" t="s">
        <v>436</v>
      </c>
      <c r="E93" s="488" t="s">
        <v>437</v>
      </c>
      <c r="F93" s="259" t="s">
        <v>193</v>
      </c>
      <c r="G93" s="542" t="s">
        <v>436</v>
      </c>
      <c r="H93" s="257" t="s">
        <v>437</v>
      </c>
      <c r="I93" s="259" t="s">
        <v>193</v>
      </c>
      <c r="J93" s="16"/>
    </row>
    <row r="94" spans="2:10" s="1" customFormat="1" ht="31.5">
      <c r="B94" s="490" t="s">
        <v>254</v>
      </c>
      <c r="C94" s="685" t="s">
        <v>393</v>
      </c>
      <c r="D94" s="690">
        <f aca="true" t="shared" si="21" ref="D94:I94">+D81-D35</f>
        <v>-22590</v>
      </c>
      <c r="E94" s="506">
        <f t="shared" si="21"/>
        <v>22590</v>
      </c>
      <c r="F94" s="507">
        <f t="shared" si="21"/>
        <v>0</v>
      </c>
      <c r="G94" s="506">
        <f t="shared" si="21"/>
        <v>-6946</v>
      </c>
      <c r="H94" s="506">
        <f t="shared" si="21"/>
        <v>6946</v>
      </c>
      <c r="I94" s="507">
        <f t="shared" si="21"/>
        <v>0</v>
      </c>
      <c r="J94" s="16"/>
    </row>
    <row r="95" spans="2:10" s="1" customFormat="1" ht="15.75">
      <c r="B95" s="504" t="s">
        <v>456</v>
      </c>
      <c r="C95" s="686" t="s">
        <v>455</v>
      </c>
      <c r="D95" s="691">
        <f aca="true" t="shared" si="22" ref="D95:I95">+D66-D20</f>
        <v>0</v>
      </c>
      <c r="E95" s="503">
        <f t="shared" si="22"/>
        <v>0</v>
      </c>
      <c r="F95" s="543">
        <f t="shared" si="22"/>
        <v>0</v>
      </c>
      <c r="G95" s="503">
        <f t="shared" si="22"/>
        <v>18977</v>
      </c>
      <c r="H95" s="503">
        <f t="shared" si="22"/>
        <v>5277</v>
      </c>
      <c r="I95" s="543">
        <f t="shared" si="22"/>
        <v>24254</v>
      </c>
      <c r="J95" s="16"/>
    </row>
    <row r="96" spans="2:10" s="1" customFormat="1" ht="15.75">
      <c r="B96" s="505" t="s">
        <v>457</v>
      </c>
      <c r="C96" s="687" t="s">
        <v>458</v>
      </c>
      <c r="D96" s="691">
        <f aca="true" t="shared" si="23" ref="D96:I96">+D80-D34</f>
        <v>-22590</v>
      </c>
      <c r="E96" s="503">
        <f t="shared" si="23"/>
        <v>22590</v>
      </c>
      <c r="F96" s="543">
        <f t="shared" si="23"/>
        <v>0</v>
      </c>
      <c r="G96" s="503">
        <f t="shared" si="23"/>
        <v>-25923</v>
      </c>
      <c r="H96" s="503">
        <f t="shared" si="23"/>
        <v>1669</v>
      </c>
      <c r="I96" s="543">
        <f t="shared" si="23"/>
        <v>-24254</v>
      </c>
      <c r="J96" s="16"/>
    </row>
    <row r="97" spans="2:10" s="1" customFormat="1" ht="32.25" thickBot="1">
      <c r="B97" s="492" t="s">
        <v>255</v>
      </c>
      <c r="C97" s="688" t="s">
        <v>394</v>
      </c>
      <c r="D97" s="692">
        <f aca="true" t="shared" si="24" ref="D97:I97">+D89-D46</f>
        <v>0</v>
      </c>
      <c r="E97" s="544">
        <f t="shared" si="24"/>
        <v>0</v>
      </c>
      <c r="F97" s="545">
        <f t="shared" si="24"/>
        <v>0</v>
      </c>
      <c r="G97" s="544">
        <f t="shared" si="24"/>
        <v>0</v>
      </c>
      <c r="H97" s="544">
        <f t="shared" si="24"/>
        <v>0</v>
      </c>
      <c r="I97" s="545">
        <f t="shared" si="24"/>
        <v>0</v>
      </c>
      <c r="J97" s="16"/>
    </row>
    <row r="98" spans="2:6" s="1" customFormat="1" ht="24" customHeight="1" thickBot="1">
      <c r="B98" s="546"/>
      <c r="C98" s="547"/>
      <c r="D98" s="548"/>
      <c r="E98" s="548"/>
      <c r="F98" s="548"/>
    </row>
    <row r="99" spans="2:6" s="1" customFormat="1" ht="15.75">
      <c r="B99" s="269"/>
      <c r="C99" s="277"/>
      <c r="D99" s="11"/>
      <c r="E99" s="11"/>
      <c r="F99" s="11"/>
    </row>
    <row r="100" spans="2:6" s="1" customFormat="1" ht="15.75">
      <c r="B100" s="269"/>
      <c r="C100" s="429"/>
      <c r="D100" s="496"/>
      <c r="E100" s="496"/>
      <c r="F100" s="497"/>
    </row>
    <row r="101" spans="2:6" s="1" customFormat="1" ht="15.75">
      <c r="B101" s="269"/>
      <c r="C101" s="429"/>
      <c r="D101" s="496"/>
      <c r="E101" s="496"/>
      <c r="F101" s="497"/>
    </row>
    <row r="102" spans="2:6" s="1" customFormat="1" ht="15.75">
      <c r="B102" s="269"/>
      <c r="C102" s="277"/>
      <c r="D102" s="11"/>
      <c r="E102" s="11"/>
      <c r="F102" s="11"/>
    </row>
    <row r="103" spans="2:6" s="1" customFormat="1" ht="15.75">
      <c r="B103" s="269"/>
      <c r="C103" s="277"/>
      <c r="D103" s="11"/>
      <c r="E103" s="11"/>
      <c r="F103" s="11"/>
    </row>
    <row r="104" spans="2:6" s="1" customFormat="1" ht="15.75">
      <c r="B104" s="269"/>
      <c r="C104" s="277"/>
      <c r="D104" s="10"/>
      <c r="E104" s="10"/>
      <c r="F104" s="10"/>
    </row>
    <row r="105" spans="2:7" s="1" customFormat="1" ht="15.75">
      <c r="B105" s="258"/>
      <c r="C105" s="277"/>
      <c r="D105" s="11"/>
      <c r="E105" s="11"/>
      <c r="F105" s="11"/>
      <c r="G105" s="531"/>
    </row>
    <row r="106" spans="2:6" s="1" customFormat="1" ht="15.75">
      <c r="B106" s="258"/>
      <c r="C106" s="277"/>
      <c r="D106" s="11"/>
      <c r="E106" s="11"/>
      <c r="F106" s="11"/>
    </row>
    <row r="107" spans="2:6" s="1" customFormat="1" ht="15.75">
      <c r="B107" s="258"/>
      <c r="C107" s="277"/>
      <c r="D107" s="11"/>
      <c r="E107" s="11"/>
      <c r="F107" s="11"/>
    </row>
    <row r="108" spans="2:6" s="1" customFormat="1" ht="15.75">
      <c r="B108" s="258"/>
      <c r="C108" s="277"/>
      <c r="D108" s="11"/>
      <c r="E108" s="11"/>
      <c r="F108" s="11"/>
    </row>
    <row r="109" spans="2:6" s="1" customFormat="1" ht="15.75">
      <c r="B109" s="258"/>
      <c r="C109" s="277"/>
      <c r="D109" s="11"/>
      <c r="E109" s="11"/>
      <c r="F109" s="11"/>
    </row>
    <row r="110" spans="2:6" s="1" customFormat="1" ht="15.75">
      <c r="B110" s="258"/>
      <c r="C110" s="277"/>
      <c r="D110" s="11"/>
      <c r="E110" s="11"/>
      <c r="F110" s="11"/>
    </row>
    <row r="111" spans="2:6" s="1" customFormat="1" ht="15.75">
      <c r="B111" s="258"/>
      <c r="C111" s="277"/>
      <c r="D111" s="11"/>
      <c r="E111" s="11"/>
      <c r="F111" s="11"/>
    </row>
    <row r="112" spans="2:6" s="1" customFormat="1" ht="15.75">
      <c r="B112" s="258"/>
      <c r="C112" s="277"/>
      <c r="D112" s="11"/>
      <c r="E112" s="11"/>
      <c r="F112" s="11"/>
    </row>
    <row r="113" spans="2:6" s="1" customFormat="1" ht="15.75">
      <c r="B113" s="258"/>
      <c r="C113" s="277"/>
      <c r="D113" s="11"/>
      <c r="E113" s="11"/>
      <c r="F113" s="11"/>
    </row>
    <row r="114" spans="2:6" s="1" customFormat="1" ht="15.75">
      <c r="B114" s="258"/>
      <c r="C114" s="277"/>
      <c r="D114" s="11"/>
      <c r="E114" s="11"/>
      <c r="F114" s="11"/>
    </row>
    <row r="115" spans="2:6" s="1" customFormat="1" ht="15.75">
      <c r="B115" s="258"/>
      <c r="C115" s="277"/>
      <c r="D115" s="11"/>
      <c r="E115" s="11"/>
      <c r="F115" s="11"/>
    </row>
    <row r="116" spans="2:6" s="1" customFormat="1" ht="15.75">
      <c r="B116" s="258"/>
      <c r="C116" s="277"/>
      <c r="D116" s="11"/>
      <c r="E116" s="11"/>
      <c r="F116" s="11"/>
    </row>
    <row r="117" spans="2:6" s="1" customFormat="1" ht="15.75">
      <c r="B117" s="258"/>
      <c r="C117" s="277"/>
      <c r="D117" s="11"/>
      <c r="E117" s="11"/>
      <c r="F117" s="11"/>
    </row>
    <row r="118" spans="2:6" s="1" customFormat="1" ht="15.75">
      <c r="B118" s="258"/>
      <c r="C118" s="277"/>
      <c r="D118" s="11"/>
      <c r="E118" s="11"/>
      <c r="F118" s="11"/>
    </row>
    <row r="119" spans="2:6" s="1" customFormat="1" ht="15.75">
      <c r="B119" s="258"/>
      <c r="C119" s="277"/>
      <c r="D119" s="11"/>
      <c r="E119" s="11"/>
      <c r="F119" s="11"/>
    </row>
    <row r="120" spans="2:6" s="1" customFormat="1" ht="15.75">
      <c r="B120" s="258"/>
      <c r="C120" s="277"/>
      <c r="D120" s="11"/>
      <c r="E120" s="11"/>
      <c r="F120" s="11"/>
    </row>
    <row r="121" spans="2:6" s="1" customFormat="1" ht="15.75">
      <c r="B121" s="258"/>
      <c r="C121" s="277"/>
      <c r="D121" s="11"/>
      <c r="E121" s="11"/>
      <c r="F121" s="11"/>
    </row>
    <row r="122" spans="2:6" s="1" customFormat="1" ht="15.75">
      <c r="B122" s="258"/>
      <c r="C122" s="277"/>
      <c r="D122" s="11"/>
      <c r="E122" s="11"/>
      <c r="F122" s="11"/>
    </row>
    <row r="123" spans="2:6" s="1" customFormat="1" ht="15.75">
      <c r="B123" s="258"/>
      <c r="C123" s="277"/>
      <c r="D123" s="11"/>
      <c r="E123" s="11"/>
      <c r="F123" s="11"/>
    </row>
    <row r="124" spans="2:6" s="1" customFormat="1" ht="15.75">
      <c r="B124" s="258"/>
      <c r="C124" s="277"/>
      <c r="D124" s="11"/>
      <c r="E124" s="11"/>
      <c r="F124" s="11"/>
    </row>
    <row r="125" spans="2:6" s="1" customFormat="1" ht="15.75">
      <c r="B125" s="258"/>
      <c r="C125" s="277"/>
      <c r="D125" s="11"/>
      <c r="E125" s="11"/>
      <c r="F125" s="11"/>
    </row>
    <row r="126" spans="2:6" s="1" customFormat="1" ht="15.75">
      <c r="B126" s="258"/>
      <c r="C126" s="277"/>
      <c r="D126" s="11"/>
      <c r="E126" s="11"/>
      <c r="F126" s="11"/>
    </row>
    <row r="127" spans="2:6" s="1" customFormat="1" ht="15.75">
      <c r="B127" s="258"/>
      <c r="C127" s="277"/>
      <c r="D127" s="11"/>
      <c r="E127" s="11"/>
      <c r="F127" s="11"/>
    </row>
    <row r="128" spans="2:6" s="1" customFormat="1" ht="15.75">
      <c r="B128" s="258"/>
      <c r="C128" s="277"/>
      <c r="D128" s="11"/>
      <c r="E128" s="11"/>
      <c r="F128" s="11"/>
    </row>
    <row r="129" spans="2:6" s="1" customFormat="1" ht="15.75">
      <c r="B129" s="258"/>
      <c r="C129" s="277"/>
      <c r="D129" s="11"/>
      <c r="E129" s="11"/>
      <c r="F129" s="11"/>
    </row>
    <row r="130" spans="2:6" s="1" customFormat="1" ht="15.75">
      <c r="B130" s="258"/>
      <c r="C130" s="277"/>
      <c r="D130" s="11"/>
      <c r="E130" s="11"/>
      <c r="F130" s="11"/>
    </row>
    <row r="131" spans="2:6" s="1" customFormat="1" ht="15.75">
      <c r="B131" s="258"/>
      <c r="C131" s="277"/>
      <c r="D131" s="11"/>
      <c r="E131" s="11"/>
      <c r="F131" s="11"/>
    </row>
    <row r="132" spans="2:6" s="1" customFormat="1" ht="15.75">
      <c r="B132" s="258"/>
      <c r="C132" s="277"/>
      <c r="D132" s="11"/>
      <c r="E132" s="11"/>
      <c r="F132" s="11"/>
    </row>
    <row r="133" spans="2:6" s="1" customFormat="1" ht="15.75">
      <c r="B133" s="258"/>
      <c r="C133" s="277"/>
      <c r="D133" s="11"/>
      <c r="E133" s="11"/>
      <c r="F133" s="11"/>
    </row>
    <row r="134" spans="2:6" s="1" customFormat="1" ht="15.75">
      <c r="B134" s="258"/>
      <c r="C134" s="277"/>
      <c r="D134" s="11"/>
      <c r="E134" s="11"/>
      <c r="F134" s="11"/>
    </row>
    <row r="135" spans="2:6" s="1" customFormat="1" ht="15.75">
      <c r="B135" s="258"/>
      <c r="C135" s="277"/>
      <c r="D135" s="11"/>
      <c r="E135" s="11"/>
      <c r="F135" s="11"/>
    </row>
    <row r="136" spans="2:6" s="1" customFormat="1" ht="15.75">
      <c r="B136" s="258"/>
      <c r="C136" s="277"/>
      <c r="D136" s="11"/>
      <c r="E136" s="11"/>
      <c r="F136" s="11"/>
    </row>
    <row r="137" spans="2:6" s="1" customFormat="1" ht="15.75">
      <c r="B137" s="258"/>
      <c r="C137" s="277"/>
      <c r="D137" s="11"/>
      <c r="E137" s="11"/>
      <c r="F137" s="11"/>
    </row>
    <row r="138" spans="2:6" s="1" customFormat="1" ht="15.75">
      <c r="B138" s="258"/>
      <c r="C138" s="277"/>
      <c r="D138" s="11"/>
      <c r="E138" s="11"/>
      <c r="F138" s="11"/>
    </row>
    <row r="139" spans="2:6" s="1" customFormat="1" ht="15.75">
      <c r="B139" s="258"/>
      <c r="C139" s="277"/>
      <c r="D139" s="11"/>
      <c r="E139" s="11"/>
      <c r="F139" s="11"/>
    </row>
    <row r="140" spans="2:6" s="1" customFormat="1" ht="15.75">
      <c r="B140" s="258"/>
      <c r="C140" s="277"/>
      <c r="D140" s="11"/>
      <c r="E140" s="11"/>
      <c r="F140" s="11"/>
    </row>
    <row r="141" spans="2:6" s="1" customFormat="1" ht="15.75">
      <c r="B141" s="258"/>
      <c r="C141" s="277"/>
      <c r="D141" s="11"/>
      <c r="E141" s="11"/>
      <c r="F141" s="11"/>
    </row>
    <row r="142" spans="2:6" s="1" customFormat="1" ht="15.75">
      <c r="B142" s="258"/>
      <c r="C142" s="277"/>
      <c r="D142" s="11"/>
      <c r="E142" s="11"/>
      <c r="F142" s="11"/>
    </row>
    <row r="143" spans="2:6" s="1" customFormat="1" ht="15.75">
      <c r="B143" s="258"/>
      <c r="C143" s="277"/>
      <c r="D143" s="11"/>
      <c r="E143" s="11"/>
      <c r="F143" s="11"/>
    </row>
    <row r="144" spans="2:6" s="1" customFormat="1" ht="15.75">
      <c r="B144" s="258"/>
      <c r="C144" s="277"/>
      <c r="D144" s="11"/>
      <c r="E144" s="11"/>
      <c r="F144" s="11"/>
    </row>
    <row r="145" spans="2:6" s="1" customFormat="1" ht="15.75">
      <c r="B145" s="258"/>
      <c r="C145" s="277"/>
      <c r="D145" s="11"/>
      <c r="E145" s="11"/>
      <c r="F145" s="11"/>
    </row>
    <row r="146" spans="2:6" s="1" customFormat="1" ht="15.75">
      <c r="B146" s="258"/>
      <c r="C146" s="277"/>
      <c r="D146" s="11"/>
      <c r="E146" s="11"/>
      <c r="F146" s="11"/>
    </row>
    <row r="147" spans="2:6" s="1" customFormat="1" ht="15.75">
      <c r="B147" s="258"/>
      <c r="C147" s="277"/>
      <c r="D147" s="11"/>
      <c r="E147" s="11"/>
      <c r="F147" s="11"/>
    </row>
    <row r="148" spans="2:6" s="1" customFormat="1" ht="15.75">
      <c r="B148" s="258"/>
      <c r="C148" s="277"/>
      <c r="D148" s="11"/>
      <c r="E148" s="11"/>
      <c r="F148" s="11"/>
    </row>
    <row r="149" spans="2:6" s="1" customFormat="1" ht="15.75">
      <c r="B149" s="258"/>
      <c r="C149" s="277"/>
      <c r="D149" s="11"/>
      <c r="E149" s="11"/>
      <c r="F149" s="11"/>
    </row>
    <row r="150" spans="2:6" s="1" customFormat="1" ht="15.75">
      <c r="B150" s="258"/>
      <c r="C150" s="277"/>
      <c r="D150" s="11"/>
      <c r="E150" s="11"/>
      <c r="F150" s="11"/>
    </row>
    <row r="151" spans="2:6" s="1" customFormat="1" ht="15.75">
      <c r="B151" s="258"/>
      <c r="C151" s="277"/>
      <c r="D151" s="11"/>
      <c r="E151" s="11"/>
      <c r="F151" s="11"/>
    </row>
    <row r="152" spans="2:6" s="1" customFormat="1" ht="15.75">
      <c r="B152" s="258"/>
      <c r="C152" s="277"/>
      <c r="D152" s="11"/>
      <c r="E152" s="11"/>
      <c r="F152" s="11"/>
    </row>
    <row r="153" spans="2:6" s="1" customFormat="1" ht="15.75">
      <c r="B153" s="258"/>
      <c r="C153" s="277"/>
      <c r="D153" s="11"/>
      <c r="E153" s="11"/>
      <c r="F153" s="11"/>
    </row>
    <row r="154" spans="2:6" s="1" customFormat="1" ht="15.75">
      <c r="B154" s="258"/>
      <c r="C154" s="277"/>
      <c r="D154" s="11"/>
      <c r="E154" s="11"/>
      <c r="F154" s="11"/>
    </row>
    <row r="155" spans="2:6" s="1" customFormat="1" ht="15.75">
      <c r="B155" s="258"/>
      <c r="C155" s="277"/>
      <c r="D155" s="11"/>
      <c r="E155" s="11"/>
      <c r="F155" s="11"/>
    </row>
    <row r="156" spans="2:6" s="1" customFormat="1" ht="15.75">
      <c r="B156" s="258"/>
      <c r="C156" s="277"/>
      <c r="D156" s="11"/>
      <c r="E156" s="11"/>
      <c r="F156" s="11"/>
    </row>
    <row r="157" spans="2:6" s="1" customFormat="1" ht="15.75">
      <c r="B157" s="258"/>
      <c r="C157" s="277"/>
      <c r="D157" s="11"/>
      <c r="E157" s="11"/>
      <c r="F157" s="11"/>
    </row>
    <row r="158" spans="2:6" s="1" customFormat="1" ht="15.75">
      <c r="B158" s="258"/>
      <c r="C158" s="277"/>
      <c r="D158" s="11"/>
      <c r="E158" s="11"/>
      <c r="F158" s="11"/>
    </row>
    <row r="159" spans="2:6" s="1" customFormat="1" ht="15.75">
      <c r="B159" s="258"/>
      <c r="C159" s="277"/>
      <c r="D159" s="11"/>
      <c r="E159" s="11"/>
      <c r="F159" s="11"/>
    </row>
    <row r="160" spans="2:6" s="1" customFormat="1" ht="15.75">
      <c r="B160" s="258"/>
      <c r="C160" s="277"/>
      <c r="D160" s="11"/>
      <c r="E160" s="11"/>
      <c r="F160" s="11"/>
    </row>
    <row r="161" spans="2:6" s="1" customFormat="1" ht="15.75">
      <c r="B161" s="258"/>
      <c r="C161" s="277"/>
      <c r="D161" s="11"/>
      <c r="E161" s="11"/>
      <c r="F161" s="11"/>
    </row>
    <row r="162" spans="2:6" s="1" customFormat="1" ht="15.75">
      <c r="B162" s="258"/>
      <c r="C162" s="277"/>
      <c r="D162" s="11"/>
      <c r="E162" s="11"/>
      <c r="F162" s="11"/>
    </row>
    <row r="163" spans="2:6" s="1" customFormat="1" ht="15.75">
      <c r="B163" s="258"/>
      <c r="C163" s="277"/>
      <c r="D163" s="11"/>
      <c r="E163" s="11"/>
      <c r="F163" s="11"/>
    </row>
    <row r="164" spans="2:6" s="1" customFormat="1" ht="15.75">
      <c r="B164" s="258"/>
      <c r="C164" s="277"/>
      <c r="D164" s="11"/>
      <c r="E164" s="11"/>
      <c r="F164" s="11"/>
    </row>
    <row r="165" spans="2:6" s="1" customFormat="1" ht="15.75">
      <c r="B165" s="258"/>
      <c r="C165" s="277"/>
      <c r="D165" s="11"/>
      <c r="E165" s="11"/>
      <c r="F165" s="11"/>
    </row>
    <row r="166" spans="2:6" s="1" customFormat="1" ht="15.75">
      <c r="B166" s="258"/>
      <c r="C166" s="277"/>
      <c r="D166" s="11"/>
      <c r="E166" s="11"/>
      <c r="F166" s="11"/>
    </row>
    <row r="167" spans="2:6" s="1" customFormat="1" ht="15.75">
      <c r="B167" s="258"/>
      <c r="C167" s="277"/>
      <c r="D167" s="11"/>
      <c r="E167" s="11"/>
      <c r="F167" s="11"/>
    </row>
    <row r="168" spans="2:6" s="1" customFormat="1" ht="15.75">
      <c r="B168" s="258"/>
      <c r="C168" s="277"/>
      <c r="D168" s="11"/>
      <c r="E168" s="11"/>
      <c r="F168" s="11"/>
    </row>
    <row r="169" spans="4:6" ht="15">
      <c r="D169" s="173"/>
      <c r="E169" s="173"/>
      <c r="F169" s="173"/>
    </row>
    <row r="170" spans="4:6" ht="15">
      <c r="D170" s="173"/>
      <c r="E170" s="173"/>
      <c r="F170" s="173"/>
    </row>
    <row r="171" spans="4:6" ht="15">
      <c r="D171" s="173"/>
      <c r="E171" s="173"/>
      <c r="F171" s="173"/>
    </row>
    <row r="172" spans="4:6" ht="15">
      <c r="D172" s="173"/>
      <c r="E172" s="173"/>
      <c r="F172" s="173"/>
    </row>
    <row r="173" spans="4:6" ht="15">
      <c r="D173" s="173"/>
      <c r="E173" s="173"/>
      <c r="F173" s="173"/>
    </row>
    <row r="174" spans="4:6" ht="15">
      <c r="D174" s="173"/>
      <c r="E174" s="173"/>
      <c r="F174" s="173"/>
    </row>
    <row r="175" spans="4:6" ht="15">
      <c r="D175" s="173"/>
      <c r="E175" s="173"/>
      <c r="F175" s="173"/>
    </row>
    <row r="176" spans="4:6" ht="15">
      <c r="D176" s="173"/>
      <c r="E176" s="173"/>
      <c r="F176" s="173"/>
    </row>
    <row r="177" spans="4:6" ht="15">
      <c r="D177" s="173"/>
      <c r="E177" s="173"/>
      <c r="F177" s="173"/>
    </row>
    <row r="178" spans="4:6" ht="15">
      <c r="D178" s="173"/>
      <c r="E178" s="173"/>
      <c r="F178" s="173"/>
    </row>
    <row r="179" spans="4:6" ht="15">
      <c r="D179" s="173"/>
      <c r="E179" s="173"/>
      <c r="F179" s="173"/>
    </row>
    <row r="180" spans="4:6" ht="15">
      <c r="D180" s="173"/>
      <c r="E180" s="173"/>
      <c r="F180" s="173"/>
    </row>
    <row r="181" spans="4:6" ht="15">
      <c r="D181" s="173"/>
      <c r="E181" s="173"/>
      <c r="F181" s="173"/>
    </row>
    <row r="182" spans="4:6" ht="15">
      <c r="D182" s="173"/>
      <c r="E182" s="173"/>
      <c r="F182" s="173"/>
    </row>
    <row r="183" spans="4:6" ht="15">
      <c r="D183" s="173"/>
      <c r="E183" s="173"/>
      <c r="F183" s="173"/>
    </row>
    <row r="184" spans="4:6" ht="15">
      <c r="D184" s="173"/>
      <c r="E184" s="173"/>
      <c r="F184" s="173"/>
    </row>
    <row r="185" spans="4:6" ht="15">
      <c r="D185" s="173"/>
      <c r="E185" s="173"/>
      <c r="F185" s="173"/>
    </row>
    <row r="186" spans="4:6" ht="15">
      <c r="D186" s="173"/>
      <c r="E186" s="173"/>
      <c r="F186" s="173"/>
    </row>
    <row r="187" spans="4:6" ht="15">
      <c r="D187" s="173"/>
      <c r="E187" s="173"/>
      <c r="F187" s="173"/>
    </row>
    <row r="188" spans="4:6" ht="15">
      <c r="D188" s="173"/>
      <c r="E188" s="173"/>
      <c r="F188" s="173"/>
    </row>
    <row r="189" spans="4:6" ht="15">
      <c r="D189" s="173"/>
      <c r="E189" s="173"/>
      <c r="F189" s="173"/>
    </row>
    <row r="190" spans="4:6" ht="15">
      <c r="D190" s="173"/>
      <c r="E190" s="173"/>
      <c r="F190" s="173"/>
    </row>
    <row r="191" spans="4:6" ht="15">
      <c r="D191" s="173"/>
      <c r="E191" s="173"/>
      <c r="F191" s="173"/>
    </row>
    <row r="192" spans="4:6" ht="15">
      <c r="D192" s="173"/>
      <c r="E192" s="173"/>
      <c r="F192" s="173"/>
    </row>
    <row r="193" spans="4:6" ht="15">
      <c r="D193" s="173"/>
      <c r="E193" s="173"/>
      <c r="F193" s="173"/>
    </row>
    <row r="194" spans="4:6" ht="15">
      <c r="D194" s="173"/>
      <c r="E194" s="173"/>
      <c r="F194" s="173"/>
    </row>
    <row r="195" spans="4:6" ht="15">
      <c r="D195" s="173"/>
      <c r="E195" s="173"/>
      <c r="F195" s="173"/>
    </row>
    <row r="196" spans="4:6" ht="15">
      <c r="D196" s="173"/>
      <c r="E196" s="173"/>
      <c r="F196" s="173"/>
    </row>
    <row r="197" spans="4:6" ht="15">
      <c r="D197" s="173"/>
      <c r="E197" s="173"/>
      <c r="F197" s="173"/>
    </row>
    <row r="198" spans="4:6" ht="15">
      <c r="D198" s="173"/>
      <c r="E198" s="173"/>
      <c r="F198" s="173"/>
    </row>
    <row r="199" spans="4:6" ht="15">
      <c r="D199" s="173"/>
      <c r="E199" s="173"/>
      <c r="F199" s="173"/>
    </row>
    <row r="200" spans="4:6" ht="15">
      <c r="D200" s="173"/>
      <c r="E200" s="173"/>
      <c r="F200" s="173"/>
    </row>
    <row r="201" spans="4:6" ht="15">
      <c r="D201" s="173"/>
      <c r="E201" s="173"/>
      <c r="F201" s="173"/>
    </row>
    <row r="202" spans="4:6" ht="15">
      <c r="D202" s="173"/>
      <c r="E202" s="173"/>
      <c r="F202" s="173"/>
    </row>
    <row r="203" spans="4:6" ht="15">
      <c r="D203" s="173"/>
      <c r="E203" s="173"/>
      <c r="F203" s="173"/>
    </row>
    <row r="204" spans="4:6" ht="15">
      <c r="D204" s="173"/>
      <c r="E204" s="173"/>
      <c r="F204" s="173"/>
    </row>
    <row r="205" spans="4:6" ht="15">
      <c r="D205" s="173"/>
      <c r="E205" s="173"/>
      <c r="F205" s="173"/>
    </row>
    <row r="206" spans="4:6" ht="15">
      <c r="D206" s="173"/>
      <c r="E206" s="173"/>
      <c r="F206" s="173"/>
    </row>
    <row r="207" spans="4:6" ht="15">
      <c r="D207" s="173"/>
      <c r="E207" s="173"/>
      <c r="F207" s="173"/>
    </row>
    <row r="208" spans="4:6" ht="15">
      <c r="D208" s="173"/>
      <c r="E208" s="173"/>
      <c r="F208" s="173"/>
    </row>
    <row r="209" spans="4:6" ht="15">
      <c r="D209" s="173"/>
      <c r="E209" s="173"/>
      <c r="F209" s="173"/>
    </row>
    <row r="210" spans="4:6" ht="15">
      <c r="D210" s="173"/>
      <c r="E210" s="173"/>
      <c r="F210" s="173"/>
    </row>
    <row r="211" spans="4:6" ht="15">
      <c r="D211" s="173"/>
      <c r="E211" s="173"/>
      <c r="F211" s="173"/>
    </row>
    <row r="212" spans="4:6" ht="15">
      <c r="D212" s="173"/>
      <c r="E212" s="173"/>
      <c r="F212" s="173"/>
    </row>
    <row r="213" spans="4:6" ht="15">
      <c r="D213" s="173"/>
      <c r="E213" s="173"/>
      <c r="F213" s="173"/>
    </row>
    <row r="214" spans="4:6" ht="15">
      <c r="D214" s="173"/>
      <c r="E214" s="173"/>
      <c r="F214" s="173"/>
    </row>
    <row r="215" spans="4:6" ht="15">
      <c r="D215" s="173"/>
      <c r="E215" s="173"/>
      <c r="F215" s="173"/>
    </row>
    <row r="216" spans="4:6" ht="15">
      <c r="D216" s="173"/>
      <c r="E216" s="173"/>
      <c r="F216" s="173"/>
    </row>
    <row r="217" spans="4:6" ht="15">
      <c r="D217" s="173"/>
      <c r="E217" s="173"/>
      <c r="F217" s="173"/>
    </row>
    <row r="218" spans="4:6" ht="15">
      <c r="D218" s="173"/>
      <c r="E218" s="173"/>
      <c r="F218" s="173"/>
    </row>
    <row r="219" spans="4:6" ht="15">
      <c r="D219" s="173"/>
      <c r="E219" s="173"/>
      <c r="F219" s="173"/>
    </row>
    <row r="220" spans="4:6" ht="15">
      <c r="D220" s="173"/>
      <c r="E220" s="173"/>
      <c r="F220" s="173"/>
    </row>
    <row r="221" spans="4:6" ht="15">
      <c r="D221" s="173"/>
      <c r="E221" s="173"/>
      <c r="F221" s="173"/>
    </row>
    <row r="222" spans="4:6" ht="15">
      <c r="D222" s="173"/>
      <c r="E222" s="173"/>
      <c r="F222" s="173"/>
    </row>
    <row r="223" spans="4:6" ht="15">
      <c r="D223" s="173"/>
      <c r="E223" s="173"/>
      <c r="F223" s="173"/>
    </row>
    <row r="224" spans="4:6" ht="15">
      <c r="D224" s="173"/>
      <c r="E224" s="173"/>
      <c r="F224" s="173"/>
    </row>
  </sheetData>
  <mergeCells count="12">
    <mergeCell ref="G6:I6"/>
    <mergeCell ref="G50:I50"/>
    <mergeCell ref="G92:I92"/>
    <mergeCell ref="D6:F6"/>
    <mergeCell ref="D50:F50"/>
    <mergeCell ref="C50:C51"/>
    <mergeCell ref="B6:B7"/>
    <mergeCell ref="B50:B51"/>
    <mergeCell ref="D92:F92"/>
    <mergeCell ref="B92:B93"/>
    <mergeCell ref="C92:C93"/>
    <mergeCell ref="C6:C7"/>
  </mergeCells>
  <printOptions/>
  <pageMargins left="0.34" right="0.2" top="0.62" bottom="0.69" header="0.5118110236220472" footer="0.5118110236220472"/>
  <pageSetup horizontalDpi="600" verticalDpi="600" orientation="portrait" paperSize="9" scale="71" r:id="rId1"/>
  <headerFooter alignWithMargins="0">
    <oddFooter>&amp;R&amp;P</oddFooter>
  </headerFooter>
  <rowBreaks count="1" manualBreakCount="1">
    <brk id="48" min="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workbookViewId="0" topLeftCell="A1">
      <selection activeCell="M2" sqref="M2"/>
    </sheetView>
  </sheetViews>
  <sheetFormatPr defaultColWidth="9.140625" defaultRowHeight="12.75"/>
  <cols>
    <col min="1" max="1" width="20.7109375" style="356" customWidth="1"/>
    <col min="2" max="5" width="8.7109375" style="357" customWidth="1"/>
    <col min="6" max="6" width="9.7109375" style="357" customWidth="1"/>
    <col min="7" max="7" width="5.421875" style="357" customWidth="1"/>
    <col min="8" max="8" width="20.140625" style="357" customWidth="1"/>
    <col min="9" max="10" width="8.7109375" style="357" customWidth="1"/>
    <col min="11" max="12" width="8.7109375" style="224" customWidth="1"/>
    <col min="13" max="13" width="10.7109375" style="224" customWidth="1"/>
    <col min="14" max="16384" width="9.140625" style="224" customWidth="1"/>
  </cols>
  <sheetData>
    <row r="1" ht="15.75">
      <c r="M1" s="358" t="s">
        <v>331</v>
      </c>
    </row>
    <row r="2" ht="15.75">
      <c r="M2" s="10" t="s">
        <v>473</v>
      </c>
    </row>
    <row r="3" ht="15.75">
      <c r="M3" s="358"/>
    </row>
    <row r="5" spans="1:13" ht="15.75">
      <c r="A5" s="855" t="s">
        <v>359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</row>
    <row r="8" spans="1:13" ht="15.75" customHeight="1">
      <c r="A8" s="854" t="s">
        <v>360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</row>
    <row r="9" spans="1:13" ht="16.5" thickBot="1">
      <c r="A9" s="359"/>
      <c r="B9" s="360"/>
      <c r="C9" s="360"/>
      <c r="D9" s="360"/>
      <c r="E9" s="360"/>
      <c r="F9" s="361" t="s">
        <v>259</v>
      </c>
      <c r="M9" s="361" t="s">
        <v>259</v>
      </c>
    </row>
    <row r="10" spans="1:13" ht="32.25" thickBot="1">
      <c r="A10" s="362" t="s">
        <v>361</v>
      </c>
      <c r="B10" s="363" t="s">
        <v>362</v>
      </c>
      <c r="C10" s="363" t="s">
        <v>363</v>
      </c>
      <c r="D10" s="363" t="s">
        <v>299</v>
      </c>
      <c r="E10" s="363" t="s">
        <v>430</v>
      </c>
      <c r="F10" s="364" t="s">
        <v>29</v>
      </c>
      <c r="H10" s="362" t="s">
        <v>364</v>
      </c>
      <c r="I10" s="363" t="s">
        <v>362</v>
      </c>
      <c r="J10" s="363" t="s">
        <v>363</v>
      </c>
      <c r="K10" s="363" t="s">
        <v>299</v>
      </c>
      <c r="L10" s="363" t="s">
        <v>430</v>
      </c>
      <c r="M10" s="364" t="s">
        <v>29</v>
      </c>
    </row>
    <row r="11" spans="1:13" ht="15.75">
      <c r="A11" s="365" t="s">
        <v>365</v>
      </c>
      <c r="B11" s="366"/>
      <c r="C11" s="366"/>
      <c r="D11" s="366"/>
      <c r="E11" s="418"/>
      <c r="F11" s="367">
        <f>SUM(B11:E11)</f>
        <v>0</v>
      </c>
      <c r="H11" s="365" t="s">
        <v>366</v>
      </c>
      <c r="I11" s="366">
        <v>822</v>
      </c>
      <c r="J11" s="366">
        <v>2467</v>
      </c>
      <c r="K11" s="366">
        <v>1644</v>
      </c>
      <c r="L11" s="418">
        <v>0</v>
      </c>
      <c r="M11" s="367">
        <f>SUM(I11:L11)</f>
        <v>4933</v>
      </c>
    </row>
    <row r="12" spans="1:13" ht="15.75">
      <c r="A12" s="368" t="s">
        <v>429</v>
      </c>
      <c r="B12" s="369"/>
      <c r="C12" s="369"/>
      <c r="D12" s="369"/>
      <c r="E12" s="419"/>
      <c r="F12" s="367">
        <f aca="true" t="shared" si="0" ref="F12:F17">SUM(B12:E12)</f>
        <v>0</v>
      </c>
      <c r="H12" s="370" t="s">
        <v>367</v>
      </c>
      <c r="I12" s="371"/>
      <c r="J12" s="371"/>
      <c r="K12" s="371"/>
      <c r="L12" s="420"/>
      <c r="M12" s="367">
        <f aca="true" t="shared" si="1" ref="M12:M17">SUM(I12:L12)</f>
        <v>0</v>
      </c>
    </row>
    <row r="13" spans="1:13" ht="31.5">
      <c r="A13" s="370" t="s">
        <v>368</v>
      </c>
      <c r="B13" s="371">
        <v>5066</v>
      </c>
      <c r="C13" s="371">
        <v>11558</v>
      </c>
      <c r="D13" s="371">
        <v>3717</v>
      </c>
      <c r="E13" s="420">
        <v>0</v>
      </c>
      <c r="F13" s="367">
        <f t="shared" si="0"/>
        <v>20341</v>
      </c>
      <c r="H13" s="372" t="s">
        <v>369</v>
      </c>
      <c r="I13" s="371"/>
      <c r="J13" s="371"/>
      <c r="K13" s="371"/>
      <c r="L13" s="420"/>
      <c r="M13" s="367">
        <f t="shared" si="1"/>
        <v>0</v>
      </c>
    </row>
    <row r="14" spans="1:13" ht="15.75">
      <c r="A14" s="370" t="s">
        <v>370</v>
      </c>
      <c r="B14" s="371"/>
      <c r="C14" s="371"/>
      <c r="D14" s="371"/>
      <c r="E14" s="420"/>
      <c r="F14" s="367">
        <f t="shared" si="0"/>
        <v>0</v>
      </c>
      <c r="H14" s="372" t="s">
        <v>371</v>
      </c>
      <c r="I14" s="371">
        <f>B13-I11</f>
        <v>4244</v>
      </c>
      <c r="J14" s="371">
        <f>C13-J11</f>
        <v>9091</v>
      </c>
      <c r="K14" s="371">
        <f>D13-K11</f>
        <v>2073</v>
      </c>
      <c r="L14" s="420">
        <v>0</v>
      </c>
      <c r="M14" s="367">
        <f t="shared" si="1"/>
        <v>15408</v>
      </c>
    </row>
    <row r="15" spans="1:13" ht="15.75">
      <c r="A15" s="370" t="s">
        <v>372</v>
      </c>
      <c r="B15" s="371"/>
      <c r="C15" s="371"/>
      <c r="D15" s="371"/>
      <c r="E15" s="420"/>
      <c r="F15" s="367">
        <f t="shared" si="0"/>
        <v>0</v>
      </c>
      <c r="H15" s="370"/>
      <c r="I15" s="371"/>
      <c r="J15" s="371"/>
      <c r="K15" s="371"/>
      <c r="L15" s="420"/>
      <c r="M15" s="367">
        <f t="shared" si="1"/>
        <v>0</v>
      </c>
    </row>
    <row r="16" spans="1:13" ht="15.75">
      <c r="A16" s="370" t="s">
        <v>373</v>
      </c>
      <c r="B16" s="371"/>
      <c r="C16" s="371"/>
      <c r="D16" s="371"/>
      <c r="E16" s="420"/>
      <c r="F16" s="367">
        <f t="shared" si="0"/>
        <v>0</v>
      </c>
      <c r="H16" s="370"/>
      <c r="I16" s="371"/>
      <c r="J16" s="371"/>
      <c r="K16" s="371"/>
      <c r="L16" s="420"/>
      <c r="M16" s="367">
        <f t="shared" si="1"/>
        <v>0</v>
      </c>
    </row>
    <row r="17" spans="1:13" ht="16.5" thickBot="1">
      <c r="A17" s="373"/>
      <c r="B17" s="374"/>
      <c r="C17" s="374"/>
      <c r="D17" s="374"/>
      <c r="E17" s="421"/>
      <c r="F17" s="367">
        <f t="shared" si="0"/>
        <v>0</v>
      </c>
      <c r="H17" s="373"/>
      <c r="I17" s="374"/>
      <c r="J17" s="374"/>
      <c r="K17" s="374"/>
      <c r="L17" s="421"/>
      <c r="M17" s="367">
        <f t="shared" si="1"/>
        <v>0</v>
      </c>
    </row>
    <row r="18" spans="1:13" ht="16.5" thickBot="1">
      <c r="A18" s="362" t="s">
        <v>374</v>
      </c>
      <c r="B18" s="375">
        <f>(+B11+B13+B14+B15+B16)</f>
        <v>5066</v>
      </c>
      <c r="C18" s="375">
        <f>(+C11+C13+C14+C15+C16)</f>
        <v>11558</v>
      </c>
      <c r="D18" s="375">
        <f>(+D11+D13+D14+D15+D16)</f>
        <v>3717</v>
      </c>
      <c r="E18" s="375">
        <f>(+E11+E13+E14+E15+E16)</f>
        <v>0</v>
      </c>
      <c r="F18" s="376">
        <f>SUM(B18:E18)</f>
        <v>20341</v>
      </c>
      <c r="H18" s="362" t="s">
        <v>29</v>
      </c>
      <c r="I18" s="375">
        <f>SUM(I11:I14)</f>
        <v>5066</v>
      </c>
      <c r="J18" s="375">
        <f>SUM(J11:J14)</f>
        <v>11558</v>
      </c>
      <c r="K18" s="375">
        <f>SUM(K11:K14)</f>
        <v>3717</v>
      </c>
      <c r="L18" s="375">
        <f>SUM(L11:L14)</f>
        <v>0</v>
      </c>
      <c r="M18" s="376">
        <f>SUM(I18:L18)</f>
        <v>20341</v>
      </c>
    </row>
    <row r="20" spans="1:13" ht="15.75" customHeight="1">
      <c r="A20" s="854" t="s">
        <v>375</v>
      </c>
      <c r="B20" s="854"/>
      <c r="C20" s="854"/>
      <c r="D20" s="854"/>
      <c r="E20" s="854"/>
      <c r="F20" s="854"/>
      <c r="G20" s="854"/>
      <c r="H20" s="854"/>
      <c r="I20" s="854"/>
      <c r="J20" s="854"/>
      <c r="K20" s="854"/>
      <c r="L20" s="854"/>
      <c r="M20" s="854"/>
    </row>
    <row r="21" spans="1:13" ht="16.5" thickBot="1">
      <c r="A21" s="359"/>
      <c r="B21" s="360"/>
      <c r="C21" s="360"/>
      <c r="D21" s="360"/>
      <c r="E21" s="360"/>
      <c r="F21" s="361" t="s">
        <v>259</v>
      </c>
      <c r="M21" s="361" t="s">
        <v>259</v>
      </c>
    </row>
    <row r="22" spans="1:13" ht="32.25" thickBot="1">
      <c r="A22" s="362" t="s">
        <v>361</v>
      </c>
      <c r="B22" s="363" t="s">
        <v>362</v>
      </c>
      <c r="C22" s="363" t="s">
        <v>363</v>
      </c>
      <c r="D22" s="363" t="s">
        <v>299</v>
      </c>
      <c r="E22" s="363" t="s">
        <v>430</v>
      </c>
      <c r="F22" s="364" t="s">
        <v>29</v>
      </c>
      <c r="H22" s="362" t="s">
        <v>364</v>
      </c>
      <c r="I22" s="363" t="s">
        <v>362</v>
      </c>
      <c r="J22" s="363" t="s">
        <v>363</v>
      </c>
      <c r="K22" s="363" t="s">
        <v>299</v>
      </c>
      <c r="L22" s="363" t="s">
        <v>430</v>
      </c>
      <c r="M22" s="364" t="s">
        <v>29</v>
      </c>
    </row>
    <row r="23" spans="1:13" ht="15.75">
      <c r="A23" s="365" t="s">
        <v>365</v>
      </c>
      <c r="B23" s="366"/>
      <c r="C23" s="366"/>
      <c r="D23" s="366">
        <v>0</v>
      </c>
      <c r="E23" s="418">
        <v>0</v>
      </c>
      <c r="F23" s="367">
        <f>SUM(B23:E23)</f>
        <v>0</v>
      </c>
      <c r="H23" s="365" t="s">
        <v>366</v>
      </c>
      <c r="I23" s="366">
        <v>0</v>
      </c>
      <c r="J23" s="366">
        <v>0</v>
      </c>
      <c r="K23" s="366">
        <v>6000</v>
      </c>
      <c r="L23" s="418">
        <v>0</v>
      </c>
      <c r="M23" s="367">
        <f>SUM(I23:L23)</f>
        <v>6000</v>
      </c>
    </row>
    <row r="24" spans="1:13" ht="15.75">
      <c r="A24" s="368" t="s">
        <v>429</v>
      </c>
      <c r="B24" s="369"/>
      <c r="C24" s="369"/>
      <c r="D24" s="369"/>
      <c r="E24" s="419"/>
      <c r="F24" s="367">
        <f aca="true" t="shared" si="2" ref="F24:F29">SUM(B24:E24)</f>
        <v>0</v>
      </c>
      <c r="H24" s="370" t="s">
        <v>367</v>
      </c>
      <c r="I24" s="371"/>
      <c r="J24" s="371"/>
      <c r="K24" s="371"/>
      <c r="L24" s="420"/>
      <c r="M24" s="367">
        <f aca="true" t="shared" si="3" ref="M24:M29">SUM(I24:L24)</f>
        <v>0</v>
      </c>
    </row>
    <row r="25" spans="1:13" ht="31.5">
      <c r="A25" s="370" t="s">
        <v>368</v>
      </c>
      <c r="B25" s="371">
        <v>0</v>
      </c>
      <c r="C25" s="422">
        <v>0</v>
      </c>
      <c r="D25" s="422">
        <f>108879+37680</f>
        <v>146559</v>
      </c>
      <c r="E25" s="420">
        <v>0</v>
      </c>
      <c r="F25" s="367">
        <f t="shared" si="2"/>
        <v>146559</v>
      </c>
      <c r="H25" s="372" t="s">
        <v>369</v>
      </c>
      <c r="I25" s="371">
        <v>0</v>
      </c>
      <c r="J25" s="371">
        <v>0</v>
      </c>
      <c r="K25" s="371">
        <f>97500+6559</f>
        <v>104059</v>
      </c>
      <c r="L25" s="420">
        <v>0</v>
      </c>
      <c r="M25" s="367">
        <f t="shared" si="3"/>
        <v>104059</v>
      </c>
    </row>
    <row r="26" spans="1:13" ht="15.75">
      <c r="A26" s="370" t="s">
        <v>370</v>
      </c>
      <c r="B26" s="371"/>
      <c r="C26" s="371"/>
      <c r="D26" s="371"/>
      <c r="E26" s="420"/>
      <c r="F26" s="367">
        <f t="shared" si="2"/>
        <v>0</v>
      </c>
      <c r="H26" s="372" t="s">
        <v>371</v>
      </c>
      <c r="I26" s="371">
        <v>0</v>
      </c>
      <c r="J26" s="371">
        <v>6096</v>
      </c>
      <c r="K26" s="371">
        <v>30404</v>
      </c>
      <c r="L26" s="420">
        <v>0</v>
      </c>
      <c r="M26" s="367">
        <f t="shared" si="3"/>
        <v>36500</v>
      </c>
    </row>
    <row r="27" spans="1:13" ht="15.75">
      <c r="A27" s="370" t="s">
        <v>372</v>
      </c>
      <c r="B27" s="371"/>
      <c r="C27" s="371"/>
      <c r="D27" s="371"/>
      <c r="E27" s="420"/>
      <c r="F27" s="367">
        <f t="shared" si="2"/>
        <v>0</v>
      </c>
      <c r="H27" s="370"/>
      <c r="I27" s="371"/>
      <c r="J27" s="371"/>
      <c r="K27" s="371"/>
      <c r="L27" s="420"/>
      <c r="M27" s="367">
        <f t="shared" si="3"/>
        <v>0</v>
      </c>
    </row>
    <row r="28" spans="1:13" ht="15.75">
      <c r="A28" s="370" t="s">
        <v>373</v>
      </c>
      <c r="B28" s="371"/>
      <c r="C28" s="371"/>
      <c r="D28" s="371"/>
      <c r="E28" s="420"/>
      <c r="F28" s="367">
        <f t="shared" si="2"/>
        <v>0</v>
      </c>
      <c r="H28" s="370"/>
      <c r="I28" s="371"/>
      <c r="J28" s="371"/>
      <c r="K28" s="371"/>
      <c r="L28" s="420"/>
      <c r="M28" s="367">
        <f t="shared" si="3"/>
        <v>0</v>
      </c>
    </row>
    <row r="29" spans="1:13" ht="16.5" thickBot="1">
      <c r="A29" s="373"/>
      <c r="B29" s="374"/>
      <c r="C29" s="374"/>
      <c r="D29" s="374"/>
      <c r="E29" s="421"/>
      <c r="F29" s="367">
        <f t="shared" si="2"/>
        <v>0</v>
      </c>
      <c r="H29" s="373"/>
      <c r="I29" s="374"/>
      <c r="J29" s="374"/>
      <c r="K29" s="374"/>
      <c r="L29" s="421"/>
      <c r="M29" s="367">
        <f t="shared" si="3"/>
        <v>0</v>
      </c>
    </row>
    <row r="30" spans="1:13" ht="16.5" thickBot="1">
      <c r="A30" s="362" t="s">
        <v>374</v>
      </c>
      <c r="B30" s="375">
        <f>(+B23+B25+B26+B27+B28)</f>
        <v>0</v>
      </c>
      <c r="C30" s="375">
        <f>(+C23+C25+C26+C27+C28)</f>
        <v>0</v>
      </c>
      <c r="D30" s="375">
        <f>(+D23+D25+D26+D27+D28)</f>
        <v>146559</v>
      </c>
      <c r="E30" s="375">
        <f>(+E23+E25+E26+E27+E28)</f>
        <v>0</v>
      </c>
      <c r="F30" s="376">
        <f>SUM(B30:E30)</f>
        <v>146559</v>
      </c>
      <c r="H30" s="362" t="s">
        <v>29</v>
      </c>
      <c r="I30" s="375">
        <f>SUM(I23:I26)</f>
        <v>0</v>
      </c>
      <c r="J30" s="375">
        <f>SUM(J23:J26)</f>
        <v>6096</v>
      </c>
      <c r="K30" s="375">
        <f>SUM(K23:K26)</f>
        <v>140463</v>
      </c>
      <c r="L30" s="375">
        <f>SUM(L23:L26)</f>
        <v>0</v>
      </c>
      <c r="M30" s="376">
        <f>SUM(I30:L30)</f>
        <v>146559</v>
      </c>
    </row>
    <row r="32" spans="1:13" ht="15.75" customHeight="1">
      <c r="A32" s="854" t="s">
        <v>434</v>
      </c>
      <c r="B32" s="854"/>
      <c r="C32" s="854"/>
      <c r="D32" s="854"/>
      <c r="E32" s="854"/>
      <c r="F32" s="854"/>
      <c r="G32" s="854"/>
      <c r="H32" s="854"/>
      <c r="I32" s="854"/>
      <c r="J32" s="854"/>
      <c r="K32" s="854"/>
      <c r="L32" s="854"/>
      <c r="M32" s="854"/>
    </row>
    <row r="33" spans="1:13" ht="16.5" thickBot="1">
      <c r="A33" s="359"/>
      <c r="B33" s="360"/>
      <c r="C33" s="360"/>
      <c r="D33" s="360"/>
      <c r="E33" s="360"/>
      <c r="F33" s="361" t="s">
        <v>259</v>
      </c>
      <c r="M33" s="361" t="s">
        <v>259</v>
      </c>
    </row>
    <row r="34" spans="1:13" ht="32.25" thickBot="1">
      <c r="A34" s="362" t="s">
        <v>361</v>
      </c>
      <c r="B34" s="363" t="s">
        <v>362</v>
      </c>
      <c r="C34" s="363" t="s">
        <v>363</v>
      </c>
      <c r="D34" s="363" t="s">
        <v>299</v>
      </c>
      <c r="E34" s="363" t="s">
        <v>430</v>
      </c>
      <c r="F34" s="364" t="s">
        <v>29</v>
      </c>
      <c r="H34" s="362" t="s">
        <v>364</v>
      </c>
      <c r="I34" s="363" t="s">
        <v>362</v>
      </c>
      <c r="J34" s="363" t="s">
        <v>363</v>
      </c>
      <c r="K34" s="363" t="s">
        <v>299</v>
      </c>
      <c r="L34" s="363" t="s">
        <v>430</v>
      </c>
      <c r="M34" s="364" t="s">
        <v>29</v>
      </c>
    </row>
    <row r="35" spans="1:13" ht="15.75">
      <c r="A35" s="365" t="s">
        <v>365</v>
      </c>
      <c r="B35" s="366">
        <v>0</v>
      </c>
      <c r="C35" s="366">
        <v>0</v>
      </c>
      <c r="D35" s="366">
        <v>0</v>
      </c>
      <c r="E35" s="418">
        <v>0</v>
      </c>
      <c r="F35" s="367">
        <f>SUM(B35:E35)</f>
        <v>0</v>
      </c>
      <c r="H35" s="365" t="s">
        <v>366</v>
      </c>
      <c r="I35" s="366"/>
      <c r="J35" s="366"/>
      <c r="K35" s="366"/>
      <c r="L35" s="418"/>
      <c r="M35" s="367">
        <f>SUM(I35:L35)</f>
        <v>0</v>
      </c>
    </row>
    <row r="36" spans="1:13" ht="15.75">
      <c r="A36" s="368" t="s">
        <v>429</v>
      </c>
      <c r="B36" s="369"/>
      <c r="C36" s="369"/>
      <c r="D36" s="369"/>
      <c r="E36" s="419"/>
      <c r="F36" s="367">
        <f aca="true" t="shared" si="4" ref="F36:F41">SUM(B36:E36)</f>
        <v>0</v>
      </c>
      <c r="H36" s="370" t="s">
        <v>367</v>
      </c>
      <c r="I36" s="371"/>
      <c r="J36" s="371"/>
      <c r="K36" s="371"/>
      <c r="L36" s="420"/>
      <c r="M36" s="367">
        <f aca="true" t="shared" si="5" ref="M36:M41">SUM(I36:L36)</f>
        <v>0</v>
      </c>
    </row>
    <row r="37" spans="1:13" ht="31.5">
      <c r="A37" s="370" t="s">
        <v>368</v>
      </c>
      <c r="B37" s="371">
        <v>0</v>
      </c>
      <c r="C37" s="371">
        <v>0</v>
      </c>
      <c r="D37" s="423">
        <v>12272</v>
      </c>
      <c r="E37" s="423"/>
      <c r="F37" s="367">
        <f t="shared" si="4"/>
        <v>12272</v>
      </c>
      <c r="H37" s="372" t="s">
        <v>369</v>
      </c>
      <c r="I37" s="371">
        <v>0</v>
      </c>
      <c r="J37" s="371">
        <v>0</v>
      </c>
      <c r="K37" s="423">
        <v>12272</v>
      </c>
      <c r="L37" s="423"/>
      <c r="M37" s="367">
        <f t="shared" si="5"/>
        <v>12272</v>
      </c>
    </row>
    <row r="38" spans="1:13" ht="15.75">
      <c r="A38" s="370" t="s">
        <v>370</v>
      </c>
      <c r="B38" s="371"/>
      <c r="C38" s="371"/>
      <c r="D38" s="371"/>
      <c r="E38" s="420"/>
      <c r="F38" s="367">
        <f t="shared" si="4"/>
        <v>0</v>
      </c>
      <c r="H38" s="372" t="s">
        <v>371</v>
      </c>
      <c r="I38" s="371"/>
      <c r="J38" s="371"/>
      <c r="K38" s="371"/>
      <c r="L38" s="420"/>
      <c r="M38" s="367">
        <f t="shared" si="5"/>
        <v>0</v>
      </c>
    </row>
    <row r="39" spans="1:13" ht="15.75">
      <c r="A39" s="370" t="s">
        <v>372</v>
      </c>
      <c r="B39" s="371"/>
      <c r="C39" s="371"/>
      <c r="D39" s="371"/>
      <c r="E39" s="420"/>
      <c r="F39" s="367">
        <f t="shared" si="4"/>
        <v>0</v>
      </c>
      <c r="H39" s="370"/>
      <c r="I39" s="371"/>
      <c r="J39" s="371"/>
      <c r="K39" s="371"/>
      <c r="L39" s="420"/>
      <c r="M39" s="367">
        <f t="shared" si="5"/>
        <v>0</v>
      </c>
    </row>
    <row r="40" spans="1:13" ht="15.75">
      <c r="A40" s="370" t="s">
        <v>373</v>
      </c>
      <c r="B40" s="371"/>
      <c r="C40" s="371"/>
      <c r="D40" s="371"/>
      <c r="E40" s="420"/>
      <c r="F40" s="367">
        <f t="shared" si="4"/>
        <v>0</v>
      </c>
      <c r="H40" s="370"/>
      <c r="I40" s="371"/>
      <c r="J40" s="371"/>
      <c r="K40" s="371"/>
      <c r="L40" s="420"/>
      <c r="M40" s="367">
        <f t="shared" si="5"/>
        <v>0</v>
      </c>
    </row>
    <row r="41" spans="1:13" ht="16.5" thickBot="1">
      <c r="A41" s="373"/>
      <c r="B41" s="374"/>
      <c r="C41" s="374"/>
      <c r="D41" s="374"/>
      <c r="E41" s="421"/>
      <c r="F41" s="367">
        <f t="shared" si="4"/>
        <v>0</v>
      </c>
      <c r="H41" s="373"/>
      <c r="I41" s="374"/>
      <c r="J41" s="374"/>
      <c r="K41" s="374"/>
      <c r="L41" s="421"/>
      <c r="M41" s="367">
        <f t="shared" si="5"/>
        <v>0</v>
      </c>
    </row>
    <row r="42" spans="1:13" ht="16.5" thickBot="1">
      <c r="A42" s="362" t="s">
        <v>374</v>
      </c>
      <c r="B42" s="375">
        <f>(+B35+B37+B38+B39+B40)</f>
        <v>0</v>
      </c>
      <c r="C42" s="375">
        <f>(+C35+C37+C38+C39+C40)</f>
        <v>0</v>
      </c>
      <c r="D42" s="375">
        <f>(+D35+D37+D38+D39+D40)</f>
        <v>12272</v>
      </c>
      <c r="E42" s="375">
        <f>(+E35+E37+E38+E39+E40)</f>
        <v>0</v>
      </c>
      <c r="F42" s="376">
        <f>SUM(B42:E42)</f>
        <v>12272</v>
      </c>
      <c r="H42" s="362" t="s">
        <v>29</v>
      </c>
      <c r="I42" s="375">
        <f>SUM(I35:I38)</f>
        <v>0</v>
      </c>
      <c r="J42" s="375">
        <f>SUM(J35:J38)</f>
        <v>0</v>
      </c>
      <c r="K42" s="375">
        <f>SUM(K35:K38)</f>
        <v>12272</v>
      </c>
      <c r="L42" s="375">
        <f>SUM(L35:L38)</f>
        <v>0</v>
      </c>
      <c r="M42" s="376">
        <f>SUM(I42:L42)</f>
        <v>12272</v>
      </c>
    </row>
    <row r="44" spans="1:13" ht="15.75" customHeight="1">
      <c r="A44" s="854" t="s">
        <v>431</v>
      </c>
      <c r="B44" s="854"/>
      <c r="C44" s="854"/>
      <c r="D44" s="854"/>
      <c r="E44" s="854"/>
      <c r="F44" s="854"/>
      <c r="G44" s="854"/>
      <c r="H44" s="854"/>
      <c r="I44" s="854"/>
      <c r="J44" s="854"/>
      <c r="K44" s="854"/>
      <c r="L44" s="854"/>
      <c r="M44" s="854"/>
    </row>
    <row r="45" spans="1:13" ht="16.5" thickBot="1">
      <c r="A45" s="359"/>
      <c r="B45" s="360"/>
      <c r="C45" s="360"/>
      <c r="D45" s="360"/>
      <c r="E45" s="360"/>
      <c r="F45" s="361" t="s">
        <v>259</v>
      </c>
      <c r="M45" s="361" t="s">
        <v>259</v>
      </c>
    </row>
    <row r="46" spans="1:13" ht="32.25" thickBot="1">
      <c r="A46" s="362" t="s">
        <v>361</v>
      </c>
      <c r="B46" s="363" t="s">
        <v>362</v>
      </c>
      <c r="C46" s="363" t="s">
        <v>363</v>
      </c>
      <c r="D46" s="363" t="s">
        <v>299</v>
      </c>
      <c r="E46" s="363" t="s">
        <v>430</v>
      </c>
      <c r="F46" s="364" t="s">
        <v>29</v>
      </c>
      <c r="H46" s="362" t="s">
        <v>364</v>
      </c>
      <c r="I46" s="363" t="s">
        <v>362</v>
      </c>
      <c r="J46" s="363" t="s">
        <v>363</v>
      </c>
      <c r="K46" s="363" t="s">
        <v>299</v>
      </c>
      <c r="L46" s="363" t="s">
        <v>430</v>
      </c>
      <c r="M46" s="364" t="s">
        <v>29</v>
      </c>
    </row>
    <row r="47" spans="1:13" ht="15.75">
      <c r="A47" s="365" t="s">
        <v>365</v>
      </c>
      <c r="B47" s="366">
        <v>0</v>
      </c>
      <c r="C47" s="366">
        <v>0</v>
      </c>
      <c r="D47" s="366">
        <v>0</v>
      </c>
      <c r="E47" s="418">
        <v>0</v>
      </c>
      <c r="F47" s="367">
        <f>SUM(B47:E47)</f>
        <v>0</v>
      </c>
      <c r="H47" s="365" t="s">
        <v>366</v>
      </c>
      <c r="I47" s="366"/>
      <c r="J47" s="366"/>
      <c r="K47" s="366">
        <v>2140</v>
      </c>
      <c r="L47" s="418">
        <v>3860</v>
      </c>
      <c r="M47" s="367">
        <f>SUM(I47:L47)</f>
        <v>6000</v>
      </c>
    </row>
    <row r="48" spans="1:13" ht="15.75">
      <c r="A48" s="368" t="s">
        <v>429</v>
      </c>
      <c r="B48" s="369"/>
      <c r="C48" s="369"/>
      <c r="D48" s="369"/>
      <c r="E48" s="419"/>
      <c r="F48" s="367">
        <f aca="true" t="shared" si="6" ref="F48:F53">SUM(B48:E48)</f>
        <v>0</v>
      </c>
      <c r="H48" s="370" t="s">
        <v>367</v>
      </c>
      <c r="I48" s="371"/>
      <c r="J48" s="371"/>
      <c r="K48" s="420">
        <f>1036+1744</f>
        <v>2780</v>
      </c>
      <c r="L48" s="371">
        <f>486+2540</f>
        <v>3026</v>
      </c>
      <c r="M48" s="367">
        <f aca="true" t="shared" si="7" ref="M48:M53">SUM(I48:L48)</f>
        <v>5806</v>
      </c>
    </row>
    <row r="49" spans="1:13" ht="31.5">
      <c r="A49" s="370" t="s">
        <v>368</v>
      </c>
      <c r="B49" s="371">
        <v>0</v>
      </c>
      <c r="C49" s="371">
        <v>0</v>
      </c>
      <c r="D49" s="423">
        <v>26250</v>
      </c>
      <c r="E49" s="423">
        <v>38750</v>
      </c>
      <c r="F49" s="367">
        <f t="shared" si="6"/>
        <v>65000</v>
      </c>
      <c r="H49" s="372" t="s">
        <v>369</v>
      </c>
      <c r="I49" s="371">
        <v>0</v>
      </c>
      <c r="J49" s="371">
        <v>0</v>
      </c>
      <c r="K49" s="423">
        <f>26250-K48-K47</f>
        <v>21330</v>
      </c>
      <c r="L49" s="423">
        <f>38750-L47-L48-L50</f>
        <v>31614</v>
      </c>
      <c r="M49" s="367">
        <f t="shared" si="7"/>
        <v>52944</v>
      </c>
    </row>
    <row r="50" spans="1:13" ht="15.75">
      <c r="A50" s="370" t="s">
        <v>370</v>
      </c>
      <c r="B50" s="371"/>
      <c r="C50" s="371"/>
      <c r="D50" s="371"/>
      <c r="E50" s="420"/>
      <c r="F50" s="367">
        <f t="shared" si="6"/>
        <v>0</v>
      </c>
      <c r="H50" s="372" t="s">
        <v>371</v>
      </c>
      <c r="I50" s="371"/>
      <c r="J50" s="371"/>
      <c r="K50" s="371"/>
      <c r="L50" s="420">
        <v>250</v>
      </c>
      <c r="M50" s="367">
        <f t="shared" si="7"/>
        <v>250</v>
      </c>
    </row>
    <row r="51" spans="1:13" ht="15.75">
      <c r="A51" s="370" t="s">
        <v>372</v>
      </c>
      <c r="B51" s="371"/>
      <c r="C51" s="371"/>
      <c r="D51" s="371"/>
      <c r="E51" s="420"/>
      <c r="F51" s="367">
        <f t="shared" si="6"/>
        <v>0</v>
      </c>
      <c r="H51" s="370"/>
      <c r="I51" s="371"/>
      <c r="J51" s="371"/>
      <c r="K51" s="371"/>
      <c r="L51" s="420"/>
      <c r="M51" s="367">
        <f t="shared" si="7"/>
        <v>0</v>
      </c>
    </row>
    <row r="52" spans="1:13" ht="15.75">
      <c r="A52" s="370" t="s">
        <v>373</v>
      </c>
      <c r="B52" s="371"/>
      <c r="C52" s="371"/>
      <c r="D52" s="371"/>
      <c r="E52" s="420"/>
      <c r="F52" s="367">
        <f t="shared" si="6"/>
        <v>0</v>
      </c>
      <c r="H52" s="370"/>
      <c r="I52" s="371"/>
      <c r="J52" s="371"/>
      <c r="K52" s="371"/>
      <c r="L52" s="420"/>
      <c r="M52" s="367">
        <f t="shared" si="7"/>
        <v>0</v>
      </c>
    </row>
    <row r="53" spans="1:13" ht="16.5" thickBot="1">
      <c r="A53" s="373"/>
      <c r="B53" s="374"/>
      <c r="C53" s="374"/>
      <c r="D53" s="374"/>
      <c r="E53" s="421"/>
      <c r="F53" s="367">
        <f t="shared" si="6"/>
        <v>0</v>
      </c>
      <c r="H53" s="373"/>
      <c r="I53" s="374"/>
      <c r="J53" s="374"/>
      <c r="K53" s="374"/>
      <c r="L53" s="421"/>
      <c r="M53" s="367">
        <f t="shared" si="7"/>
        <v>0</v>
      </c>
    </row>
    <row r="54" spans="1:13" ht="16.5" thickBot="1">
      <c r="A54" s="362" t="s">
        <v>374</v>
      </c>
      <c r="B54" s="375">
        <f>(+B47+B49+B50+B51+B52)</f>
        <v>0</v>
      </c>
      <c r="C54" s="375">
        <f>(+C47+C49+C50+C51+C52)</f>
        <v>0</v>
      </c>
      <c r="D54" s="375">
        <f>(+D47+D49+D50+D51+D52)</f>
        <v>26250</v>
      </c>
      <c r="E54" s="375">
        <f>(+E47+E49+E50+E51+E52)</f>
        <v>38750</v>
      </c>
      <c r="F54" s="376">
        <f>SUM(B54:E54)</f>
        <v>65000</v>
      </c>
      <c r="H54" s="362" t="s">
        <v>29</v>
      </c>
      <c r="I54" s="375">
        <f>SUM(I47:I50)</f>
        <v>0</v>
      </c>
      <c r="J54" s="375">
        <f>SUM(J47:J50)</f>
        <v>0</v>
      </c>
      <c r="K54" s="375">
        <f>SUM(K47:K50)</f>
        <v>26250</v>
      </c>
      <c r="L54" s="375">
        <f>SUM(L47:L50)</f>
        <v>38750</v>
      </c>
      <c r="M54" s="376">
        <f>SUM(I54:L54)</f>
        <v>65000</v>
      </c>
    </row>
    <row r="56" spans="1:13" ht="15.75" customHeight="1">
      <c r="A56" s="854" t="s">
        <v>432</v>
      </c>
      <c r="B56" s="854"/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</row>
    <row r="57" spans="1:13" ht="16.5" thickBot="1">
      <c r="A57" s="359"/>
      <c r="B57" s="360"/>
      <c r="C57" s="360"/>
      <c r="D57" s="360"/>
      <c r="E57" s="360"/>
      <c r="F57" s="361" t="s">
        <v>259</v>
      </c>
      <c r="M57" s="361" t="s">
        <v>259</v>
      </c>
    </row>
    <row r="58" spans="1:13" ht="32.25" thickBot="1">
      <c r="A58" s="362" t="s">
        <v>361</v>
      </c>
      <c r="B58" s="363" t="s">
        <v>362</v>
      </c>
      <c r="C58" s="363" t="s">
        <v>363</v>
      </c>
      <c r="D58" s="363" t="s">
        <v>299</v>
      </c>
      <c r="E58" s="363" t="s">
        <v>430</v>
      </c>
      <c r="F58" s="364" t="s">
        <v>29</v>
      </c>
      <c r="H58" s="362" t="s">
        <v>364</v>
      </c>
      <c r="I58" s="363" t="s">
        <v>362</v>
      </c>
      <c r="J58" s="363" t="s">
        <v>363</v>
      </c>
      <c r="K58" s="363" t="s">
        <v>299</v>
      </c>
      <c r="L58" s="363" t="s">
        <v>430</v>
      </c>
      <c r="M58" s="364" t="s">
        <v>29</v>
      </c>
    </row>
    <row r="59" spans="1:13" ht="15.75">
      <c r="A59" s="365" t="s">
        <v>365</v>
      </c>
      <c r="B59" s="366">
        <v>0</v>
      </c>
      <c r="C59" s="366">
        <v>0</v>
      </c>
      <c r="D59" s="366">
        <f>164700-D61</f>
        <v>24705</v>
      </c>
      <c r="E59" s="418">
        <v>0</v>
      </c>
      <c r="F59" s="367">
        <f>SUM(B59:E59)</f>
        <v>24705</v>
      </c>
      <c r="H59" s="365" t="s">
        <v>366</v>
      </c>
      <c r="I59" s="366"/>
      <c r="J59" s="366"/>
      <c r="K59" s="366"/>
      <c r="L59" s="418"/>
      <c r="M59" s="367">
        <f>SUM(I59:L59)</f>
        <v>0</v>
      </c>
    </row>
    <row r="60" spans="1:13" ht="15.75">
      <c r="A60" s="368" t="s">
        <v>429</v>
      </c>
      <c r="B60" s="369"/>
      <c r="C60" s="369"/>
      <c r="D60" s="369"/>
      <c r="E60" s="419"/>
      <c r="F60" s="367">
        <f aca="true" t="shared" si="8" ref="F60:F65">SUM(B60:E60)</f>
        <v>0</v>
      </c>
      <c r="H60" s="370" t="s">
        <v>367</v>
      </c>
      <c r="I60" s="371"/>
      <c r="J60" s="371"/>
      <c r="K60" s="371">
        <f>2794+1588+1905+7430+1397</f>
        <v>15114</v>
      </c>
      <c r="L60" s="420"/>
      <c r="M60" s="367">
        <f aca="true" t="shared" si="9" ref="M60:M65">SUM(I60:L60)</f>
        <v>15114</v>
      </c>
    </row>
    <row r="61" spans="1:13" ht="31.5">
      <c r="A61" s="370" t="s">
        <v>368</v>
      </c>
      <c r="B61" s="371">
        <v>0</v>
      </c>
      <c r="C61" s="371">
        <v>0</v>
      </c>
      <c r="D61" s="423">
        <v>139995</v>
      </c>
      <c r="E61" s="423"/>
      <c r="F61" s="367">
        <f t="shared" si="8"/>
        <v>139995</v>
      </c>
      <c r="H61" s="372" t="s">
        <v>369</v>
      </c>
      <c r="I61" s="371">
        <v>0</v>
      </c>
      <c r="J61" s="371">
        <v>0</v>
      </c>
      <c r="K61" s="423">
        <v>149586</v>
      </c>
      <c r="L61" s="423"/>
      <c r="M61" s="367">
        <f t="shared" si="9"/>
        <v>149586</v>
      </c>
    </row>
    <row r="62" spans="1:13" ht="15.75">
      <c r="A62" s="370" t="s">
        <v>370</v>
      </c>
      <c r="B62" s="371"/>
      <c r="C62" s="371"/>
      <c r="D62" s="371"/>
      <c r="E62" s="420"/>
      <c r="F62" s="367">
        <f t="shared" si="8"/>
        <v>0</v>
      </c>
      <c r="H62" s="372" t="s">
        <v>371</v>
      </c>
      <c r="I62" s="371"/>
      <c r="J62" s="371"/>
      <c r="K62" s="371"/>
      <c r="L62" s="420"/>
      <c r="M62" s="367">
        <f t="shared" si="9"/>
        <v>0</v>
      </c>
    </row>
    <row r="63" spans="1:13" ht="15.75">
      <c r="A63" s="370" t="s">
        <v>372</v>
      </c>
      <c r="B63" s="371"/>
      <c r="C63" s="371"/>
      <c r="D63" s="371"/>
      <c r="E63" s="420"/>
      <c r="F63" s="367">
        <f t="shared" si="8"/>
        <v>0</v>
      </c>
      <c r="H63" s="370"/>
      <c r="I63" s="371"/>
      <c r="J63" s="371"/>
      <c r="K63" s="371"/>
      <c r="L63" s="420"/>
      <c r="M63" s="367">
        <f t="shared" si="9"/>
        <v>0</v>
      </c>
    </row>
    <row r="64" spans="1:13" ht="15.75">
      <c r="A64" s="370" t="s">
        <v>373</v>
      </c>
      <c r="B64" s="371"/>
      <c r="C64" s="371"/>
      <c r="D64" s="371"/>
      <c r="E64" s="420"/>
      <c r="F64" s="367">
        <f t="shared" si="8"/>
        <v>0</v>
      </c>
      <c r="H64" s="370"/>
      <c r="I64" s="371"/>
      <c r="J64" s="371"/>
      <c r="K64" s="371"/>
      <c r="L64" s="420"/>
      <c r="M64" s="367">
        <f t="shared" si="9"/>
        <v>0</v>
      </c>
    </row>
    <row r="65" spans="1:13" ht="16.5" thickBot="1">
      <c r="A65" s="373"/>
      <c r="B65" s="374"/>
      <c r="C65" s="374"/>
      <c r="D65" s="374"/>
      <c r="E65" s="421"/>
      <c r="F65" s="367">
        <f t="shared" si="8"/>
        <v>0</v>
      </c>
      <c r="H65" s="373"/>
      <c r="I65" s="374"/>
      <c r="J65" s="374"/>
      <c r="K65" s="374"/>
      <c r="L65" s="421"/>
      <c r="M65" s="367">
        <f t="shared" si="9"/>
        <v>0</v>
      </c>
    </row>
    <row r="66" spans="1:13" ht="16.5" thickBot="1">
      <c r="A66" s="362" t="s">
        <v>374</v>
      </c>
      <c r="B66" s="375">
        <f>(+B59+B61+B62+B63+B64)</f>
        <v>0</v>
      </c>
      <c r="C66" s="375">
        <f>(+C59+C61+C62+C63+C64)</f>
        <v>0</v>
      </c>
      <c r="D66" s="375">
        <f>(+D59+D61+D62+D63+D64)</f>
        <v>164700</v>
      </c>
      <c r="E66" s="375">
        <f>(+E59+E61+E62+E63+E64)</f>
        <v>0</v>
      </c>
      <c r="F66" s="376">
        <f>SUM(B66:E66)</f>
        <v>164700</v>
      </c>
      <c r="H66" s="362" t="s">
        <v>29</v>
      </c>
      <c r="I66" s="375">
        <f>SUM(I59:I62)</f>
        <v>0</v>
      </c>
      <c r="J66" s="375">
        <f>SUM(J59:J62)</f>
        <v>0</v>
      </c>
      <c r="K66" s="375">
        <f>SUM(K59:K62)</f>
        <v>164700</v>
      </c>
      <c r="L66" s="375">
        <f>SUM(L59:L62)</f>
        <v>0</v>
      </c>
      <c r="M66" s="376">
        <f>SUM(I66:L66)</f>
        <v>164700</v>
      </c>
    </row>
    <row r="68" spans="1:13" ht="15.75" customHeight="1">
      <c r="A68" s="854" t="s">
        <v>433</v>
      </c>
      <c r="B68" s="854"/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</row>
    <row r="69" spans="1:13" ht="16.5" thickBot="1">
      <c r="A69" s="359"/>
      <c r="B69" s="360"/>
      <c r="C69" s="360"/>
      <c r="D69" s="360"/>
      <c r="E69" s="360"/>
      <c r="F69" s="361" t="s">
        <v>259</v>
      </c>
      <c r="M69" s="361" t="s">
        <v>259</v>
      </c>
    </row>
    <row r="70" spans="1:13" ht="32.25" thickBot="1">
      <c r="A70" s="362" t="s">
        <v>361</v>
      </c>
      <c r="B70" s="363" t="s">
        <v>362</v>
      </c>
      <c r="C70" s="363" t="s">
        <v>363</v>
      </c>
      <c r="D70" s="363" t="s">
        <v>299</v>
      </c>
      <c r="E70" s="363" t="s">
        <v>430</v>
      </c>
      <c r="F70" s="364" t="s">
        <v>29</v>
      </c>
      <c r="H70" s="362" t="s">
        <v>364</v>
      </c>
      <c r="I70" s="363" t="s">
        <v>362</v>
      </c>
      <c r="J70" s="363" t="s">
        <v>363</v>
      </c>
      <c r="K70" s="363" t="s">
        <v>299</v>
      </c>
      <c r="L70" s="363" t="s">
        <v>430</v>
      </c>
      <c r="M70" s="364" t="s">
        <v>29</v>
      </c>
    </row>
    <row r="71" spans="1:13" ht="15.75">
      <c r="A71" s="365" t="s">
        <v>365</v>
      </c>
      <c r="B71" s="366">
        <v>0</v>
      </c>
      <c r="C71" s="366">
        <v>0</v>
      </c>
      <c r="D71" s="366">
        <v>0</v>
      </c>
      <c r="E71" s="418">
        <v>0</v>
      </c>
      <c r="F71" s="367">
        <f>SUM(B71:E71)</f>
        <v>0</v>
      </c>
      <c r="H71" s="365" t="s">
        <v>366</v>
      </c>
      <c r="I71" s="366"/>
      <c r="J71" s="366"/>
      <c r="K71" s="366"/>
      <c r="L71" s="418"/>
      <c r="M71" s="367">
        <f>SUM(I71:L71)</f>
        <v>0</v>
      </c>
    </row>
    <row r="72" spans="1:13" ht="15.75">
      <c r="A72" s="368" t="s">
        <v>429</v>
      </c>
      <c r="B72" s="369"/>
      <c r="C72" s="369"/>
      <c r="D72" s="369"/>
      <c r="E72" s="419"/>
      <c r="F72" s="367">
        <f aca="true" t="shared" si="10" ref="F72:F77">SUM(B72:E72)</f>
        <v>0</v>
      </c>
      <c r="H72" s="370" t="s">
        <v>367</v>
      </c>
      <c r="I72" s="371"/>
      <c r="J72" s="371"/>
      <c r="K72" s="371">
        <v>5000</v>
      </c>
      <c r="L72" s="420"/>
      <c r="M72" s="367">
        <f aca="true" t="shared" si="11" ref="M72:M77">SUM(I72:L72)</f>
        <v>5000</v>
      </c>
    </row>
    <row r="73" spans="1:13" ht="31.5">
      <c r="A73" s="370" t="s">
        <v>368</v>
      </c>
      <c r="B73" s="371">
        <v>0</v>
      </c>
      <c r="C73" s="371">
        <v>0</v>
      </c>
      <c r="D73" s="423">
        <v>150000</v>
      </c>
      <c r="E73" s="423"/>
      <c r="F73" s="367">
        <f t="shared" si="10"/>
        <v>150000</v>
      </c>
      <c r="H73" s="372" t="s">
        <v>369</v>
      </c>
      <c r="I73" s="371">
        <v>0</v>
      </c>
      <c r="J73" s="371">
        <v>0</v>
      </c>
      <c r="K73" s="423">
        <v>145000</v>
      </c>
      <c r="L73" s="423"/>
      <c r="M73" s="367">
        <f t="shared" si="11"/>
        <v>145000</v>
      </c>
    </row>
    <row r="74" spans="1:13" ht="15.75">
      <c r="A74" s="370" t="s">
        <v>370</v>
      </c>
      <c r="B74" s="371"/>
      <c r="C74" s="371"/>
      <c r="D74" s="371"/>
      <c r="E74" s="420"/>
      <c r="F74" s="367">
        <f t="shared" si="10"/>
        <v>0</v>
      </c>
      <c r="H74" s="372" t="s">
        <v>371</v>
      </c>
      <c r="I74" s="371"/>
      <c r="J74" s="371"/>
      <c r="K74" s="371"/>
      <c r="L74" s="420"/>
      <c r="M74" s="367">
        <f t="shared" si="11"/>
        <v>0</v>
      </c>
    </row>
    <row r="75" spans="1:13" ht="15.75">
      <c r="A75" s="370" t="s">
        <v>372</v>
      </c>
      <c r="B75" s="371"/>
      <c r="C75" s="371"/>
      <c r="D75" s="371"/>
      <c r="E75" s="420"/>
      <c r="F75" s="367">
        <f t="shared" si="10"/>
        <v>0</v>
      </c>
      <c r="H75" s="370"/>
      <c r="I75" s="371"/>
      <c r="J75" s="371"/>
      <c r="K75" s="371"/>
      <c r="L75" s="420"/>
      <c r="M75" s="367">
        <f t="shared" si="11"/>
        <v>0</v>
      </c>
    </row>
    <row r="76" spans="1:13" ht="15.75">
      <c r="A76" s="370" t="s">
        <v>373</v>
      </c>
      <c r="B76" s="371"/>
      <c r="C76" s="371"/>
      <c r="D76" s="371"/>
      <c r="E76" s="420"/>
      <c r="F76" s="367">
        <f t="shared" si="10"/>
        <v>0</v>
      </c>
      <c r="H76" s="370"/>
      <c r="I76" s="371"/>
      <c r="J76" s="371"/>
      <c r="K76" s="371"/>
      <c r="L76" s="420"/>
      <c r="M76" s="367">
        <f t="shared" si="11"/>
        <v>0</v>
      </c>
    </row>
    <row r="77" spans="1:13" ht="16.5" thickBot="1">
      <c r="A77" s="373"/>
      <c r="B77" s="374"/>
      <c r="C77" s="374"/>
      <c r="D77" s="374"/>
      <c r="E77" s="421"/>
      <c r="F77" s="367">
        <f t="shared" si="10"/>
        <v>0</v>
      </c>
      <c r="H77" s="373"/>
      <c r="I77" s="374"/>
      <c r="J77" s="374"/>
      <c r="K77" s="374"/>
      <c r="L77" s="421"/>
      <c r="M77" s="367">
        <f t="shared" si="11"/>
        <v>0</v>
      </c>
    </row>
    <row r="78" spans="1:13" ht="16.5" thickBot="1">
      <c r="A78" s="362" t="s">
        <v>374</v>
      </c>
      <c r="B78" s="375">
        <f>(+B71+B73+B74+B75+B76)</f>
        <v>0</v>
      </c>
      <c r="C78" s="375">
        <f>(+C71+C73+C74+C75+C76)</f>
        <v>0</v>
      </c>
      <c r="D78" s="375">
        <f>(+D71+D73+D74+D75+D76)</f>
        <v>150000</v>
      </c>
      <c r="E78" s="375">
        <f>(+E71+E73+E74+E75+E76)</f>
        <v>0</v>
      </c>
      <c r="F78" s="376">
        <f>SUM(B78:E78)</f>
        <v>150000</v>
      </c>
      <c r="H78" s="362" t="s">
        <v>29</v>
      </c>
      <c r="I78" s="375">
        <f>SUM(I71:I74)</f>
        <v>0</v>
      </c>
      <c r="J78" s="375">
        <f>SUM(J71:J74)</f>
        <v>0</v>
      </c>
      <c r="K78" s="375">
        <f>SUM(K71:K74)</f>
        <v>150000</v>
      </c>
      <c r="L78" s="375">
        <f>SUM(L71:L74)</f>
        <v>0</v>
      </c>
      <c r="M78" s="376">
        <f>SUM(I78:L78)</f>
        <v>150000</v>
      </c>
    </row>
    <row r="83" ht="15.75">
      <c r="F83" s="357">
        <f>+F71+F59+F47+F35+F23+F11</f>
        <v>24705</v>
      </c>
    </row>
  </sheetData>
  <sheetProtection/>
  <mergeCells count="7">
    <mergeCell ref="A56:M56"/>
    <mergeCell ref="A68:M68"/>
    <mergeCell ref="A32:M32"/>
    <mergeCell ref="A5:M5"/>
    <mergeCell ref="A8:M8"/>
    <mergeCell ref="A20:M20"/>
    <mergeCell ref="A44:M44"/>
  </mergeCells>
  <printOptions horizontalCentered="1"/>
  <pageMargins left="0.39" right="0.27" top="0.9055118110236221" bottom="0.7480314960629921" header="0.4724409448818898" footer="0.5118110236220472"/>
  <pageSetup horizontalDpi="600" verticalDpi="600" orientation="portrait" paperSize="9" scale="71" r:id="rId1"/>
  <headerFooter alignWithMargins="0">
    <oddHeader>&amp;R
</oddHeader>
    <oddFooter>&amp;R.&amp;P</oddFooter>
  </headerFooter>
  <rowBreaks count="1" manualBreakCount="1">
    <brk id="5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91"/>
  <sheetViews>
    <sheetView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9.57421875" style="0" bestFit="1" customWidth="1"/>
    <col min="2" max="2" width="6.140625" style="1" customWidth="1"/>
    <col min="3" max="3" width="56.421875" style="1" customWidth="1"/>
    <col min="4" max="4" width="10.8515625" style="258" customWidth="1"/>
    <col min="5" max="5" width="12.28125" style="1" customWidth="1"/>
    <col min="6" max="6" width="12.8515625" style="0" customWidth="1"/>
    <col min="7" max="7" width="10.00390625" style="0" bestFit="1" customWidth="1"/>
    <col min="8" max="9" width="7.57421875" style="0" bestFit="1" customWidth="1"/>
  </cols>
  <sheetData>
    <row r="1" ht="15.75">
      <c r="F1" s="6" t="s">
        <v>502</v>
      </c>
    </row>
    <row r="2" ht="12.75">
      <c r="F2" s="7" t="s">
        <v>473</v>
      </c>
    </row>
    <row r="4" spans="2:5" ht="12.75">
      <c r="B4" s="789" t="s">
        <v>92</v>
      </c>
      <c r="C4" s="789"/>
      <c r="D4" s="789"/>
      <c r="E4" s="789"/>
    </row>
    <row r="5" spans="2:5" ht="12.75">
      <c r="B5" s="789" t="s">
        <v>93</v>
      </c>
      <c r="C5" s="789"/>
      <c r="D5" s="789"/>
      <c r="E5" s="789"/>
    </row>
    <row r="6" spans="2:5" ht="12.75">
      <c r="B6" s="789" t="s">
        <v>94</v>
      </c>
      <c r="C6" s="789"/>
      <c r="D6" s="789"/>
      <c r="E6" s="789"/>
    </row>
    <row r="7" spans="1:5" s="65" customFormat="1" ht="14.25" thickBot="1">
      <c r="A7" s="25"/>
      <c r="B7" s="790"/>
      <c r="C7" s="790"/>
      <c r="D7" s="296"/>
      <c r="E7" s="297" t="s">
        <v>0</v>
      </c>
    </row>
    <row r="8" spans="2:6" s="65" customFormat="1" ht="12.75">
      <c r="B8" s="785" t="s">
        <v>30</v>
      </c>
      <c r="C8" s="787" t="s">
        <v>31</v>
      </c>
      <c r="D8" s="283"/>
      <c r="E8" s="227" t="s">
        <v>245</v>
      </c>
      <c r="F8" s="227" t="s">
        <v>245</v>
      </c>
    </row>
    <row r="9" spans="2:6" s="65" customFormat="1" ht="26.25" thickBot="1">
      <c r="B9" s="786"/>
      <c r="C9" s="788"/>
      <c r="D9" s="298" t="s">
        <v>32</v>
      </c>
      <c r="E9" s="299" t="s">
        <v>1</v>
      </c>
      <c r="F9" s="299" t="s">
        <v>476</v>
      </c>
    </row>
    <row r="10" spans="1:7" s="65" customFormat="1" ht="13.5" thickBot="1">
      <c r="A10" s="74"/>
      <c r="B10" s="300"/>
      <c r="C10" s="301" t="s">
        <v>384</v>
      </c>
      <c r="D10" s="302"/>
      <c r="E10" s="303">
        <f>+E13+E22+E19+E11</f>
        <v>357200</v>
      </c>
      <c r="F10" s="303">
        <f>+F13+F22+F19+F11</f>
        <v>357200</v>
      </c>
      <c r="G10" s="67"/>
    </row>
    <row r="11" spans="2:7" s="65" customFormat="1" ht="12.75">
      <c r="B11" s="340" t="s">
        <v>255</v>
      </c>
      <c r="C11" s="286" t="s">
        <v>47</v>
      </c>
      <c r="D11" s="348"/>
      <c r="E11" s="555">
        <f>+E12</f>
        <v>0</v>
      </c>
      <c r="F11" s="598">
        <f>+F12</f>
        <v>0</v>
      </c>
      <c r="G11" s="67"/>
    </row>
    <row r="12" spans="2:7" s="65" customFormat="1" ht="12.75">
      <c r="B12" s="304"/>
      <c r="C12" s="236" t="s">
        <v>48</v>
      </c>
      <c r="D12" s="305"/>
      <c r="E12" s="553">
        <v>0</v>
      </c>
      <c r="F12" s="599">
        <v>0</v>
      </c>
      <c r="G12" s="67"/>
    </row>
    <row r="13" spans="1:7" s="76" customFormat="1" ht="12.75">
      <c r="A13" s="74"/>
      <c r="B13" s="347" t="s">
        <v>130</v>
      </c>
      <c r="C13" s="286" t="s">
        <v>34</v>
      </c>
      <c r="D13" s="348"/>
      <c r="E13" s="555">
        <f>SUM(E14:E18)</f>
        <v>328600</v>
      </c>
      <c r="F13" s="600">
        <f>SUM(F14:F18)</f>
        <v>328600</v>
      </c>
      <c r="G13" s="67"/>
    </row>
    <row r="14" spans="1:7" s="65" customFormat="1" ht="12.75">
      <c r="A14" s="76"/>
      <c r="B14" s="304"/>
      <c r="C14" s="236" t="s">
        <v>35</v>
      </c>
      <c r="D14" s="305"/>
      <c r="E14" s="553">
        <v>45400</v>
      </c>
      <c r="F14" s="599">
        <v>45400</v>
      </c>
      <c r="G14" s="67"/>
    </row>
    <row r="15" spans="2:7" s="65" customFormat="1" ht="12.75">
      <c r="B15" s="304"/>
      <c r="C15" s="236" t="s">
        <v>36</v>
      </c>
      <c r="D15" s="305"/>
      <c r="E15" s="553">
        <v>450</v>
      </c>
      <c r="F15" s="599">
        <v>450</v>
      </c>
      <c r="G15" s="67"/>
    </row>
    <row r="16" spans="2:7" s="65" customFormat="1" ht="12.75">
      <c r="B16" s="304"/>
      <c r="C16" s="236" t="s">
        <v>37</v>
      </c>
      <c r="D16" s="305"/>
      <c r="E16" s="553">
        <v>49400</v>
      </c>
      <c r="F16" s="599">
        <v>49400</v>
      </c>
      <c r="G16" s="67"/>
    </row>
    <row r="17" spans="2:7" s="65" customFormat="1" ht="12.75">
      <c r="B17" s="304"/>
      <c r="C17" s="236" t="s">
        <v>38</v>
      </c>
      <c r="D17" s="305"/>
      <c r="E17" s="553">
        <v>1950</v>
      </c>
      <c r="F17" s="599">
        <v>1950</v>
      </c>
      <c r="G17" s="67"/>
    </row>
    <row r="18" spans="2:7" s="65" customFormat="1" ht="12.75">
      <c r="B18" s="304"/>
      <c r="C18" s="236" t="s">
        <v>39</v>
      </c>
      <c r="D18" s="305"/>
      <c r="E18" s="553">
        <v>231400</v>
      </c>
      <c r="F18" s="599">
        <v>231400</v>
      </c>
      <c r="G18" s="67"/>
    </row>
    <row r="19" spans="1:7" s="65" customFormat="1" ht="12.75">
      <c r="A19" s="19"/>
      <c r="B19" s="347" t="s">
        <v>271</v>
      </c>
      <c r="C19" s="286" t="s">
        <v>44</v>
      </c>
      <c r="D19" s="348"/>
      <c r="E19" s="555">
        <f>SUM(E20:E21)</f>
        <v>3000</v>
      </c>
      <c r="F19" s="600">
        <f>SUM(F20:F21)</f>
        <v>3000</v>
      </c>
      <c r="G19" s="67"/>
    </row>
    <row r="20" spans="2:7" s="65" customFormat="1" ht="12.75">
      <c r="B20" s="304"/>
      <c r="C20" s="238" t="s">
        <v>45</v>
      </c>
      <c r="D20" s="305"/>
      <c r="E20" s="553">
        <v>3000</v>
      </c>
      <c r="F20" s="599">
        <v>3000</v>
      </c>
      <c r="G20" s="67"/>
    </row>
    <row r="21" spans="2:7" s="65" customFormat="1" ht="12.75">
      <c r="B21" s="304"/>
      <c r="C21" s="238" t="s">
        <v>46</v>
      </c>
      <c r="D21" s="305"/>
      <c r="E21" s="553">
        <v>0</v>
      </c>
      <c r="F21" s="599">
        <v>0</v>
      </c>
      <c r="G21" s="67"/>
    </row>
    <row r="22" spans="1:7" s="76" customFormat="1" ht="12.75">
      <c r="A22" s="74"/>
      <c r="B22" s="347" t="s">
        <v>272</v>
      </c>
      <c r="C22" s="286" t="s">
        <v>40</v>
      </c>
      <c r="D22" s="348"/>
      <c r="E22" s="555">
        <f>SUM(E23:E25)</f>
        <v>25600</v>
      </c>
      <c r="F22" s="600">
        <f>SUM(F23:F25)</f>
        <v>25600</v>
      </c>
      <c r="G22" s="67"/>
    </row>
    <row r="23" spans="1:7" s="65" customFormat="1" ht="12.75">
      <c r="A23" s="76"/>
      <c r="B23" s="304"/>
      <c r="C23" s="236" t="s">
        <v>41</v>
      </c>
      <c r="D23" s="305"/>
      <c r="E23" s="553">
        <f>64000*0.4</f>
        <v>25600</v>
      </c>
      <c r="F23" s="599">
        <f>64000*0.4</f>
        <v>25600</v>
      </c>
      <c r="G23" s="67"/>
    </row>
    <row r="24" spans="2:7" s="65" customFormat="1" ht="12.75">
      <c r="B24" s="304"/>
      <c r="C24" s="236" t="s">
        <v>42</v>
      </c>
      <c r="D24" s="305"/>
      <c r="E24" s="553">
        <v>0</v>
      </c>
      <c r="F24" s="599">
        <v>0</v>
      </c>
      <c r="G24" s="67"/>
    </row>
    <row r="25" spans="2:7" s="65" customFormat="1" ht="13.5" thickBot="1">
      <c r="B25" s="288"/>
      <c r="C25" s="236" t="s">
        <v>43</v>
      </c>
      <c r="D25" s="305"/>
      <c r="E25" s="553">
        <v>0</v>
      </c>
      <c r="F25" s="601">
        <v>0</v>
      </c>
      <c r="G25" s="67"/>
    </row>
    <row r="26" spans="1:10" s="65" customFormat="1" ht="13.5" thickBot="1">
      <c r="A26" s="74"/>
      <c r="B26" s="300" t="s">
        <v>273</v>
      </c>
      <c r="C26" s="301" t="s">
        <v>50</v>
      </c>
      <c r="D26" s="306"/>
      <c r="E26" s="303">
        <f>+E27+E62+E77+E80+E83</f>
        <v>1353072</v>
      </c>
      <c r="F26" s="303">
        <f>+F27+F62+F77+F80+F83</f>
        <v>1394683</v>
      </c>
      <c r="G26" s="67"/>
      <c r="J26" s="67"/>
    </row>
    <row r="27" spans="2:10" s="65" customFormat="1" ht="12.75">
      <c r="B27" s="528" t="s">
        <v>402</v>
      </c>
      <c r="C27" s="529" t="s">
        <v>51</v>
      </c>
      <c r="D27" s="530"/>
      <c r="E27" s="748">
        <f>+E28+E38+E45+E58</f>
        <v>806315</v>
      </c>
      <c r="F27" s="754">
        <f>+F28+F38+F45+F58</f>
        <v>808696</v>
      </c>
      <c r="G27" s="67"/>
      <c r="H27" s="502"/>
      <c r="J27" s="67"/>
    </row>
    <row r="28" spans="1:8" s="65" customFormat="1" ht="12.75">
      <c r="A28" s="74"/>
      <c r="B28" s="307" t="s">
        <v>403</v>
      </c>
      <c r="C28" s="308" t="s">
        <v>52</v>
      </c>
      <c r="D28" s="309"/>
      <c r="E28" s="749">
        <f>+E29+E30+E35+E36</f>
        <v>168428</v>
      </c>
      <c r="F28" s="755">
        <f>+F29+F30+F35+F36</f>
        <v>168428</v>
      </c>
      <c r="G28" s="67"/>
      <c r="H28" s="502"/>
    </row>
    <row r="29" spans="1:9" s="65" customFormat="1" ht="12.75">
      <c r="A29" s="74"/>
      <c r="B29" s="310"/>
      <c r="C29" s="311" t="s">
        <v>53</v>
      </c>
      <c r="D29" s="312">
        <v>31.05</v>
      </c>
      <c r="E29" s="750">
        <v>142209</v>
      </c>
      <c r="F29" s="756">
        <v>142209</v>
      </c>
      <c r="G29" s="67"/>
      <c r="H29" s="67"/>
      <c r="I29" s="67"/>
    </row>
    <row r="30" spans="1:7" s="76" customFormat="1" ht="12.75">
      <c r="A30" s="74"/>
      <c r="B30" s="310"/>
      <c r="C30" s="311" t="s">
        <v>54</v>
      </c>
      <c r="D30" s="312"/>
      <c r="E30" s="751">
        <f>SUM(E31:E34)</f>
        <v>52259</v>
      </c>
      <c r="F30" s="757">
        <f>SUM(F31:F34)</f>
        <v>52259</v>
      </c>
      <c r="G30" s="67"/>
    </row>
    <row r="31" spans="1:7" s="65" customFormat="1" ht="25.5">
      <c r="A31" s="75"/>
      <c r="B31" s="310"/>
      <c r="C31" s="81" t="s">
        <v>55</v>
      </c>
      <c r="D31" s="312"/>
      <c r="E31" s="750">
        <v>19714</v>
      </c>
      <c r="F31" s="756">
        <v>19714</v>
      </c>
      <c r="G31" s="67"/>
    </row>
    <row r="32" spans="2:7" s="65" customFormat="1" ht="12.75">
      <c r="B32" s="310"/>
      <c r="C32" s="81" t="s">
        <v>56</v>
      </c>
      <c r="D32" s="312"/>
      <c r="E32" s="750">
        <v>22458</v>
      </c>
      <c r="F32" s="756">
        <v>22458</v>
      </c>
      <c r="G32" s="67"/>
    </row>
    <row r="33" spans="2:7" s="65" customFormat="1" ht="12.75">
      <c r="B33" s="310"/>
      <c r="C33" s="81" t="s">
        <v>57</v>
      </c>
      <c r="D33" s="312"/>
      <c r="E33" s="750">
        <v>2914</v>
      </c>
      <c r="F33" s="756">
        <v>2914</v>
      </c>
      <c r="G33" s="67"/>
    </row>
    <row r="34" spans="2:7" s="65" customFormat="1" ht="12.75">
      <c r="B34" s="310"/>
      <c r="C34" s="81" t="s">
        <v>58</v>
      </c>
      <c r="D34" s="312"/>
      <c r="E34" s="750">
        <v>7173</v>
      </c>
      <c r="F34" s="756">
        <v>7173</v>
      </c>
      <c r="G34" s="67"/>
    </row>
    <row r="35" spans="2:7" s="65" customFormat="1" ht="12.75">
      <c r="B35" s="310"/>
      <c r="C35" s="313" t="s">
        <v>59</v>
      </c>
      <c r="D35" s="314"/>
      <c r="E35" s="751">
        <v>-57290</v>
      </c>
      <c r="F35" s="757">
        <v>-57290</v>
      </c>
      <c r="G35" s="67"/>
    </row>
    <row r="36" spans="2:7" s="65" customFormat="1" ht="12.75">
      <c r="B36" s="310"/>
      <c r="C36" s="311" t="s">
        <v>60</v>
      </c>
      <c r="D36" s="312"/>
      <c r="E36" s="750">
        <v>31250</v>
      </c>
      <c r="F36" s="756">
        <v>31250</v>
      </c>
      <c r="G36" s="67"/>
    </row>
    <row r="37" spans="2:7" s="65" customFormat="1" ht="12.75">
      <c r="B37" s="310"/>
      <c r="C37" s="311"/>
      <c r="D37" s="312"/>
      <c r="E37" s="750"/>
      <c r="F37" s="756"/>
      <c r="G37" s="67"/>
    </row>
    <row r="38" spans="1:7" s="76" customFormat="1" ht="12.75">
      <c r="A38" s="74"/>
      <c r="B38" s="307" t="s">
        <v>404</v>
      </c>
      <c r="C38" s="82" t="s">
        <v>61</v>
      </c>
      <c r="D38" s="309"/>
      <c r="E38" s="752">
        <f>SUM(E39:E44)</f>
        <v>315890</v>
      </c>
      <c r="F38" s="758">
        <f>SUM(F39:F44)</f>
        <v>318271</v>
      </c>
      <c r="G38" s="67"/>
    </row>
    <row r="39" spans="1:10" s="65" customFormat="1" ht="12.75">
      <c r="A39" s="76"/>
      <c r="B39" s="310"/>
      <c r="C39" s="83" t="s">
        <v>62</v>
      </c>
      <c r="D39" s="315">
        <v>38</v>
      </c>
      <c r="E39" s="750">
        <f>71744+35872</f>
        <v>107616</v>
      </c>
      <c r="F39" s="756">
        <f>71744+35872</f>
        <v>107616</v>
      </c>
      <c r="G39" s="67"/>
      <c r="H39" s="67"/>
      <c r="I39" s="67"/>
      <c r="J39" s="67"/>
    </row>
    <row r="40" spans="2:7" s="65" customFormat="1" ht="12.75">
      <c r="B40" s="310"/>
      <c r="C40" s="83" t="s">
        <v>63</v>
      </c>
      <c r="D40" s="315">
        <f>28*0.666666666666667+24*0.333333333333333</f>
        <v>26.666666666666664</v>
      </c>
      <c r="E40" s="750">
        <f>30464+13056</f>
        <v>43520</v>
      </c>
      <c r="F40" s="756">
        <f>30464+13056</f>
        <v>43520</v>
      </c>
      <c r="G40" s="67"/>
    </row>
    <row r="41" spans="2:7" s="65" customFormat="1" ht="12.75">
      <c r="B41" s="310"/>
      <c r="C41" s="83" t="s">
        <v>486</v>
      </c>
      <c r="D41" s="312">
        <f>432*0.666666666666667+418*0.333333333333333</f>
        <v>427.3333333333333</v>
      </c>
      <c r="E41" s="750">
        <f>15552+7524</f>
        <v>23076</v>
      </c>
      <c r="F41" s="756">
        <f>15552+7524</f>
        <v>23076</v>
      </c>
      <c r="G41" s="67"/>
    </row>
    <row r="42" spans="2:7" s="65" customFormat="1" ht="12.75">
      <c r="B42" s="310"/>
      <c r="C42" s="83" t="s">
        <v>64</v>
      </c>
      <c r="D42" s="312">
        <v>1389</v>
      </c>
      <c r="E42" s="750">
        <v>141678</v>
      </c>
      <c r="F42" s="756">
        <v>141678</v>
      </c>
      <c r="G42" s="67"/>
    </row>
    <row r="43" spans="2:7" s="65" customFormat="1" ht="12.75">
      <c r="B43" s="310"/>
      <c r="C43" s="83" t="s">
        <v>487</v>
      </c>
      <c r="D43" s="312"/>
      <c r="E43" s="750"/>
      <c r="F43" s="756">
        <v>2381</v>
      </c>
      <c r="G43" s="67"/>
    </row>
    <row r="44" spans="2:7" s="65" customFormat="1" ht="12.75">
      <c r="B44" s="310"/>
      <c r="C44" s="252"/>
      <c r="D44" s="312"/>
      <c r="E44" s="750"/>
      <c r="F44" s="756"/>
      <c r="G44" s="67"/>
    </row>
    <row r="45" spans="1:7" s="76" customFormat="1" ht="12.75">
      <c r="A45" s="74"/>
      <c r="B45" s="307" t="s">
        <v>405</v>
      </c>
      <c r="C45" s="308" t="s">
        <v>65</v>
      </c>
      <c r="D45" s="309"/>
      <c r="E45" s="752">
        <f>SUM(E46:E57)</f>
        <v>144712</v>
      </c>
      <c r="F45" s="758">
        <f>SUM(F46:F57)</f>
        <v>144712</v>
      </c>
      <c r="G45" s="67"/>
    </row>
    <row r="46" spans="1:7" s="65" customFormat="1" ht="12.75">
      <c r="A46" s="76"/>
      <c r="B46" s="310"/>
      <c r="C46" s="311" t="s">
        <v>66</v>
      </c>
      <c r="D46" s="312">
        <v>8</v>
      </c>
      <c r="E46" s="750">
        <v>816</v>
      </c>
      <c r="F46" s="756">
        <v>816</v>
      </c>
      <c r="G46" s="67"/>
    </row>
    <row r="47" spans="2:10" s="65" customFormat="1" ht="12.75">
      <c r="B47" s="310"/>
      <c r="C47" s="311" t="s">
        <v>67</v>
      </c>
      <c r="D47" s="312"/>
      <c r="E47" s="750">
        <v>80644</v>
      </c>
      <c r="F47" s="756">
        <v>80644</v>
      </c>
      <c r="G47" s="67"/>
      <c r="H47" s="67"/>
      <c r="I47" s="67"/>
      <c r="J47" s="67"/>
    </row>
    <row r="48" spans="2:7" s="65" customFormat="1" ht="12.75">
      <c r="B48" s="310"/>
      <c r="C48" s="311" t="s">
        <v>68</v>
      </c>
      <c r="D48" s="316">
        <v>2.6194</v>
      </c>
      <c r="E48" s="750">
        <v>5173</v>
      </c>
      <c r="F48" s="756">
        <v>5173</v>
      </c>
      <c r="G48" s="67"/>
    </row>
    <row r="49" spans="2:7" s="65" customFormat="1" ht="12.75">
      <c r="B49" s="310"/>
      <c r="C49" s="311" t="s">
        <v>69</v>
      </c>
      <c r="D49" s="312">
        <v>13097</v>
      </c>
      <c r="E49" s="750">
        <v>3929</v>
      </c>
      <c r="F49" s="756">
        <v>3929</v>
      </c>
      <c r="G49" s="67"/>
    </row>
    <row r="50" spans="2:7" s="65" customFormat="1" ht="12.75">
      <c r="B50" s="310"/>
      <c r="C50" s="311" t="s">
        <v>70</v>
      </c>
      <c r="D50" s="316">
        <v>2.6194</v>
      </c>
      <c r="E50" s="750">
        <v>5173</v>
      </c>
      <c r="F50" s="756">
        <v>5173</v>
      </c>
      <c r="G50" s="67"/>
    </row>
    <row r="51" spans="2:7" s="65" customFormat="1" ht="12.75">
      <c r="B51" s="310"/>
      <c r="C51" s="311" t="s">
        <v>71</v>
      </c>
      <c r="D51" s="312">
        <v>39285.7612</v>
      </c>
      <c r="E51" s="750">
        <v>3929</v>
      </c>
      <c r="F51" s="756">
        <v>3929</v>
      </c>
      <c r="G51" s="67"/>
    </row>
    <row r="52" spans="2:7" s="65" customFormat="1" ht="12.75">
      <c r="B52" s="310"/>
      <c r="C52" s="311" t="s">
        <v>72</v>
      </c>
      <c r="D52" s="312">
        <v>260</v>
      </c>
      <c r="E52" s="750">
        <v>15833</v>
      </c>
      <c r="F52" s="756">
        <v>15833</v>
      </c>
      <c r="G52" s="67"/>
    </row>
    <row r="53" spans="2:7" s="65" customFormat="1" ht="12.75">
      <c r="B53" s="310"/>
      <c r="C53" s="311" t="s">
        <v>73</v>
      </c>
      <c r="D53" s="312">
        <v>60</v>
      </c>
      <c r="E53" s="750">
        <v>11310</v>
      </c>
      <c r="F53" s="756">
        <v>11310</v>
      </c>
      <c r="G53" s="67"/>
    </row>
    <row r="54" spans="2:7" s="65" customFormat="1" ht="12.75">
      <c r="B54" s="310"/>
      <c r="C54" s="311" t="s">
        <v>74</v>
      </c>
      <c r="D54" s="312">
        <v>40</v>
      </c>
      <c r="E54" s="750">
        <v>6540</v>
      </c>
      <c r="F54" s="756">
        <v>6540</v>
      </c>
      <c r="G54" s="67"/>
    </row>
    <row r="55" spans="2:7" s="65" customFormat="1" ht="12.75">
      <c r="B55" s="310"/>
      <c r="C55" s="311" t="s">
        <v>75</v>
      </c>
      <c r="D55" s="312">
        <v>17</v>
      </c>
      <c r="E55" s="750">
        <v>8400</v>
      </c>
      <c r="F55" s="756">
        <v>8400</v>
      </c>
      <c r="G55" s="67"/>
    </row>
    <row r="56" spans="2:7" s="65" customFormat="1" ht="12.75">
      <c r="B56" s="310"/>
      <c r="C56" s="311" t="s">
        <v>76</v>
      </c>
      <c r="D56" s="312">
        <v>3</v>
      </c>
      <c r="E56" s="750">
        <v>2965</v>
      </c>
      <c r="F56" s="756">
        <v>2965</v>
      </c>
      <c r="G56" s="67"/>
    </row>
    <row r="57" spans="2:7" s="65" customFormat="1" ht="12.75">
      <c r="B57" s="310"/>
      <c r="C57" s="311"/>
      <c r="D57" s="312"/>
      <c r="E57" s="750"/>
      <c r="F57" s="756"/>
      <c r="G57" s="67"/>
    </row>
    <row r="58" spans="1:7" s="76" customFormat="1" ht="12.75">
      <c r="A58" s="74"/>
      <c r="B58" s="307" t="s">
        <v>406</v>
      </c>
      <c r="C58" s="308" t="s">
        <v>77</v>
      </c>
      <c r="D58" s="309"/>
      <c r="E58" s="749">
        <f>SUM(E59:E61)</f>
        <v>177285</v>
      </c>
      <c r="F58" s="755">
        <f>SUM(F59:F61)</f>
        <v>177285</v>
      </c>
      <c r="G58" s="67"/>
    </row>
    <row r="59" spans="1:10" s="65" customFormat="1" ht="12.75">
      <c r="A59" s="76"/>
      <c r="B59" s="310"/>
      <c r="C59" s="311" t="s">
        <v>78</v>
      </c>
      <c r="D59" s="312">
        <v>41</v>
      </c>
      <c r="E59" s="750">
        <v>106848</v>
      </c>
      <c r="F59" s="756">
        <v>106848</v>
      </c>
      <c r="G59" s="67"/>
      <c r="H59" s="67"/>
      <c r="I59" s="67"/>
      <c r="J59" s="67"/>
    </row>
    <row r="60" spans="2:7" s="65" customFormat="1" ht="12.75">
      <c r="B60" s="310"/>
      <c r="C60" s="311" t="s">
        <v>79</v>
      </c>
      <c r="D60" s="312"/>
      <c r="E60" s="750">
        <v>70437</v>
      </c>
      <c r="F60" s="756">
        <v>70437</v>
      </c>
      <c r="G60" s="67"/>
    </row>
    <row r="61" spans="2:7" s="65" customFormat="1" ht="12.75">
      <c r="B61" s="310"/>
      <c r="C61" s="311"/>
      <c r="D61" s="312"/>
      <c r="E61" s="750"/>
      <c r="F61" s="756"/>
      <c r="G61" s="67"/>
    </row>
    <row r="62" spans="1:7" s="65" customFormat="1" ht="12.75">
      <c r="A62" s="19"/>
      <c r="B62" s="508" t="s">
        <v>407</v>
      </c>
      <c r="C62" s="510" t="s">
        <v>80</v>
      </c>
      <c r="D62" s="511"/>
      <c r="E62" s="552">
        <f>SUM(E63:E75)</f>
        <v>13819</v>
      </c>
      <c r="F62" s="605">
        <f>SUM(F63:F75)</f>
        <v>53049</v>
      </c>
      <c r="G62" s="67"/>
    </row>
    <row r="63" spans="1:7" s="65" customFormat="1" ht="12.75">
      <c r="A63" s="20"/>
      <c r="B63" s="288"/>
      <c r="C63" s="236" t="s">
        <v>454</v>
      </c>
      <c r="D63" s="305"/>
      <c r="E63" s="553">
        <v>248</v>
      </c>
      <c r="F63" s="599">
        <v>248</v>
      </c>
      <c r="G63" s="67"/>
    </row>
    <row r="64" spans="1:7" s="65" customFormat="1" ht="12.75">
      <c r="A64" s="20"/>
      <c r="B64" s="288"/>
      <c r="C64" s="236" t="s">
        <v>81</v>
      </c>
      <c r="D64" s="305"/>
      <c r="E64" s="553"/>
      <c r="F64" s="599"/>
      <c r="G64" s="67"/>
    </row>
    <row r="65" spans="1:7" s="65" customFormat="1" ht="12.75">
      <c r="A65" s="20"/>
      <c r="B65" s="288"/>
      <c r="C65" s="236" t="s">
        <v>82</v>
      </c>
      <c r="D65" s="305"/>
      <c r="E65" s="553"/>
      <c r="F65" s="599"/>
      <c r="G65" s="67"/>
    </row>
    <row r="66" spans="1:7" s="65" customFormat="1" ht="12.75">
      <c r="A66" s="20"/>
      <c r="B66" s="288"/>
      <c r="C66" s="236" t="s">
        <v>83</v>
      </c>
      <c r="D66" s="305"/>
      <c r="E66" s="553">
        <v>377</v>
      </c>
      <c r="F66" s="599">
        <v>377</v>
      </c>
      <c r="G66" s="67"/>
    </row>
    <row r="67" spans="1:7" s="65" customFormat="1" ht="12.75">
      <c r="A67" s="20"/>
      <c r="B67" s="288"/>
      <c r="C67" s="236" t="s">
        <v>84</v>
      </c>
      <c r="D67" s="305"/>
      <c r="E67" s="553"/>
      <c r="F67" s="599"/>
      <c r="G67" s="67"/>
    </row>
    <row r="68" spans="1:9" s="65" customFormat="1" ht="12.75">
      <c r="A68" s="20"/>
      <c r="B68" s="288"/>
      <c r="C68" s="236" t="s">
        <v>85</v>
      </c>
      <c r="D68" s="305"/>
      <c r="E68" s="553">
        <v>13194</v>
      </c>
      <c r="F68" s="599">
        <v>13194</v>
      </c>
      <c r="G68" s="67"/>
      <c r="H68" s="67"/>
      <c r="I68" s="67"/>
    </row>
    <row r="69" spans="1:7" s="65" customFormat="1" ht="12.75">
      <c r="A69" s="20"/>
      <c r="B69" s="288"/>
      <c r="C69" s="236" t="s">
        <v>86</v>
      </c>
      <c r="D69" s="305"/>
      <c r="E69" s="553"/>
      <c r="F69" s="599">
        <f>1790+2429+3560+5293+410+263+835</f>
        <v>14580</v>
      </c>
      <c r="G69" s="67"/>
    </row>
    <row r="70" spans="1:7" s="65" customFormat="1" ht="12.75">
      <c r="A70" s="20"/>
      <c r="B70" s="288"/>
      <c r="C70" s="236" t="s">
        <v>87</v>
      </c>
      <c r="D70" s="305"/>
      <c r="E70" s="553"/>
      <c r="F70" s="599"/>
      <c r="G70" s="67"/>
    </row>
    <row r="71" spans="1:7" s="65" customFormat="1" ht="12.75">
      <c r="A71" s="20"/>
      <c r="B71" s="288"/>
      <c r="C71" s="236" t="s">
        <v>88</v>
      </c>
      <c r="D71" s="305"/>
      <c r="E71" s="553"/>
      <c r="F71" s="599"/>
      <c r="G71" s="67"/>
    </row>
    <row r="72" spans="1:7" s="65" customFormat="1" ht="12.75">
      <c r="A72" s="20"/>
      <c r="B72" s="288"/>
      <c r="C72" s="236" t="s">
        <v>89</v>
      </c>
      <c r="D72" s="305"/>
      <c r="E72" s="553"/>
      <c r="F72" s="599"/>
      <c r="G72" s="67"/>
    </row>
    <row r="73" spans="1:7" s="65" customFormat="1" ht="12.75">
      <c r="A73" s="20"/>
      <c r="B73" s="288"/>
      <c r="C73" s="236" t="s">
        <v>90</v>
      </c>
      <c r="D73" s="305"/>
      <c r="E73" s="553"/>
      <c r="F73" s="599"/>
      <c r="G73" s="67"/>
    </row>
    <row r="74" spans="1:7" s="65" customFormat="1" ht="12.75">
      <c r="A74" s="20"/>
      <c r="B74" s="288"/>
      <c r="C74" s="236" t="s">
        <v>91</v>
      </c>
      <c r="D74" s="305"/>
      <c r="E74" s="553"/>
      <c r="F74" s="599">
        <v>9338</v>
      </c>
      <c r="G74" s="67"/>
    </row>
    <row r="75" spans="1:7" s="65" customFormat="1" ht="12.75">
      <c r="A75" s="20"/>
      <c r="B75" s="288"/>
      <c r="C75" s="236" t="s">
        <v>499</v>
      </c>
      <c r="D75" s="305"/>
      <c r="E75" s="553"/>
      <c r="F75" s="599">
        <f>8151+7161</f>
        <v>15312</v>
      </c>
      <c r="G75" s="67"/>
    </row>
    <row r="76" spans="1:7" s="65" customFormat="1" ht="13.5" thickBot="1">
      <c r="A76" s="20"/>
      <c r="B76" s="745"/>
      <c r="C76" s="311"/>
      <c r="D76" s="746"/>
      <c r="E76" s="747"/>
      <c r="F76" s="759"/>
      <c r="G76" s="67"/>
    </row>
    <row r="77" spans="2:7" s="19" customFormat="1" ht="12.75">
      <c r="B77" s="509" t="s">
        <v>408</v>
      </c>
      <c r="C77" s="513" t="s">
        <v>128</v>
      </c>
      <c r="D77" s="514"/>
      <c r="E77" s="602">
        <f>SUM(E78:E79)</f>
        <v>200144</v>
      </c>
      <c r="F77" s="604">
        <f>SUM(F78:F79)</f>
        <v>200144</v>
      </c>
      <c r="G77" s="67"/>
    </row>
    <row r="78" spans="1:9" s="65" customFormat="1" ht="25.5">
      <c r="A78" s="20"/>
      <c r="B78" s="319"/>
      <c r="C78" s="236" t="s">
        <v>129</v>
      </c>
      <c r="D78" s="305"/>
      <c r="E78" s="553">
        <v>200144</v>
      </c>
      <c r="F78" s="599">
        <v>200144</v>
      </c>
      <c r="G78" s="67"/>
      <c r="H78" s="67"/>
      <c r="I78" s="67"/>
    </row>
    <row r="79" spans="2:7" s="65" customFormat="1" ht="12.75">
      <c r="B79" s="319"/>
      <c r="C79" s="1"/>
      <c r="D79" s="305"/>
      <c r="E79" s="553"/>
      <c r="F79" s="599"/>
      <c r="G79" s="67"/>
    </row>
    <row r="80" spans="1:7" s="65" customFormat="1" ht="12.75">
      <c r="A80" s="20"/>
      <c r="B80" s="508" t="s">
        <v>462</v>
      </c>
      <c r="C80" s="510" t="s">
        <v>464</v>
      </c>
      <c r="D80" s="511"/>
      <c r="E80" s="552">
        <f>SUM(E81:E82)</f>
        <v>332794</v>
      </c>
      <c r="F80" s="605">
        <f>SUM(F81:F82)</f>
        <v>332794</v>
      </c>
      <c r="G80" s="67"/>
    </row>
    <row r="81" spans="1:7" s="65" customFormat="1" ht="12.75">
      <c r="A81" s="20"/>
      <c r="B81" s="288"/>
      <c r="C81" s="236" t="s">
        <v>466</v>
      </c>
      <c r="D81" s="320"/>
      <c r="E81" s="553">
        <v>332794</v>
      </c>
      <c r="F81" s="599">
        <v>332794</v>
      </c>
      <c r="G81" s="67"/>
    </row>
    <row r="82" spans="1:7" s="65" customFormat="1" ht="12.75">
      <c r="A82" s="20"/>
      <c r="B82" s="288"/>
      <c r="C82" s="236" t="s">
        <v>499</v>
      </c>
      <c r="D82" s="320"/>
      <c r="E82" s="554"/>
      <c r="F82" s="606"/>
      <c r="G82" s="67"/>
    </row>
    <row r="83" spans="1:7" s="75" customFormat="1" ht="12.75">
      <c r="A83" s="74"/>
      <c r="B83" s="508" t="s">
        <v>462</v>
      </c>
      <c r="C83" s="510" t="s">
        <v>463</v>
      </c>
      <c r="D83" s="511"/>
      <c r="E83" s="552">
        <f>+E84</f>
        <v>0</v>
      </c>
      <c r="F83" s="605">
        <f>+F84</f>
        <v>0</v>
      </c>
      <c r="G83" s="67"/>
    </row>
    <row r="84" spans="2:7" s="65" customFormat="1" ht="13.5" thickBot="1">
      <c r="B84" s="321"/>
      <c r="C84" s="317"/>
      <c r="D84" s="318"/>
      <c r="E84" s="557"/>
      <c r="F84" s="601"/>
      <c r="G84" s="67"/>
    </row>
    <row r="85" spans="2:7" s="80" customFormat="1" ht="13.5" thickBot="1">
      <c r="B85" s="349" t="s">
        <v>49</v>
      </c>
      <c r="C85" s="301" t="s">
        <v>155</v>
      </c>
      <c r="D85" s="301"/>
      <c r="E85" s="603">
        <f>+E86+E90</f>
        <v>28461</v>
      </c>
      <c r="F85" s="607">
        <f>+F86+F90</f>
        <v>29950</v>
      </c>
      <c r="G85" s="67"/>
    </row>
    <row r="86" spans="2:7" s="19" customFormat="1" ht="12.75">
      <c r="B86" s="307" t="s">
        <v>409</v>
      </c>
      <c r="C86" s="516" t="s">
        <v>155</v>
      </c>
      <c r="D86" s="516"/>
      <c r="E86" s="749">
        <f>SUM(E87:E89)</f>
        <v>11000</v>
      </c>
      <c r="F86" s="755">
        <f>SUM(F87:F89)</f>
        <v>11000</v>
      </c>
      <c r="G86" s="67"/>
    </row>
    <row r="87" spans="2:7" s="65" customFormat="1" ht="12.75">
      <c r="B87" s="319"/>
      <c r="C87" s="236" t="s">
        <v>150</v>
      </c>
      <c r="D87" s="236"/>
      <c r="E87" s="553">
        <v>3000</v>
      </c>
      <c r="F87" s="599">
        <v>3000</v>
      </c>
      <c r="G87" s="67"/>
    </row>
    <row r="88" spans="2:7" s="65" customFormat="1" ht="12.75">
      <c r="B88" s="319"/>
      <c r="C88" s="236" t="s">
        <v>151</v>
      </c>
      <c r="D88" s="236"/>
      <c r="E88" s="553">
        <v>8000</v>
      </c>
      <c r="F88" s="599">
        <v>8000</v>
      </c>
      <c r="G88" s="67"/>
    </row>
    <row r="89" spans="2:7" s="65" customFormat="1" ht="12.75">
      <c r="B89" s="319"/>
      <c r="C89" s="236"/>
      <c r="D89" s="236"/>
      <c r="E89" s="553"/>
      <c r="F89" s="599"/>
      <c r="G89" s="67"/>
    </row>
    <row r="90" spans="2:7" s="19" customFormat="1" ht="12.75">
      <c r="B90" s="509" t="s">
        <v>410</v>
      </c>
      <c r="C90" s="510" t="s">
        <v>97</v>
      </c>
      <c r="D90" s="510"/>
      <c r="E90" s="552">
        <f>SUM(E91:E97)</f>
        <v>17461</v>
      </c>
      <c r="F90" s="605">
        <f>SUM(F91:F97)</f>
        <v>18950</v>
      </c>
      <c r="G90" s="67"/>
    </row>
    <row r="91" spans="1:7" s="20" customFormat="1" ht="12.75">
      <c r="A91" s="65"/>
      <c r="B91" s="319"/>
      <c r="C91" s="236" t="s">
        <v>152</v>
      </c>
      <c r="D91" s="311"/>
      <c r="E91" s="753">
        <v>0</v>
      </c>
      <c r="F91" s="760">
        <v>0</v>
      </c>
      <c r="G91" s="67"/>
    </row>
    <row r="92" spans="1:7" s="20" customFormat="1" ht="12.75">
      <c r="A92" s="65"/>
      <c r="B92" s="319"/>
      <c r="C92" s="236" t="s">
        <v>153</v>
      </c>
      <c r="D92" s="311"/>
      <c r="E92" s="753">
        <v>0</v>
      </c>
      <c r="F92" s="760">
        <v>0</v>
      </c>
      <c r="G92" s="67"/>
    </row>
    <row r="93" spans="2:7" s="65" customFormat="1" ht="25.5">
      <c r="B93" s="319"/>
      <c r="C93" s="236" t="s">
        <v>154</v>
      </c>
      <c r="D93" s="236"/>
      <c r="E93" s="553">
        <v>7000</v>
      </c>
      <c r="F93" s="599">
        <v>7000</v>
      </c>
      <c r="G93" s="67"/>
    </row>
    <row r="94" spans="2:7" s="65" customFormat="1" ht="12.75">
      <c r="B94" s="319"/>
      <c r="C94" s="432" t="s">
        <v>440</v>
      </c>
      <c r="D94" s="432"/>
      <c r="E94" s="744">
        <v>1779</v>
      </c>
      <c r="F94" s="761">
        <v>1779</v>
      </c>
      <c r="G94" s="67"/>
    </row>
    <row r="95" spans="2:7" s="65" customFormat="1" ht="12.75">
      <c r="B95" s="319"/>
      <c r="C95" s="236" t="s">
        <v>485</v>
      </c>
      <c r="D95" s="432"/>
      <c r="E95" s="744"/>
      <c r="F95" s="761">
        <v>1489</v>
      </c>
      <c r="G95" s="67"/>
    </row>
    <row r="96" spans="2:7" s="65" customFormat="1" ht="12.75">
      <c r="B96" s="319"/>
      <c r="C96" s="236" t="s">
        <v>451</v>
      </c>
      <c r="D96" s="432"/>
      <c r="E96" s="744">
        <f>3176+836+168</f>
        <v>4180</v>
      </c>
      <c r="F96" s="761">
        <f>3176+836+168</f>
        <v>4180</v>
      </c>
      <c r="G96" s="67"/>
    </row>
    <row r="97" spans="2:11" s="65" customFormat="1" ht="13.5" thickBot="1">
      <c r="B97" s="321"/>
      <c r="C97" s="493" t="s">
        <v>452</v>
      </c>
      <c r="D97" s="317"/>
      <c r="E97" s="557">
        <f>1284+3218</f>
        <v>4502</v>
      </c>
      <c r="F97" s="601">
        <f>1284+3218</f>
        <v>4502</v>
      </c>
      <c r="G97" s="67"/>
      <c r="H97" s="500"/>
      <c r="J97" s="172"/>
      <c r="K97" s="500"/>
    </row>
    <row r="98" spans="2:5" s="65" customFormat="1" ht="12.75">
      <c r="B98" s="1"/>
      <c r="C98" s="1"/>
      <c r="D98" s="1"/>
      <c r="E98" s="258"/>
    </row>
    <row r="99" spans="2:5" s="65" customFormat="1" ht="12.75">
      <c r="B99" s="1"/>
      <c r="C99" s="1"/>
      <c r="D99" s="1"/>
      <c r="E99" s="258"/>
    </row>
    <row r="100" spans="2:5" s="65" customFormat="1" ht="12.75">
      <c r="B100" s="1"/>
      <c r="C100" s="1"/>
      <c r="D100" s="258"/>
      <c r="E100" s="1"/>
    </row>
    <row r="101" spans="2:5" s="65" customFormat="1" ht="12.75">
      <c r="B101" s="1"/>
      <c r="C101" s="1"/>
      <c r="D101" s="258"/>
      <c r="E101" s="1"/>
    </row>
    <row r="102" spans="2:5" s="65" customFormat="1" ht="12.75">
      <c r="B102" s="1"/>
      <c r="C102" s="1"/>
      <c r="D102" s="258"/>
      <c r="E102" s="1"/>
    </row>
    <row r="103" spans="2:5" s="65" customFormat="1" ht="12.75">
      <c r="B103" s="1"/>
      <c r="C103" s="1"/>
      <c r="D103" s="258"/>
      <c r="E103" s="1"/>
    </row>
    <row r="104" spans="2:5" s="65" customFormat="1" ht="12.75">
      <c r="B104" s="1"/>
      <c r="C104" s="1"/>
      <c r="D104" s="258"/>
      <c r="E104" s="1"/>
    </row>
    <row r="105" spans="2:5" s="65" customFormat="1" ht="12.75">
      <c r="B105" s="1"/>
      <c r="C105" s="1"/>
      <c r="D105" s="258"/>
      <c r="E105" s="1"/>
    </row>
    <row r="106" spans="2:5" s="65" customFormat="1" ht="12.75">
      <c r="B106" s="1"/>
      <c r="C106" s="1"/>
      <c r="D106" s="258"/>
      <c r="E106" s="1"/>
    </row>
    <row r="107" spans="2:5" s="65" customFormat="1" ht="12.75">
      <c r="B107" s="1"/>
      <c r="C107" s="1"/>
      <c r="D107" s="258"/>
      <c r="E107" s="1"/>
    </row>
    <row r="108" spans="2:5" s="65" customFormat="1" ht="12.75">
      <c r="B108" s="1"/>
      <c r="C108" s="1"/>
      <c r="D108" s="258"/>
      <c r="E108" s="1"/>
    </row>
    <row r="109" spans="2:5" s="65" customFormat="1" ht="12.75">
      <c r="B109" s="1"/>
      <c r="C109" s="1"/>
      <c r="D109" s="258"/>
      <c r="E109" s="1"/>
    </row>
    <row r="110" spans="2:5" s="65" customFormat="1" ht="12.75">
      <c r="B110" s="1"/>
      <c r="C110" s="1"/>
      <c r="D110" s="258"/>
      <c r="E110" s="1"/>
    </row>
    <row r="111" spans="2:5" s="65" customFormat="1" ht="12.75">
      <c r="B111" s="1"/>
      <c r="C111" s="1"/>
      <c r="D111" s="258"/>
      <c r="E111" s="1"/>
    </row>
    <row r="112" spans="2:5" s="65" customFormat="1" ht="12.75">
      <c r="B112" s="1"/>
      <c r="C112" s="1"/>
      <c r="D112" s="258"/>
      <c r="E112" s="1"/>
    </row>
    <row r="113" spans="2:5" s="65" customFormat="1" ht="12.75">
      <c r="B113" s="1"/>
      <c r="C113" s="1"/>
      <c r="D113" s="258"/>
      <c r="E113" s="1"/>
    </row>
    <row r="114" spans="2:5" s="65" customFormat="1" ht="12.75">
      <c r="B114" s="1"/>
      <c r="C114" s="1"/>
      <c r="D114" s="258"/>
      <c r="E114" s="1"/>
    </row>
    <row r="115" spans="2:5" s="65" customFormat="1" ht="12.75">
      <c r="B115" s="1"/>
      <c r="C115" s="1"/>
      <c r="D115" s="258"/>
      <c r="E115" s="1"/>
    </row>
    <row r="116" spans="2:5" s="65" customFormat="1" ht="12.75">
      <c r="B116" s="1"/>
      <c r="C116" s="1"/>
      <c r="D116" s="258"/>
      <c r="E116" s="1"/>
    </row>
    <row r="117" spans="2:5" s="65" customFormat="1" ht="12.75">
      <c r="B117" s="1"/>
      <c r="C117" s="1"/>
      <c r="D117" s="258"/>
      <c r="E117" s="1"/>
    </row>
    <row r="118" spans="2:5" s="65" customFormat="1" ht="12.75">
      <c r="B118" s="1"/>
      <c r="C118" s="1"/>
      <c r="D118" s="258"/>
      <c r="E118" s="1"/>
    </row>
    <row r="119" spans="2:5" s="65" customFormat="1" ht="12.75">
      <c r="B119" s="1"/>
      <c r="C119" s="1"/>
      <c r="D119" s="258"/>
      <c r="E119" s="1"/>
    </row>
    <row r="120" spans="2:5" s="65" customFormat="1" ht="12.75">
      <c r="B120" s="1"/>
      <c r="C120" s="1"/>
      <c r="D120" s="258"/>
      <c r="E120" s="1"/>
    </row>
    <row r="121" spans="2:5" s="65" customFormat="1" ht="12.75">
      <c r="B121" s="1"/>
      <c r="C121" s="1"/>
      <c r="D121" s="258"/>
      <c r="E121" s="1"/>
    </row>
    <row r="122" spans="2:5" s="65" customFormat="1" ht="12.75">
      <c r="B122" s="1"/>
      <c r="C122" s="1"/>
      <c r="D122" s="258"/>
      <c r="E122" s="1"/>
    </row>
    <row r="123" spans="2:5" s="65" customFormat="1" ht="12.75">
      <c r="B123" s="1"/>
      <c r="C123" s="1"/>
      <c r="D123" s="258"/>
      <c r="E123" s="1"/>
    </row>
    <row r="124" spans="2:5" s="65" customFormat="1" ht="12.75">
      <c r="B124" s="1"/>
      <c r="C124" s="1"/>
      <c r="D124" s="258"/>
      <c r="E124" s="1"/>
    </row>
    <row r="125" spans="2:5" s="65" customFormat="1" ht="12.75">
      <c r="B125" s="1"/>
      <c r="C125" s="1"/>
      <c r="D125" s="258"/>
      <c r="E125" s="1"/>
    </row>
    <row r="126" spans="2:5" s="65" customFormat="1" ht="12.75">
      <c r="B126" s="1"/>
      <c r="C126" s="1"/>
      <c r="D126" s="258"/>
      <c r="E126" s="1"/>
    </row>
    <row r="127" spans="2:5" s="65" customFormat="1" ht="12.75">
      <c r="B127" s="1"/>
      <c r="C127" s="1"/>
      <c r="D127" s="258"/>
      <c r="E127" s="1"/>
    </row>
    <row r="128" spans="2:5" s="65" customFormat="1" ht="12.75">
      <c r="B128" s="1"/>
      <c r="C128" s="1"/>
      <c r="D128" s="258"/>
      <c r="E128" s="1"/>
    </row>
    <row r="129" spans="2:5" s="65" customFormat="1" ht="12.75">
      <c r="B129" s="1"/>
      <c r="C129" s="1"/>
      <c r="D129" s="258"/>
      <c r="E129" s="1"/>
    </row>
    <row r="130" spans="2:5" s="65" customFormat="1" ht="12.75">
      <c r="B130" s="1"/>
      <c r="C130" s="1"/>
      <c r="D130" s="258"/>
      <c r="E130" s="1"/>
    </row>
    <row r="131" spans="2:5" s="65" customFormat="1" ht="12.75">
      <c r="B131" s="1"/>
      <c r="C131" s="1"/>
      <c r="D131" s="258"/>
      <c r="E131" s="1"/>
    </row>
    <row r="132" spans="2:5" s="65" customFormat="1" ht="12.75">
      <c r="B132" s="1"/>
      <c r="C132" s="1"/>
      <c r="D132" s="258"/>
      <c r="E132" s="1"/>
    </row>
    <row r="133" spans="2:5" s="65" customFormat="1" ht="12.75">
      <c r="B133" s="1"/>
      <c r="C133" s="1"/>
      <c r="D133" s="258"/>
      <c r="E133" s="1"/>
    </row>
    <row r="134" spans="2:5" s="65" customFormat="1" ht="12.75">
      <c r="B134" s="1"/>
      <c r="C134" s="1"/>
      <c r="D134" s="258"/>
      <c r="E134" s="1"/>
    </row>
    <row r="135" spans="2:5" s="65" customFormat="1" ht="12.75">
      <c r="B135" s="1"/>
      <c r="C135" s="1"/>
      <c r="D135" s="258"/>
      <c r="E135" s="1"/>
    </row>
    <row r="136" spans="2:5" s="65" customFormat="1" ht="12.75">
      <c r="B136" s="1"/>
      <c r="C136" s="1"/>
      <c r="D136" s="258"/>
      <c r="E136" s="1"/>
    </row>
    <row r="137" spans="2:5" s="65" customFormat="1" ht="12.75">
      <c r="B137" s="1"/>
      <c r="C137" s="1"/>
      <c r="D137" s="258"/>
      <c r="E137" s="1"/>
    </row>
    <row r="138" spans="2:5" s="65" customFormat="1" ht="12.75">
      <c r="B138" s="1"/>
      <c r="C138" s="1"/>
      <c r="D138" s="258"/>
      <c r="E138" s="1"/>
    </row>
    <row r="139" spans="2:5" s="65" customFormat="1" ht="12.75">
      <c r="B139" s="1"/>
      <c r="C139" s="1"/>
      <c r="D139" s="258"/>
      <c r="E139" s="1"/>
    </row>
    <row r="140" spans="2:5" s="65" customFormat="1" ht="12.75">
      <c r="B140" s="1"/>
      <c r="C140" s="1"/>
      <c r="D140" s="258"/>
      <c r="E140" s="1"/>
    </row>
    <row r="141" spans="2:5" s="65" customFormat="1" ht="12.75">
      <c r="B141" s="1"/>
      <c r="C141" s="1"/>
      <c r="D141" s="258"/>
      <c r="E141" s="1"/>
    </row>
    <row r="142" spans="2:5" s="65" customFormat="1" ht="12.75">
      <c r="B142" s="1"/>
      <c r="C142" s="1"/>
      <c r="D142" s="258"/>
      <c r="E142" s="1"/>
    </row>
    <row r="143" spans="2:5" s="65" customFormat="1" ht="12.75">
      <c r="B143" s="1"/>
      <c r="C143" s="1"/>
      <c r="D143" s="258"/>
      <c r="E143" s="1"/>
    </row>
    <row r="144" spans="2:5" s="65" customFormat="1" ht="12.75">
      <c r="B144" s="1"/>
      <c r="C144" s="1"/>
      <c r="D144" s="258"/>
      <c r="E144" s="1"/>
    </row>
    <row r="145" spans="2:5" s="65" customFormat="1" ht="12.75">
      <c r="B145" s="1"/>
      <c r="C145" s="1"/>
      <c r="D145" s="258"/>
      <c r="E145" s="1"/>
    </row>
    <row r="146" spans="2:5" s="65" customFormat="1" ht="12.75">
      <c r="B146" s="1"/>
      <c r="C146" s="1"/>
      <c r="D146" s="258"/>
      <c r="E146" s="1"/>
    </row>
    <row r="147" spans="2:5" s="65" customFormat="1" ht="12.75">
      <c r="B147" s="1"/>
      <c r="C147" s="1"/>
      <c r="D147" s="258"/>
      <c r="E147" s="1"/>
    </row>
    <row r="148" spans="2:5" s="65" customFormat="1" ht="12.75">
      <c r="B148" s="1"/>
      <c r="C148" s="1"/>
      <c r="D148" s="258"/>
      <c r="E148" s="1"/>
    </row>
    <row r="149" spans="2:5" s="65" customFormat="1" ht="12.75">
      <c r="B149" s="1"/>
      <c r="C149" s="1"/>
      <c r="D149" s="258"/>
      <c r="E149" s="1"/>
    </row>
    <row r="150" spans="2:5" s="65" customFormat="1" ht="12.75">
      <c r="B150" s="1"/>
      <c r="C150" s="1"/>
      <c r="D150" s="258"/>
      <c r="E150" s="1"/>
    </row>
    <row r="151" spans="2:5" s="65" customFormat="1" ht="12.75">
      <c r="B151" s="1"/>
      <c r="C151" s="1"/>
      <c r="D151" s="258"/>
      <c r="E151" s="1"/>
    </row>
    <row r="152" spans="2:5" s="65" customFormat="1" ht="12.75">
      <c r="B152" s="1"/>
      <c r="C152" s="1"/>
      <c r="D152" s="258"/>
      <c r="E152" s="1"/>
    </row>
    <row r="153" spans="2:5" s="65" customFormat="1" ht="12.75">
      <c r="B153" s="1"/>
      <c r="C153" s="1"/>
      <c r="D153" s="258"/>
      <c r="E153" s="1"/>
    </row>
    <row r="154" spans="2:5" s="65" customFormat="1" ht="12.75">
      <c r="B154" s="1"/>
      <c r="C154" s="1"/>
      <c r="D154" s="258"/>
      <c r="E154" s="1"/>
    </row>
    <row r="155" spans="2:5" s="65" customFormat="1" ht="12.75">
      <c r="B155" s="1"/>
      <c r="C155" s="1"/>
      <c r="D155" s="258"/>
      <c r="E155" s="1"/>
    </row>
    <row r="156" spans="2:5" s="65" customFormat="1" ht="12.75">
      <c r="B156" s="1"/>
      <c r="C156" s="1"/>
      <c r="D156" s="258"/>
      <c r="E156" s="1"/>
    </row>
    <row r="157" spans="2:5" s="65" customFormat="1" ht="12.75">
      <c r="B157" s="1"/>
      <c r="C157" s="1"/>
      <c r="D157" s="258"/>
      <c r="E157" s="1"/>
    </row>
    <row r="158" spans="2:5" s="65" customFormat="1" ht="12.75">
      <c r="B158" s="1"/>
      <c r="C158" s="1"/>
      <c r="D158" s="258"/>
      <c r="E158" s="1"/>
    </row>
    <row r="159" spans="2:5" s="65" customFormat="1" ht="12.75">
      <c r="B159" s="1"/>
      <c r="C159" s="1"/>
      <c r="D159" s="258"/>
      <c r="E159" s="1"/>
    </row>
    <row r="160" spans="2:5" s="65" customFormat="1" ht="12.75">
      <c r="B160" s="1"/>
      <c r="C160" s="1"/>
      <c r="D160" s="258"/>
      <c r="E160" s="1"/>
    </row>
    <row r="161" spans="2:5" s="65" customFormat="1" ht="12.75">
      <c r="B161" s="1"/>
      <c r="C161" s="1"/>
      <c r="D161" s="258"/>
      <c r="E161" s="1"/>
    </row>
    <row r="162" spans="2:5" s="65" customFormat="1" ht="12.75">
      <c r="B162" s="1"/>
      <c r="C162" s="1"/>
      <c r="D162" s="258"/>
      <c r="E162" s="1"/>
    </row>
    <row r="163" spans="2:5" s="65" customFormat="1" ht="12.75">
      <c r="B163" s="1"/>
      <c r="C163" s="1"/>
      <c r="D163" s="258"/>
      <c r="E163" s="1"/>
    </row>
    <row r="164" spans="2:5" s="65" customFormat="1" ht="12.75">
      <c r="B164" s="1"/>
      <c r="C164" s="1"/>
      <c r="D164" s="258"/>
      <c r="E164" s="1"/>
    </row>
    <row r="165" spans="2:5" s="65" customFormat="1" ht="12.75">
      <c r="B165" s="1"/>
      <c r="C165" s="1"/>
      <c r="D165" s="258"/>
      <c r="E165" s="1"/>
    </row>
    <row r="166" spans="2:5" s="65" customFormat="1" ht="12.75">
      <c r="B166" s="1"/>
      <c r="C166" s="1"/>
      <c r="D166" s="258"/>
      <c r="E166" s="1"/>
    </row>
    <row r="167" spans="2:5" s="65" customFormat="1" ht="12.75">
      <c r="B167" s="1"/>
      <c r="C167" s="1"/>
      <c r="D167" s="258"/>
      <c r="E167" s="1"/>
    </row>
    <row r="168" spans="2:5" s="65" customFormat="1" ht="12.75">
      <c r="B168" s="1"/>
      <c r="C168" s="1"/>
      <c r="D168" s="258"/>
      <c r="E168" s="1"/>
    </row>
    <row r="169" spans="2:5" s="65" customFormat="1" ht="12.75">
      <c r="B169" s="1"/>
      <c r="C169" s="1"/>
      <c r="D169" s="258"/>
      <c r="E169" s="1"/>
    </row>
    <row r="170" spans="2:5" s="65" customFormat="1" ht="12.75">
      <c r="B170" s="1"/>
      <c r="C170" s="1"/>
      <c r="D170" s="258"/>
      <c r="E170" s="1"/>
    </row>
    <row r="171" spans="2:5" s="65" customFormat="1" ht="12.75">
      <c r="B171" s="1"/>
      <c r="C171" s="1"/>
      <c r="D171" s="258"/>
      <c r="E171" s="1"/>
    </row>
    <row r="172" spans="2:5" s="65" customFormat="1" ht="12.75">
      <c r="B172" s="1"/>
      <c r="C172" s="1"/>
      <c r="D172" s="258"/>
      <c r="E172" s="1"/>
    </row>
    <row r="173" spans="2:5" s="65" customFormat="1" ht="12.75">
      <c r="B173" s="1"/>
      <c r="C173" s="1"/>
      <c r="D173" s="258"/>
      <c r="E173" s="1"/>
    </row>
    <row r="174" spans="2:5" s="65" customFormat="1" ht="12.75">
      <c r="B174" s="1"/>
      <c r="C174" s="1"/>
      <c r="D174" s="258"/>
      <c r="E174" s="1"/>
    </row>
    <row r="175" spans="2:5" s="65" customFormat="1" ht="12.75">
      <c r="B175" s="1"/>
      <c r="C175" s="1"/>
      <c r="D175" s="258"/>
      <c r="E175" s="1"/>
    </row>
    <row r="176" spans="2:5" s="65" customFormat="1" ht="12.75">
      <c r="B176" s="1"/>
      <c r="C176" s="1"/>
      <c r="D176" s="258"/>
      <c r="E176" s="1"/>
    </row>
    <row r="177" spans="2:5" s="65" customFormat="1" ht="12.75">
      <c r="B177" s="1"/>
      <c r="C177" s="1"/>
      <c r="D177" s="258"/>
      <c r="E177" s="1"/>
    </row>
    <row r="178" spans="2:5" s="65" customFormat="1" ht="12.75">
      <c r="B178" s="1"/>
      <c r="C178" s="1"/>
      <c r="D178" s="258"/>
      <c r="E178" s="1"/>
    </row>
    <row r="179" spans="2:5" s="65" customFormat="1" ht="12.75">
      <c r="B179" s="1"/>
      <c r="C179" s="1"/>
      <c r="D179" s="258"/>
      <c r="E179" s="1"/>
    </row>
    <row r="180" spans="2:5" s="65" customFormat="1" ht="12.75">
      <c r="B180" s="1"/>
      <c r="C180" s="1"/>
      <c r="D180" s="258"/>
      <c r="E180" s="1"/>
    </row>
    <row r="181" spans="2:5" s="65" customFormat="1" ht="12.75">
      <c r="B181" s="1"/>
      <c r="C181" s="1"/>
      <c r="D181" s="258"/>
      <c r="E181" s="1"/>
    </row>
    <row r="182" spans="2:5" s="65" customFormat="1" ht="12.75">
      <c r="B182" s="1"/>
      <c r="C182" s="1"/>
      <c r="D182" s="258"/>
      <c r="E182" s="1"/>
    </row>
    <row r="183" spans="2:5" s="65" customFormat="1" ht="12.75">
      <c r="B183" s="1"/>
      <c r="C183" s="1"/>
      <c r="D183" s="258"/>
      <c r="E183" s="1"/>
    </row>
    <row r="184" spans="2:5" s="65" customFormat="1" ht="12.75">
      <c r="B184" s="1"/>
      <c r="C184" s="1"/>
      <c r="D184" s="258"/>
      <c r="E184" s="1"/>
    </row>
    <row r="185" spans="2:5" s="65" customFormat="1" ht="12.75">
      <c r="B185" s="1"/>
      <c r="C185" s="1"/>
      <c r="D185" s="258"/>
      <c r="E185" s="1"/>
    </row>
    <row r="186" spans="2:5" s="65" customFormat="1" ht="12.75">
      <c r="B186" s="1"/>
      <c r="C186" s="1"/>
      <c r="D186" s="258"/>
      <c r="E186" s="1"/>
    </row>
    <row r="187" spans="2:5" s="65" customFormat="1" ht="12.75">
      <c r="B187" s="1"/>
      <c r="C187" s="1"/>
      <c r="D187" s="258"/>
      <c r="E187" s="1"/>
    </row>
    <row r="188" spans="2:5" s="65" customFormat="1" ht="12.75">
      <c r="B188" s="1"/>
      <c r="C188" s="1"/>
      <c r="D188" s="258"/>
      <c r="E188" s="1"/>
    </row>
    <row r="189" spans="2:5" s="65" customFormat="1" ht="12.75">
      <c r="B189" s="1"/>
      <c r="C189" s="1"/>
      <c r="D189" s="258"/>
      <c r="E189" s="1"/>
    </row>
    <row r="190" spans="2:5" s="65" customFormat="1" ht="12.75">
      <c r="B190" s="1"/>
      <c r="C190" s="1"/>
      <c r="D190" s="258"/>
      <c r="E190" s="1"/>
    </row>
    <row r="191" spans="2:5" s="65" customFormat="1" ht="12.75">
      <c r="B191" s="1"/>
      <c r="C191" s="1"/>
      <c r="D191" s="258"/>
      <c r="E191" s="1"/>
    </row>
  </sheetData>
  <mergeCells count="6">
    <mergeCell ref="B8:B9"/>
    <mergeCell ref="C8:C9"/>
    <mergeCell ref="B4:E4"/>
    <mergeCell ref="B5:E5"/>
    <mergeCell ref="B6:E6"/>
    <mergeCell ref="B7:C7"/>
  </mergeCells>
  <printOptions horizontalCentered="1"/>
  <pageMargins left="0.4" right="0.32" top="0.7" bottom="0.79" header="0.5118110236220472" footer="0.5118110236220472"/>
  <pageSetup horizontalDpi="600" verticalDpi="600" orientation="portrait" paperSize="9" scale="97" r:id="rId1"/>
  <headerFooter alignWithMargins="0">
    <oddFooter>&amp;R&amp;P</oddFooter>
  </headerFooter>
  <rowBreaks count="1" manualBreakCount="1">
    <brk id="5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50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16.00390625" style="65" customWidth="1"/>
    <col min="2" max="2" width="6.7109375" style="1" customWidth="1"/>
    <col min="3" max="3" width="49.421875" style="1" customWidth="1"/>
    <col min="4" max="4" width="11.00390625" style="1" customWidth="1"/>
    <col min="5" max="5" width="10.7109375" style="1" customWidth="1"/>
    <col min="6" max="7" width="11.8515625" style="65" customWidth="1"/>
    <col min="8" max="16384" width="9.140625" style="65" customWidth="1"/>
  </cols>
  <sheetData>
    <row r="1" spans="1:7" ht="15.75">
      <c r="A1" s="25"/>
      <c r="G1" s="6" t="s">
        <v>503</v>
      </c>
    </row>
    <row r="2" ht="12.75">
      <c r="G2" s="7" t="s">
        <v>473</v>
      </c>
    </row>
    <row r="3" ht="39" customHeight="1"/>
    <row r="4" spans="2:5" ht="12.75">
      <c r="B4" s="789" t="s">
        <v>95</v>
      </c>
      <c r="C4" s="789"/>
      <c r="D4" s="789"/>
      <c r="E4" s="789"/>
    </row>
    <row r="5" spans="2:5" ht="12.75">
      <c r="B5" s="789" t="s">
        <v>94</v>
      </c>
      <c r="C5" s="789"/>
      <c r="D5" s="789"/>
      <c r="E5" s="789"/>
    </row>
    <row r="6" spans="2:7" ht="14.25" thickBot="1">
      <c r="B6" s="790"/>
      <c r="C6" s="790"/>
      <c r="D6" s="281"/>
      <c r="G6" s="282" t="s">
        <v>0</v>
      </c>
    </row>
    <row r="7" spans="2:7" ht="25.5" customHeight="1">
      <c r="B7" s="768" t="s">
        <v>30</v>
      </c>
      <c r="C7" s="770" t="s">
        <v>31</v>
      </c>
      <c r="D7" s="765" t="s">
        <v>481</v>
      </c>
      <c r="E7" s="767"/>
      <c r="F7" s="766" t="s">
        <v>478</v>
      </c>
      <c r="G7" s="767"/>
    </row>
    <row r="8" spans="2:7" ht="38.25">
      <c r="B8" s="769"/>
      <c r="C8" s="764"/>
      <c r="D8" s="225" t="s">
        <v>191</v>
      </c>
      <c r="E8" s="559" t="s">
        <v>192</v>
      </c>
      <c r="F8" s="560" t="s">
        <v>191</v>
      </c>
      <c r="G8" s="279" t="s">
        <v>192</v>
      </c>
    </row>
    <row r="9" spans="2:7" s="21" customFormat="1" ht="12.75">
      <c r="B9" s="285" t="s">
        <v>282</v>
      </c>
      <c r="C9" s="286" t="s">
        <v>415</v>
      </c>
      <c r="D9" s="339">
        <f>+D10+D18+D24+D27</f>
        <v>25596</v>
      </c>
      <c r="E9" s="551">
        <f>+E10+E18+E24+E27</f>
        <v>24746</v>
      </c>
      <c r="F9" s="561">
        <f>+F10+F18+F24+F27</f>
        <v>25596</v>
      </c>
      <c r="G9" s="287">
        <f>+G10+G18+G24+G27</f>
        <v>24746</v>
      </c>
    </row>
    <row r="10" spans="1:7" s="75" customFormat="1" ht="15.75" customHeight="1">
      <c r="A10" s="74"/>
      <c r="B10" s="508" t="s">
        <v>411</v>
      </c>
      <c r="C10" s="510" t="s">
        <v>132</v>
      </c>
      <c r="D10" s="515">
        <f>SUM(D11:D17)</f>
        <v>0</v>
      </c>
      <c r="E10" s="552">
        <f>SUM(E11:E17)</f>
        <v>24746</v>
      </c>
      <c r="F10" s="562">
        <f>SUM(F11:F17)</f>
        <v>0</v>
      </c>
      <c r="G10" s="512">
        <f>SUM(G11:G17)</f>
        <v>24746</v>
      </c>
    </row>
    <row r="11" spans="1:7" ht="12.75">
      <c r="A11" s="76"/>
      <c r="B11" s="288"/>
      <c r="C11" s="289" t="s">
        <v>133</v>
      </c>
      <c r="D11" s="237"/>
      <c r="E11" s="553"/>
      <c r="F11" s="563"/>
      <c r="G11" s="290"/>
    </row>
    <row r="12" spans="2:7" ht="12.75">
      <c r="B12" s="288"/>
      <c r="C12" s="289" t="s">
        <v>134</v>
      </c>
      <c r="D12" s="237"/>
      <c r="E12" s="553">
        <v>20000</v>
      </c>
      <c r="F12" s="563"/>
      <c r="G12" s="290">
        <v>20000</v>
      </c>
    </row>
    <row r="13" spans="2:7" ht="12.75">
      <c r="B13" s="288"/>
      <c r="C13" s="289" t="s">
        <v>135</v>
      </c>
      <c r="D13" s="237"/>
      <c r="E13" s="553">
        <f>4800-54</f>
        <v>4746</v>
      </c>
      <c r="F13" s="563"/>
      <c r="G13" s="290">
        <f>4800-54</f>
        <v>4746</v>
      </c>
    </row>
    <row r="14" spans="2:7" ht="12.75">
      <c r="B14" s="288"/>
      <c r="C14" s="289" t="s">
        <v>136</v>
      </c>
      <c r="D14" s="237"/>
      <c r="E14" s="553"/>
      <c r="F14" s="563"/>
      <c r="G14" s="290"/>
    </row>
    <row r="15" spans="2:7" ht="12.75">
      <c r="B15" s="288"/>
      <c r="C15" s="289" t="s">
        <v>137</v>
      </c>
      <c r="D15" s="237"/>
      <c r="E15" s="553"/>
      <c r="F15" s="563"/>
      <c r="G15" s="290"/>
    </row>
    <row r="16" spans="1:7" ht="12.75">
      <c r="A16" s="77"/>
      <c r="B16" s="288"/>
      <c r="C16" s="289" t="s">
        <v>138</v>
      </c>
      <c r="D16" s="237"/>
      <c r="E16" s="553"/>
      <c r="F16" s="563"/>
      <c r="G16" s="290"/>
    </row>
    <row r="17" spans="2:7" ht="12.75">
      <c r="B17" s="288"/>
      <c r="C17" s="289"/>
      <c r="D17" s="239"/>
      <c r="E17" s="554"/>
      <c r="F17" s="564"/>
      <c r="G17" s="249"/>
    </row>
    <row r="18" spans="1:7" s="75" customFormat="1" ht="14.25" customHeight="1">
      <c r="A18" s="74"/>
      <c r="B18" s="508" t="s">
        <v>412</v>
      </c>
      <c r="C18" s="510" t="s">
        <v>459</v>
      </c>
      <c r="D18" s="515">
        <f>SUM(D19:D23)</f>
        <v>25596</v>
      </c>
      <c r="E18" s="552">
        <f>SUM(E19:E23)</f>
        <v>0</v>
      </c>
      <c r="F18" s="562">
        <f>SUM(F19:F23)</f>
        <v>25596</v>
      </c>
      <c r="G18" s="512">
        <f>SUM(G19:G23)</f>
        <v>0</v>
      </c>
    </row>
    <row r="19" spans="1:7" ht="12.75">
      <c r="A19" s="76"/>
      <c r="B19" s="288"/>
      <c r="C19" s="289" t="s">
        <v>140</v>
      </c>
      <c r="D19" s="237"/>
      <c r="E19" s="553"/>
      <c r="F19" s="563"/>
      <c r="G19" s="290"/>
    </row>
    <row r="20" spans="2:12" ht="12.75">
      <c r="B20" s="288"/>
      <c r="C20" s="289" t="s">
        <v>141</v>
      </c>
      <c r="D20" s="237">
        <f>ROUND(5481*1.27,0)</f>
        <v>6961</v>
      </c>
      <c r="E20" s="553"/>
      <c r="F20" s="563">
        <f>ROUND(5481*1.27,0)</f>
        <v>6961</v>
      </c>
      <c r="G20" s="290"/>
      <c r="H20" s="24"/>
      <c r="L20" s="67"/>
    </row>
    <row r="21" spans="2:7" ht="12.75">
      <c r="B21" s="288"/>
      <c r="C21" s="289" t="s">
        <v>142</v>
      </c>
      <c r="D21" s="237">
        <f>ROUND(9307.5*1.27,0)</f>
        <v>11821</v>
      </c>
      <c r="E21" s="553"/>
      <c r="F21" s="563">
        <f>ROUND(9307.5*1.27,0)</f>
        <v>11821</v>
      </c>
      <c r="G21" s="290"/>
    </row>
    <row r="22" spans="2:7" ht="12.75">
      <c r="B22" s="288"/>
      <c r="C22" s="289" t="s">
        <v>143</v>
      </c>
      <c r="D22" s="237">
        <f>ROUND((14672.5-9307.5)*1.27,0)</f>
        <v>6814</v>
      </c>
      <c r="E22" s="553"/>
      <c r="F22" s="563">
        <f>ROUND((14672.5-9307.5)*1.27,0)</f>
        <v>6814</v>
      </c>
      <c r="G22" s="290"/>
    </row>
    <row r="23" spans="2:7" ht="12.75">
      <c r="B23" s="288"/>
      <c r="C23" s="289"/>
      <c r="D23" s="237"/>
      <c r="E23" s="553"/>
      <c r="F23" s="563"/>
      <c r="G23" s="290"/>
    </row>
    <row r="24" spans="1:8" s="75" customFormat="1" ht="14.25" customHeight="1">
      <c r="A24" s="74"/>
      <c r="B24" s="508" t="s">
        <v>413</v>
      </c>
      <c r="C24" s="517" t="s">
        <v>145</v>
      </c>
      <c r="D24" s="515">
        <f>SUM(D25:D29)</f>
        <v>0</v>
      </c>
      <c r="E24" s="552">
        <f>SUM(E25:E29)</f>
        <v>0</v>
      </c>
      <c r="F24" s="562">
        <f>SUM(F25:F29)</f>
        <v>0</v>
      </c>
      <c r="G24" s="512">
        <f>SUM(G25:G29)</f>
        <v>0</v>
      </c>
      <c r="H24" s="76"/>
    </row>
    <row r="25" spans="1:7" ht="12.75">
      <c r="A25" s="76"/>
      <c r="B25" s="288"/>
      <c r="C25" s="236" t="s">
        <v>146</v>
      </c>
      <c r="D25" s="237"/>
      <c r="E25" s="553"/>
      <c r="F25" s="563"/>
      <c r="G25" s="290"/>
    </row>
    <row r="26" spans="1:7" ht="12.75">
      <c r="A26" s="76"/>
      <c r="B26" s="288"/>
      <c r="C26" s="236"/>
      <c r="D26" s="237"/>
      <c r="E26" s="553"/>
      <c r="F26" s="563"/>
      <c r="G26" s="290"/>
    </row>
    <row r="27" spans="1:7" s="75" customFormat="1" ht="14.25" customHeight="1">
      <c r="A27" s="79"/>
      <c r="B27" s="508" t="s">
        <v>414</v>
      </c>
      <c r="C27" s="510" t="s">
        <v>147</v>
      </c>
      <c r="D27" s="515">
        <f>+D28</f>
        <v>0</v>
      </c>
      <c r="E27" s="552">
        <f>+E28</f>
        <v>0</v>
      </c>
      <c r="F27" s="562">
        <f>+F28</f>
        <v>0</v>
      </c>
      <c r="G27" s="512">
        <f>+G28</f>
        <v>0</v>
      </c>
    </row>
    <row r="28" spans="1:7" ht="12.75">
      <c r="A28" s="76"/>
      <c r="B28" s="288"/>
      <c r="C28" s="236" t="s">
        <v>148</v>
      </c>
      <c r="D28" s="237"/>
      <c r="E28" s="553"/>
      <c r="F28" s="563"/>
      <c r="G28" s="290"/>
    </row>
    <row r="29" spans="2:7" ht="12.75">
      <c r="B29" s="288"/>
      <c r="C29" s="236"/>
      <c r="D29" s="237"/>
      <c r="E29" s="553"/>
      <c r="F29" s="563"/>
      <c r="G29" s="290"/>
    </row>
    <row r="30" spans="1:7" ht="12.75">
      <c r="A30" s="19"/>
      <c r="B30" s="340" t="s">
        <v>283</v>
      </c>
      <c r="C30" s="341" t="s">
        <v>96</v>
      </c>
      <c r="D30" s="342">
        <f>SUM(D31:D38)</f>
        <v>327675</v>
      </c>
      <c r="E30" s="555">
        <f>SUM(E31:E38)</f>
        <v>39977</v>
      </c>
      <c r="F30" s="565">
        <f>SUM(F31:F38)</f>
        <v>327675</v>
      </c>
      <c r="G30" s="343">
        <f>SUM(G31:G38)</f>
        <v>39977</v>
      </c>
    </row>
    <row r="31" spans="2:7" ht="12.75">
      <c r="B31" s="288"/>
      <c r="C31" s="238" t="s">
        <v>98</v>
      </c>
      <c r="D31" s="63">
        <v>150000</v>
      </c>
      <c r="E31" s="556"/>
      <c r="F31" s="566">
        <v>150000</v>
      </c>
      <c r="G31" s="53"/>
    </row>
    <row r="32" spans="2:7" ht="12.75">
      <c r="B32" s="288"/>
      <c r="C32" s="238" t="s">
        <v>99</v>
      </c>
      <c r="D32" s="237"/>
      <c r="E32" s="553">
        <v>462</v>
      </c>
      <c r="F32" s="563"/>
      <c r="G32" s="290">
        <v>462</v>
      </c>
    </row>
    <row r="33" spans="2:7" ht="12.75">
      <c r="B33" s="288"/>
      <c r="C33" s="238" t="s">
        <v>100</v>
      </c>
      <c r="D33" s="237"/>
      <c r="E33" s="553">
        <v>993</v>
      </c>
      <c r="F33" s="563"/>
      <c r="G33" s="290">
        <v>993</v>
      </c>
    </row>
    <row r="34" spans="2:7" ht="12.75">
      <c r="B34" s="288"/>
      <c r="C34" s="291" t="s">
        <v>101</v>
      </c>
      <c r="D34" s="63"/>
      <c r="E34" s="556">
        <v>12272</v>
      </c>
      <c r="F34" s="566"/>
      <c r="G34" s="53">
        <v>12272</v>
      </c>
    </row>
    <row r="35" spans="2:7" ht="12.75">
      <c r="B35" s="288"/>
      <c r="C35" s="238" t="s">
        <v>102</v>
      </c>
      <c r="D35" s="63">
        <f>164700*0.85</f>
        <v>139995</v>
      </c>
      <c r="E35" s="556"/>
      <c r="F35" s="566">
        <f>164700*0.85</f>
        <v>139995</v>
      </c>
      <c r="G35" s="53"/>
    </row>
    <row r="36" spans="2:7" ht="12.75">
      <c r="B36" s="288"/>
      <c r="C36" s="238" t="s">
        <v>103</v>
      </c>
      <c r="D36" s="237">
        <v>37680</v>
      </c>
      <c r="E36" s="553"/>
      <c r="F36" s="563">
        <v>37680</v>
      </c>
      <c r="G36" s="290"/>
    </row>
    <row r="37" spans="2:7" ht="12.75">
      <c r="B37" s="288"/>
      <c r="C37" s="292" t="s">
        <v>104</v>
      </c>
      <c r="D37" s="237"/>
      <c r="E37" s="553">
        <v>26250</v>
      </c>
      <c r="F37" s="563"/>
      <c r="G37" s="290">
        <v>26250</v>
      </c>
    </row>
    <row r="38" spans="2:8" ht="12.75">
      <c r="B38" s="288"/>
      <c r="C38" s="292"/>
      <c r="D38" s="237"/>
      <c r="E38" s="553"/>
      <c r="F38" s="563"/>
      <c r="G38" s="290"/>
      <c r="H38" s="558"/>
    </row>
    <row r="39" spans="1:7" ht="12.75">
      <c r="A39" s="19"/>
      <c r="B39" s="340" t="s">
        <v>284</v>
      </c>
      <c r="C39" s="341" t="s">
        <v>97</v>
      </c>
      <c r="D39" s="342">
        <f>SUM(D40:D44)</f>
        <v>2000</v>
      </c>
      <c r="E39" s="555">
        <f>SUM(E40:E44)</f>
        <v>4000</v>
      </c>
      <c r="F39" s="565">
        <f>SUM(F40:F44)</f>
        <v>32000</v>
      </c>
      <c r="G39" s="343">
        <f>SUM(G40:G44)</f>
        <v>4000</v>
      </c>
    </row>
    <row r="40" spans="2:7" ht="25.5">
      <c r="B40" s="284"/>
      <c r="C40" s="238" t="s">
        <v>105</v>
      </c>
      <c r="D40" s="237">
        <v>0</v>
      </c>
      <c r="E40" s="553"/>
      <c r="F40" s="563">
        <v>0</v>
      </c>
      <c r="G40" s="290"/>
    </row>
    <row r="41" spans="2:7" ht="12.75">
      <c r="B41" s="288"/>
      <c r="C41" s="238" t="s">
        <v>120</v>
      </c>
      <c r="D41" s="237">
        <v>2000</v>
      </c>
      <c r="E41" s="553"/>
      <c r="F41" s="563">
        <v>2000</v>
      </c>
      <c r="G41" s="290"/>
    </row>
    <row r="42" spans="2:7" ht="12.75">
      <c r="B42" s="284"/>
      <c r="C42" s="291" t="s">
        <v>106</v>
      </c>
      <c r="D42" s="237"/>
      <c r="E42" s="553">
        <v>4000</v>
      </c>
      <c r="F42" s="563"/>
      <c r="G42" s="290">
        <v>4000</v>
      </c>
    </row>
    <row r="43" spans="2:7" ht="12.75">
      <c r="B43" s="284"/>
      <c r="C43" s="291" t="s">
        <v>474</v>
      </c>
      <c r="D43" s="237"/>
      <c r="E43" s="553"/>
      <c r="F43" s="563">
        <v>30000</v>
      </c>
      <c r="G43" s="290"/>
    </row>
    <row r="44" spans="2:7" ht="12.75">
      <c r="B44" s="284"/>
      <c r="C44" s="291"/>
      <c r="D44" s="237"/>
      <c r="E44" s="553"/>
      <c r="F44" s="563"/>
      <c r="G44" s="290"/>
    </row>
    <row r="45" spans="1:7" s="76" customFormat="1" ht="12.75">
      <c r="A45" s="65"/>
      <c r="B45" s="340" t="s">
        <v>290</v>
      </c>
      <c r="C45" s="341" t="s">
        <v>107</v>
      </c>
      <c r="D45" s="342">
        <f>SUM(D46:D48)</f>
        <v>63000</v>
      </c>
      <c r="E45" s="555">
        <f>SUM(E46:E48)</f>
        <v>0</v>
      </c>
      <c r="F45" s="565">
        <f>SUM(F46:F48)</f>
        <v>63000</v>
      </c>
      <c r="G45" s="343">
        <f>SUM(G46:G48)</f>
        <v>0</v>
      </c>
    </row>
    <row r="46" spans="1:7" ht="12.75">
      <c r="A46" s="76"/>
      <c r="B46" s="284"/>
      <c r="C46" s="291" t="s">
        <v>108</v>
      </c>
      <c r="D46" s="237">
        <v>27000</v>
      </c>
      <c r="E46" s="553"/>
      <c r="F46" s="563">
        <v>27000</v>
      </c>
      <c r="G46" s="290"/>
    </row>
    <row r="47" spans="2:7" ht="12.75">
      <c r="B47" s="284"/>
      <c r="C47" s="291" t="s">
        <v>109</v>
      </c>
      <c r="D47" s="237">
        <v>36000</v>
      </c>
      <c r="E47" s="553"/>
      <c r="F47" s="563">
        <v>36000</v>
      </c>
      <c r="G47" s="290"/>
    </row>
    <row r="48" spans="2:7" ht="13.5" thickBot="1">
      <c r="B48" s="293"/>
      <c r="C48" s="294"/>
      <c r="D48" s="322"/>
      <c r="E48" s="557"/>
      <c r="F48" s="567"/>
      <c r="G48" s="295"/>
    </row>
    <row r="50" spans="4:6" ht="12.75">
      <c r="D50" s="16"/>
      <c r="E50" s="16"/>
      <c r="F50" s="67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9" right="0.31496062992125984" top="0.7480314960629921" bottom="0.984251968503937" header="0.5118110236220472" footer="0.5118110236220472"/>
  <pageSetup horizontalDpi="600" verticalDpi="600" orientation="portrait" paperSize="9" scale="9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43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10.28125" style="25" customWidth="1"/>
    <col min="2" max="2" width="7.421875" style="65" customWidth="1"/>
    <col min="3" max="3" width="51.8515625" style="65" customWidth="1"/>
    <col min="4" max="4" width="11.57421875" style="67" customWidth="1"/>
    <col min="5" max="5" width="12.140625" style="67" customWidth="1"/>
    <col min="6" max="6" width="11.28125" style="67" customWidth="1"/>
    <col min="7" max="7" width="12.140625" style="67" customWidth="1"/>
    <col min="8" max="16384" width="9.140625" style="25" customWidth="1"/>
  </cols>
  <sheetData>
    <row r="1" spans="1:7" ht="15.75">
      <c r="A1" s="24"/>
      <c r="B1" s="24"/>
      <c r="C1" s="24"/>
      <c r="D1" s="68"/>
      <c r="F1" s="68"/>
      <c r="G1" s="468" t="s">
        <v>504</v>
      </c>
    </row>
    <row r="2" spans="2:7" ht="12.75">
      <c r="B2" s="24"/>
      <c r="C2" s="24"/>
      <c r="D2" s="68"/>
      <c r="F2" s="68"/>
      <c r="G2" s="7" t="s">
        <v>473</v>
      </c>
    </row>
    <row r="3" spans="2:7" ht="33.75" customHeight="1">
      <c r="B3" s="24"/>
      <c r="C3" s="24"/>
      <c r="D3" s="68"/>
      <c r="E3" s="68"/>
      <c r="F3" s="68"/>
      <c r="G3" s="68"/>
    </row>
    <row r="4" spans="2:7" ht="12.75" customHeight="1">
      <c r="B4" s="791" t="s">
        <v>110</v>
      </c>
      <c r="C4" s="791"/>
      <c r="D4" s="791"/>
      <c r="E4" s="791"/>
      <c r="F4" s="25"/>
      <c r="G4" s="25"/>
    </row>
    <row r="5" spans="2:7" ht="12.75">
      <c r="B5" s="791" t="s">
        <v>94</v>
      </c>
      <c r="C5" s="791"/>
      <c r="D5" s="791"/>
      <c r="E5" s="791"/>
      <c r="F5" s="25"/>
      <c r="G5" s="25"/>
    </row>
    <row r="6" spans="2:7" ht="14.25" thickBot="1">
      <c r="B6" s="792"/>
      <c r="C6" s="792"/>
      <c r="D6" s="469"/>
      <c r="E6" s="470"/>
      <c r="F6" s="469"/>
      <c r="G6" s="470" t="s">
        <v>0</v>
      </c>
    </row>
    <row r="7" spans="2:7" ht="24" customHeight="1">
      <c r="B7" s="793" t="s">
        <v>30</v>
      </c>
      <c r="C7" s="795" t="s">
        <v>111</v>
      </c>
      <c r="D7" s="797" t="s">
        <v>480</v>
      </c>
      <c r="E7" s="763"/>
      <c r="F7" s="762" t="s">
        <v>479</v>
      </c>
      <c r="G7" s="763"/>
    </row>
    <row r="8" spans="2:7" ht="39" thickBot="1">
      <c r="B8" s="794"/>
      <c r="C8" s="796"/>
      <c r="D8" s="225" t="s">
        <v>191</v>
      </c>
      <c r="E8" s="279" t="s">
        <v>192</v>
      </c>
      <c r="F8" s="225" t="s">
        <v>191</v>
      </c>
      <c r="G8" s="279" t="s">
        <v>192</v>
      </c>
    </row>
    <row r="9" spans="1:7" ht="12.75">
      <c r="A9" s="27"/>
      <c r="B9" s="28"/>
      <c r="C9" s="29" t="s">
        <v>112</v>
      </c>
      <c r="D9" s="30">
        <f>+D10+D21+D37</f>
        <v>464551</v>
      </c>
      <c r="E9" s="350">
        <f>+E10+E21+E37</f>
        <v>46133</v>
      </c>
      <c r="F9" s="579">
        <f>+F10+F21+F37</f>
        <v>497884</v>
      </c>
      <c r="G9" s="350">
        <f>+G10+G21+G37</f>
        <v>46133</v>
      </c>
    </row>
    <row r="10" spans="1:7" ht="12.75">
      <c r="A10" s="34"/>
      <c r="B10" s="31" t="s">
        <v>274</v>
      </c>
      <c r="C10" s="32" t="s">
        <v>113</v>
      </c>
      <c r="D10" s="33">
        <f>+D11+D15+D18</f>
        <v>37411</v>
      </c>
      <c r="E10" s="351">
        <f>+E11+E15+E18</f>
        <v>6100</v>
      </c>
      <c r="F10" s="580">
        <f>+F11+F15+F18</f>
        <v>37411</v>
      </c>
      <c r="G10" s="351">
        <f>+G11+G15+G18</f>
        <v>6100</v>
      </c>
    </row>
    <row r="11" spans="1:7" ht="12.75">
      <c r="A11" s="24"/>
      <c r="B11" s="35" t="s">
        <v>422</v>
      </c>
      <c r="C11" s="522" t="s">
        <v>114</v>
      </c>
      <c r="D11" s="523">
        <f>SUM(D12:D13)</f>
        <v>36386</v>
      </c>
      <c r="E11" s="524">
        <f>SUM(E12:E13)</f>
        <v>6100</v>
      </c>
      <c r="F11" s="581">
        <f>SUM(F12:F13)</f>
        <v>36386</v>
      </c>
      <c r="G11" s="524">
        <f>SUM(G12:G13)</f>
        <v>6100</v>
      </c>
    </row>
    <row r="12" spans="1:7" ht="12.75">
      <c r="A12" s="24"/>
      <c r="B12" s="36"/>
      <c r="C12" s="23" t="s">
        <v>117</v>
      </c>
      <c r="D12" s="121">
        <f>28346+7654+386</f>
        <v>36386</v>
      </c>
      <c r="E12" s="44"/>
      <c r="F12" s="582">
        <f>28346+7654+386</f>
        <v>36386</v>
      </c>
      <c r="G12" s="44"/>
    </row>
    <row r="13" spans="1:7" ht="12.75">
      <c r="A13" s="24"/>
      <c r="B13" s="36"/>
      <c r="C13" s="22" t="s">
        <v>106</v>
      </c>
      <c r="D13" s="118"/>
      <c r="E13" s="352">
        <v>6100</v>
      </c>
      <c r="F13" s="583"/>
      <c r="G13" s="352">
        <v>6100</v>
      </c>
    </row>
    <row r="14" spans="1:7" ht="12.75">
      <c r="A14" s="24"/>
      <c r="B14" s="36"/>
      <c r="C14" s="22"/>
      <c r="D14" s="118"/>
      <c r="E14" s="352"/>
      <c r="F14" s="583"/>
      <c r="G14" s="352"/>
    </row>
    <row r="15" spans="1:7" ht="12.75">
      <c r="A15" s="40"/>
      <c r="B15" s="41" t="s">
        <v>423</v>
      </c>
      <c r="C15" s="525" t="s">
        <v>115</v>
      </c>
      <c r="D15" s="523">
        <f>SUM(D16:D17)</f>
        <v>0</v>
      </c>
      <c r="E15" s="524">
        <f>SUM(E16:E17)</f>
        <v>0</v>
      </c>
      <c r="F15" s="581">
        <f>SUM(F16:F17)</f>
        <v>0</v>
      </c>
      <c r="G15" s="524">
        <f>SUM(G16:G17)</f>
        <v>0</v>
      </c>
    </row>
    <row r="16" spans="1:8" ht="12.75">
      <c r="A16" s="40"/>
      <c r="B16" s="36"/>
      <c r="C16" s="597"/>
      <c r="D16" s="122"/>
      <c r="E16" s="261"/>
      <c r="F16" s="584"/>
      <c r="G16" s="261"/>
      <c r="H16" s="501"/>
    </row>
    <row r="17" spans="1:7" ht="12.75">
      <c r="A17" s="24"/>
      <c r="B17" s="36"/>
      <c r="C17" s="39"/>
      <c r="D17" s="37"/>
      <c r="E17" s="38"/>
      <c r="F17" s="585"/>
      <c r="G17" s="38"/>
    </row>
    <row r="18" spans="1:7" ht="12.75">
      <c r="A18" s="34"/>
      <c r="B18" s="35" t="s">
        <v>424</v>
      </c>
      <c r="C18" s="518" t="s">
        <v>116</v>
      </c>
      <c r="D18" s="523">
        <f>SUM(D19:D20)</f>
        <v>1025</v>
      </c>
      <c r="E18" s="524">
        <f>SUM(E19:E20)</f>
        <v>0</v>
      </c>
      <c r="F18" s="581">
        <f>SUM(F19:F20)</f>
        <v>1025</v>
      </c>
      <c r="G18" s="524">
        <f>SUM(G19:G20)</f>
        <v>0</v>
      </c>
    </row>
    <row r="19" spans="1:7" ht="12.75">
      <c r="A19" s="24"/>
      <c r="B19" s="36"/>
      <c r="C19" s="42" t="s">
        <v>465</v>
      </c>
      <c r="D19" s="43">
        <v>1025</v>
      </c>
      <c r="E19" s="44"/>
      <c r="F19" s="586">
        <v>1025</v>
      </c>
      <c r="G19" s="44"/>
    </row>
    <row r="20" spans="1:7" ht="13.5" thickBot="1">
      <c r="A20" s="24"/>
      <c r="B20" s="45"/>
      <c r="C20" s="47"/>
      <c r="D20" s="46"/>
      <c r="E20" s="352"/>
      <c r="F20" s="587"/>
      <c r="G20" s="352"/>
    </row>
    <row r="21" spans="1:7" ht="12.75">
      <c r="A21" s="34"/>
      <c r="B21" s="48" t="s">
        <v>170</v>
      </c>
      <c r="C21" s="49" t="s">
        <v>119</v>
      </c>
      <c r="D21" s="50">
        <f>+D22+D26+D33</f>
        <v>389879</v>
      </c>
      <c r="E21" s="353">
        <f>+E22+E26+E33</f>
        <v>40033</v>
      </c>
      <c r="F21" s="588">
        <f>+F22+F26+F33</f>
        <v>423212</v>
      </c>
      <c r="G21" s="353">
        <f>+G22+G26+G33</f>
        <v>40033</v>
      </c>
    </row>
    <row r="22" spans="1:7" ht="12.75">
      <c r="A22" s="34"/>
      <c r="B22" s="35" t="s">
        <v>171</v>
      </c>
      <c r="C22" s="522" t="s">
        <v>114</v>
      </c>
      <c r="D22" s="519">
        <f>SUM(D23:D25)</f>
        <v>29999</v>
      </c>
      <c r="E22" s="520">
        <f>SUM(E23:E25)</f>
        <v>0</v>
      </c>
      <c r="F22" s="589">
        <f>SUM(F23:F25)</f>
        <v>63332</v>
      </c>
      <c r="G22" s="520">
        <f>SUM(G23:G25)</f>
        <v>0</v>
      </c>
    </row>
    <row r="23" spans="1:7" ht="12.75">
      <c r="A23" s="24"/>
      <c r="B23" s="36"/>
      <c r="C23" s="23" t="s">
        <v>108</v>
      </c>
      <c r="D23" s="37">
        <f>26999+3000</f>
        <v>29999</v>
      </c>
      <c r="E23" s="38"/>
      <c r="F23" s="585">
        <f>26999+3000</f>
        <v>29999</v>
      </c>
      <c r="G23" s="38"/>
    </row>
    <row r="24" spans="1:7" ht="12.75">
      <c r="A24" s="24"/>
      <c r="B24" s="36"/>
      <c r="C24" s="291" t="s">
        <v>474</v>
      </c>
      <c r="D24" s="37"/>
      <c r="E24" s="38"/>
      <c r="F24" s="585">
        <v>33333</v>
      </c>
      <c r="G24" s="37"/>
    </row>
    <row r="25" spans="1:7" ht="12.75">
      <c r="A25" s="24"/>
      <c r="B25" s="36"/>
      <c r="C25" s="539"/>
      <c r="D25" s="37"/>
      <c r="E25" s="38"/>
      <c r="F25" s="585"/>
      <c r="G25" s="37"/>
    </row>
    <row r="26" spans="1:7" ht="12.75">
      <c r="A26" s="40"/>
      <c r="B26" s="41" t="s">
        <v>173</v>
      </c>
      <c r="C26" s="521" t="s">
        <v>115</v>
      </c>
      <c r="D26" s="519">
        <f>SUM(D27:D32)</f>
        <v>352380</v>
      </c>
      <c r="E26" s="520">
        <f>SUM(E27:E32)</f>
        <v>38522</v>
      </c>
      <c r="F26" s="589">
        <f>SUM(F27:F32)</f>
        <v>352380</v>
      </c>
      <c r="G26" s="520">
        <f>SUM(G27:G32)</f>
        <v>38522</v>
      </c>
    </row>
    <row r="27" spans="1:7" ht="12.75">
      <c r="A27" s="24"/>
      <c r="B27" s="51"/>
      <c r="C27" s="280" t="s">
        <v>103</v>
      </c>
      <c r="D27" s="52">
        <v>37680</v>
      </c>
      <c r="E27" s="84"/>
      <c r="F27" s="590">
        <v>37680</v>
      </c>
      <c r="G27" s="84"/>
    </row>
    <row r="28" spans="1:7" ht="12.75">
      <c r="A28" s="24"/>
      <c r="B28" s="51"/>
      <c r="C28" s="66" t="s">
        <v>104</v>
      </c>
      <c r="D28" s="52"/>
      <c r="E28" s="84">
        <v>26250</v>
      </c>
      <c r="F28" s="590"/>
      <c r="G28" s="84">
        <v>26250</v>
      </c>
    </row>
    <row r="29" spans="1:7" ht="12.75">
      <c r="A29" s="24"/>
      <c r="B29" s="51"/>
      <c r="C29" s="22" t="s">
        <v>98</v>
      </c>
      <c r="D29" s="37">
        <v>150000</v>
      </c>
      <c r="E29" s="38"/>
      <c r="F29" s="585">
        <v>150000</v>
      </c>
      <c r="G29" s="38"/>
    </row>
    <row r="30" spans="1:7" ht="12.75">
      <c r="A30" s="24"/>
      <c r="B30" s="51"/>
      <c r="C30" s="22" t="s">
        <v>102</v>
      </c>
      <c r="D30" s="37">
        <v>164700</v>
      </c>
      <c r="E30" s="38"/>
      <c r="F30" s="585">
        <v>164700</v>
      </c>
      <c r="G30" s="38"/>
    </row>
    <row r="31" spans="1:7" ht="12.75">
      <c r="A31" s="24"/>
      <c r="B31" s="51"/>
      <c r="C31" s="23" t="s">
        <v>101</v>
      </c>
      <c r="D31" s="37"/>
      <c r="E31" s="38">
        <v>12272</v>
      </c>
      <c r="F31" s="585"/>
      <c r="G31" s="38">
        <v>12272</v>
      </c>
    </row>
    <row r="32" spans="1:7" ht="12.75">
      <c r="A32" s="24"/>
      <c r="B32" s="36"/>
      <c r="C32" s="39" t="s">
        <v>121</v>
      </c>
      <c r="D32" s="37"/>
      <c r="E32" s="38"/>
      <c r="F32" s="585"/>
      <c r="G32" s="38"/>
    </row>
    <row r="33" spans="1:7" ht="12.75">
      <c r="A33" s="34"/>
      <c r="B33" s="35" t="s">
        <v>175</v>
      </c>
      <c r="C33" s="518" t="s">
        <v>122</v>
      </c>
      <c r="D33" s="519">
        <f>SUM(D34:D36)</f>
        <v>7500</v>
      </c>
      <c r="E33" s="520">
        <f>SUM(E34:E36)</f>
        <v>1511</v>
      </c>
      <c r="F33" s="589">
        <f>SUM(F34:F36)</f>
        <v>7500</v>
      </c>
      <c r="G33" s="520">
        <f>SUM(G34:G36)</f>
        <v>1511</v>
      </c>
    </row>
    <row r="34" spans="1:7" ht="12.75">
      <c r="A34" s="24"/>
      <c r="B34" s="36"/>
      <c r="C34" s="22" t="s">
        <v>120</v>
      </c>
      <c r="D34" s="123">
        <v>7500</v>
      </c>
      <c r="E34" s="38"/>
      <c r="F34" s="591">
        <v>7500</v>
      </c>
      <c r="G34" s="38"/>
    </row>
    <row r="35" spans="1:7" ht="12.75">
      <c r="A35" s="24"/>
      <c r="B35" s="36"/>
      <c r="C35" s="22" t="s">
        <v>118</v>
      </c>
      <c r="D35" s="123"/>
      <c r="E35" s="38">
        <f>ROUND(1190*1.27,0)</f>
        <v>1511</v>
      </c>
      <c r="F35" s="591"/>
      <c r="G35" s="38">
        <f>ROUND(1190*1.27,0)</f>
        <v>1511</v>
      </c>
    </row>
    <row r="36" spans="1:7" ht="12.75">
      <c r="A36" s="24"/>
      <c r="B36" s="36"/>
      <c r="C36" s="23"/>
      <c r="D36" s="37"/>
      <c r="E36" s="38"/>
      <c r="F36" s="585"/>
      <c r="G36" s="38"/>
    </row>
    <row r="37" spans="1:7" ht="13.5">
      <c r="A37" s="24"/>
      <c r="B37" s="54" t="s">
        <v>275</v>
      </c>
      <c r="C37" s="55" t="s">
        <v>123</v>
      </c>
      <c r="D37" s="71">
        <f>SUM(D38:D42)</f>
        <v>37261</v>
      </c>
      <c r="E37" s="354">
        <f>SUM(E38:E42)</f>
        <v>0</v>
      </c>
      <c r="F37" s="592">
        <f>SUM(F38:F42)</f>
        <v>37261</v>
      </c>
      <c r="G37" s="354">
        <f>SUM(G38:G42)</f>
        <v>0</v>
      </c>
    </row>
    <row r="38" spans="1:7" ht="12.75">
      <c r="A38" s="24"/>
      <c r="B38" s="56"/>
      <c r="C38" s="57" t="s">
        <v>124</v>
      </c>
      <c r="D38" s="58">
        <v>25596</v>
      </c>
      <c r="E38" s="59"/>
      <c r="F38" s="593">
        <v>25596</v>
      </c>
      <c r="G38" s="59"/>
    </row>
    <row r="39" spans="1:7" ht="12.75">
      <c r="A39" s="24"/>
      <c r="B39" s="56"/>
      <c r="C39" s="57" t="s">
        <v>125</v>
      </c>
      <c r="D39" s="58"/>
      <c r="E39" s="59"/>
      <c r="F39" s="593"/>
      <c r="G39" s="59"/>
    </row>
    <row r="40" spans="1:7" ht="12.75">
      <c r="A40" s="24"/>
      <c r="B40" s="56"/>
      <c r="C40" s="60" t="s">
        <v>89</v>
      </c>
      <c r="D40" s="58"/>
      <c r="E40" s="59"/>
      <c r="F40" s="593"/>
      <c r="G40" s="59"/>
    </row>
    <row r="41" spans="1:7" ht="12.75">
      <c r="A41" s="24"/>
      <c r="B41" s="51"/>
      <c r="C41" s="61" t="s">
        <v>126</v>
      </c>
      <c r="D41" s="63">
        <f>ROUND(17793*2*0.3,0)</f>
        <v>10676</v>
      </c>
      <c r="E41" s="53"/>
      <c r="F41" s="594">
        <f>ROUND(17793*2*0.3,0)</f>
        <v>10676</v>
      </c>
      <c r="G41" s="53"/>
    </row>
    <row r="42" spans="1:7" ht="12.75">
      <c r="A42" s="24"/>
      <c r="B42" s="56"/>
      <c r="C42" s="61" t="s">
        <v>127</v>
      </c>
      <c r="D42" s="62">
        <v>989</v>
      </c>
      <c r="E42" s="355"/>
      <c r="F42" s="595">
        <v>989</v>
      </c>
      <c r="G42" s="355"/>
    </row>
    <row r="43" spans="1:7" ht="13.5" thickBot="1">
      <c r="A43" s="24"/>
      <c r="B43" s="69"/>
      <c r="C43" s="47"/>
      <c r="D43" s="70"/>
      <c r="E43" s="64"/>
      <c r="F43" s="596"/>
      <c r="G43" s="64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6" right="0.59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30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9.140625" style="65" customWidth="1"/>
    <col min="2" max="2" width="7.28125" style="65" customWidth="1"/>
    <col min="3" max="3" width="54.28125" style="65" customWidth="1"/>
    <col min="4" max="4" width="15.00390625" style="65" customWidth="1"/>
    <col min="5" max="5" width="15.28125" style="65" customWidth="1"/>
    <col min="6" max="6" width="10.140625" style="65" bestFit="1" customWidth="1"/>
    <col min="7" max="16384" width="9.140625" style="65" customWidth="1"/>
  </cols>
  <sheetData>
    <row r="1" spans="1:5" ht="15.75">
      <c r="A1" s="25"/>
      <c r="B1" s="25"/>
      <c r="C1" s="25"/>
      <c r="D1" s="6"/>
      <c r="E1" s="6" t="s">
        <v>505</v>
      </c>
    </row>
    <row r="2" spans="4:5" ht="12.75">
      <c r="D2" s="7"/>
      <c r="E2" s="7" t="s">
        <v>473</v>
      </c>
    </row>
    <row r="4" spans="2:4" ht="12.75">
      <c r="B4" s="791" t="s">
        <v>156</v>
      </c>
      <c r="C4" s="791"/>
      <c r="D4" s="791"/>
    </row>
    <row r="5" spans="2:4" ht="12.75">
      <c r="B5" s="791" t="s">
        <v>94</v>
      </c>
      <c r="C5" s="791"/>
      <c r="D5" s="791"/>
    </row>
    <row r="6" spans="2:5" ht="14.25" thickBot="1">
      <c r="B6" s="802"/>
      <c r="C6" s="802"/>
      <c r="D6" s="282"/>
      <c r="E6" s="282" t="s">
        <v>0</v>
      </c>
    </row>
    <row r="7" spans="2:5" ht="12.75">
      <c r="B7" s="798" t="s">
        <v>30</v>
      </c>
      <c r="C7" s="800" t="s">
        <v>111</v>
      </c>
      <c r="D7" s="608" t="s">
        <v>245</v>
      </c>
      <c r="E7" s="628" t="s">
        <v>245</v>
      </c>
    </row>
    <row r="8" spans="2:5" ht="25.5">
      <c r="B8" s="799"/>
      <c r="C8" s="801"/>
      <c r="D8" s="618" t="s">
        <v>1</v>
      </c>
      <c r="E8" s="629" t="s">
        <v>476</v>
      </c>
    </row>
    <row r="9" spans="2:5" s="21" customFormat="1" ht="12.75">
      <c r="B9" s="609"/>
      <c r="C9" s="344" t="s">
        <v>419</v>
      </c>
      <c r="D9" s="619">
        <f>+D10+D13+D16+D28</f>
        <v>79088</v>
      </c>
      <c r="E9" s="630">
        <f>+E10+E13+E16+E28</f>
        <v>43356</v>
      </c>
    </row>
    <row r="10" spans="2:6" s="21" customFormat="1" ht="12.75">
      <c r="B10" s="610" t="s">
        <v>271</v>
      </c>
      <c r="C10" s="526" t="s">
        <v>157</v>
      </c>
      <c r="D10" s="620">
        <f>+D11+D12</f>
        <v>30000</v>
      </c>
      <c r="E10" s="631">
        <f>+E11+E12</f>
        <v>25348</v>
      </c>
      <c r="F10" s="86"/>
    </row>
    <row r="11" spans="2:6" s="27" customFormat="1" ht="12.75">
      <c r="B11" s="611"/>
      <c r="C11" s="83" t="s">
        <v>158</v>
      </c>
      <c r="D11" s="621">
        <v>30000</v>
      </c>
      <c r="E11" s="632">
        <f>30000-3333-3469-150-1000-12719+707+8151+7161</f>
        <v>25348</v>
      </c>
      <c r="F11" s="639"/>
    </row>
    <row r="12" spans="2:5" s="27" customFormat="1" ht="12.75">
      <c r="B12" s="611"/>
      <c r="C12" s="346"/>
      <c r="D12" s="622"/>
      <c r="E12" s="633"/>
    </row>
    <row r="13" spans="2:6" s="21" customFormat="1" ht="12.75">
      <c r="B13" s="610" t="s">
        <v>276</v>
      </c>
      <c r="C13" s="526" t="s">
        <v>417</v>
      </c>
      <c r="D13" s="623">
        <f>+D14+D15</f>
        <v>0</v>
      </c>
      <c r="E13" s="634">
        <f>+E14+E15</f>
        <v>0</v>
      </c>
      <c r="F13" s="86"/>
    </row>
    <row r="14" spans="2:5" s="27" customFormat="1" ht="12.75">
      <c r="B14" s="611"/>
      <c r="C14" s="83" t="s">
        <v>439</v>
      </c>
      <c r="D14" s="624">
        <v>0</v>
      </c>
      <c r="E14" s="635">
        <v>0</v>
      </c>
    </row>
    <row r="15" spans="2:5" s="20" customFormat="1" ht="12.75">
      <c r="B15" s="612"/>
      <c r="C15" s="345"/>
      <c r="D15" s="625"/>
      <c r="E15" s="636"/>
    </row>
    <row r="16" spans="2:6" s="74" customFormat="1" ht="12.75">
      <c r="B16" s="610" t="s">
        <v>272</v>
      </c>
      <c r="C16" s="526" t="s">
        <v>418</v>
      </c>
      <c r="D16" s="620">
        <f>SUM(D17:D27)</f>
        <v>49088</v>
      </c>
      <c r="E16" s="631">
        <f>SUM(E17:E27)</f>
        <v>18008</v>
      </c>
      <c r="F16" s="639"/>
    </row>
    <row r="17" spans="2:6" s="20" customFormat="1" ht="12.75">
      <c r="B17" s="613"/>
      <c r="C17" s="78" t="s">
        <v>160</v>
      </c>
      <c r="D17" s="624">
        <v>100</v>
      </c>
      <c r="E17" s="635">
        <v>100</v>
      </c>
      <c r="F17" s="639"/>
    </row>
    <row r="18" spans="2:6" s="20" customFormat="1" ht="12.75">
      <c r="B18" s="613"/>
      <c r="C18" s="78" t="s">
        <v>161</v>
      </c>
      <c r="D18" s="624">
        <v>100</v>
      </c>
      <c r="E18" s="635">
        <v>100</v>
      </c>
      <c r="F18" s="639"/>
    </row>
    <row r="19" spans="2:6" s="20" customFormat="1" ht="12.75">
      <c r="B19" s="613"/>
      <c r="C19" s="78" t="s">
        <v>461</v>
      </c>
      <c r="D19" s="624">
        <v>100</v>
      </c>
      <c r="E19" s="635">
        <v>100</v>
      </c>
      <c r="F19" s="639"/>
    </row>
    <row r="20" spans="2:6" s="20" customFormat="1" ht="12.75">
      <c r="B20" s="613"/>
      <c r="C20" s="78" t="s">
        <v>162</v>
      </c>
      <c r="D20" s="624">
        <v>500</v>
      </c>
      <c r="E20" s="635">
        <f>500-55-80</f>
        <v>365</v>
      </c>
      <c r="F20" s="639"/>
    </row>
    <row r="21" spans="2:6" s="20" customFormat="1" ht="12.75">
      <c r="B21" s="613"/>
      <c r="C21" s="78" t="s">
        <v>163</v>
      </c>
      <c r="D21" s="624">
        <f>250+100</f>
        <v>350</v>
      </c>
      <c r="E21" s="635">
        <f>250+100-142-74-43-20</f>
        <v>71</v>
      </c>
      <c r="F21" s="639"/>
    </row>
    <row r="22" spans="2:6" s="20" customFormat="1" ht="12.75">
      <c r="B22" s="613"/>
      <c r="C22" s="78" t="s">
        <v>164</v>
      </c>
      <c r="D22" s="624">
        <v>1500</v>
      </c>
      <c r="E22" s="635">
        <v>1500</v>
      </c>
      <c r="F22" s="639"/>
    </row>
    <row r="23" spans="2:6" s="20" customFormat="1" ht="12.75">
      <c r="B23" s="613"/>
      <c r="C23" s="78" t="s">
        <v>165</v>
      </c>
      <c r="D23" s="624">
        <v>900</v>
      </c>
      <c r="E23" s="635">
        <f>900-900</f>
        <v>0</v>
      </c>
      <c r="F23" s="639"/>
    </row>
    <row r="24" spans="2:6" s="20" customFormat="1" ht="12.75">
      <c r="B24" s="613"/>
      <c r="C24" s="78" t="s">
        <v>166</v>
      </c>
      <c r="D24" s="624">
        <v>5500</v>
      </c>
      <c r="E24" s="635">
        <f>5500-150-2193</f>
        <v>3157</v>
      </c>
      <c r="F24" s="639"/>
    </row>
    <row r="25" spans="2:6" ht="12.75">
      <c r="B25" s="613"/>
      <c r="C25" s="78" t="s">
        <v>167</v>
      </c>
      <c r="D25" s="624">
        <f>4000+4000+1800</f>
        <v>9800</v>
      </c>
      <c r="E25" s="635">
        <f>4000+4000+1800</f>
        <v>9800</v>
      </c>
      <c r="F25" s="639"/>
    </row>
    <row r="26" spans="2:6" ht="12.75">
      <c r="B26" s="613"/>
      <c r="C26" s="78" t="s">
        <v>472</v>
      </c>
      <c r="D26" s="624">
        <v>1238</v>
      </c>
      <c r="E26" s="635">
        <v>1238</v>
      </c>
      <c r="F26" s="639"/>
    </row>
    <row r="27" spans="2:6" ht="12.75">
      <c r="B27" s="613"/>
      <c r="C27" s="78" t="s">
        <v>168</v>
      </c>
      <c r="D27" s="624">
        <f>27500+1500</f>
        <v>29000</v>
      </c>
      <c r="E27" s="635">
        <f>27500+1500-27423</f>
        <v>1577</v>
      </c>
      <c r="F27" s="639"/>
    </row>
    <row r="28" spans="1:5" s="75" customFormat="1" ht="12.75">
      <c r="A28" s="74"/>
      <c r="B28" s="614" t="s">
        <v>277</v>
      </c>
      <c r="C28" s="527" t="s">
        <v>218</v>
      </c>
      <c r="D28" s="626">
        <f>SUM(D29:D30)</f>
        <v>0</v>
      </c>
      <c r="E28" s="637">
        <f>SUM(E29:E30)</f>
        <v>0</v>
      </c>
    </row>
    <row r="29" spans="1:5" ht="12.75">
      <c r="A29" s="76"/>
      <c r="B29" s="615"/>
      <c r="C29" s="78" t="s">
        <v>169</v>
      </c>
      <c r="D29" s="624">
        <v>0</v>
      </c>
      <c r="E29" s="635">
        <v>0</v>
      </c>
    </row>
    <row r="30" spans="2:5" ht="13.5" thickBot="1">
      <c r="B30" s="616"/>
      <c r="C30" s="617"/>
      <c r="D30" s="627"/>
      <c r="E30" s="638"/>
    </row>
  </sheetData>
  <mergeCells count="5">
    <mergeCell ref="B7:B8"/>
    <mergeCell ref="C7:C8"/>
    <mergeCell ref="B4:D4"/>
    <mergeCell ref="B5:D5"/>
    <mergeCell ref="B6:C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K72"/>
  <sheetViews>
    <sheetView view="pageBreakPreview" zoomScaleSheetLayoutView="100" workbookViewId="0" topLeftCell="A1">
      <pane xSplit="3" ySplit="5" topLeftCell="D9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4" width="12.140625" style="16" customWidth="1"/>
    <col min="5" max="5" width="12.8515625" style="16" customWidth="1"/>
    <col min="6" max="7" width="11.140625" style="16" customWidth="1"/>
    <col min="8" max="8" width="12.8515625" style="16" customWidth="1"/>
    <col min="9" max="9" width="11.140625" style="16" customWidth="1"/>
    <col min="10" max="11" width="7.8515625" style="1" customWidth="1"/>
    <col min="12" max="13" width="8.00390625" style="1" customWidth="1"/>
    <col min="14" max="18" width="8.8515625" style="1" customWidth="1"/>
    <col min="19" max="19" width="8.421875" style="1" customWidth="1"/>
    <col min="20" max="51" width="8.8515625" style="1" customWidth="1"/>
    <col min="52" max="16384" width="9.140625" style="1" customWidth="1"/>
  </cols>
  <sheetData>
    <row r="1" spans="9:49" ht="18.75">
      <c r="I1" s="260" t="s">
        <v>506</v>
      </c>
      <c r="S1" s="260" t="str">
        <f>+I1</f>
        <v>7. melléklet (1)-(2)</v>
      </c>
      <c r="AC1" s="260" t="str">
        <f>+I1</f>
        <v>7. melléklet (1)-(2)</v>
      </c>
      <c r="AM1" s="260" t="str">
        <f>+I1</f>
        <v>7. melléklet (1)-(2)</v>
      </c>
      <c r="AW1" s="260" t="str">
        <f>+I1</f>
        <v>7. melléklet (1)-(2)</v>
      </c>
    </row>
    <row r="2" spans="3:49" ht="21" thickBot="1">
      <c r="C2" s="537" t="s">
        <v>2</v>
      </c>
      <c r="E2" s="116"/>
      <c r="I2" s="10" t="s">
        <v>473</v>
      </c>
      <c r="S2" s="260" t="str">
        <f>+I2</f>
        <v>a 9/2013.(III.13.) önkormányzati rendelethez</v>
      </c>
      <c r="AA2" s="10"/>
      <c r="AC2" s="260" t="str">
        <f>+I2</f>
        <v>a 9/2013.(III.13.) önkormányzati rendelethez</v>
      </c>
      <c r="AM2" s="260" t="str">
        <f>+I2</f>
        <v>a 9/2013.(III.13.) önkormányzati rendelethez</v>
      </c>
      <c r="AW2" s="10" t="str">
        <f>+I2</f>
        <v>a 9/2013.(III.13.) önkormányzati rendelethez</v>
      </c>
    </row>
    <row r="3" spans="2:55" s="119" customFormat="1" ht="21" thickBot="1">
      <c r="B3" s="3"/>
      <c r="C3" s="538" t="s">
        <v>471</v>
      </c>
      <c r="D3" s="120"/>
      <c r="E3" s="120"/>
      <c r="F3" s="120"/>
      <c r="G3" s="120"/>
      <c r="H3" s="120"/>
      <c r="I3" s="120"/>
      <c r="J3" s="809" t="s">
        <v>435</v>
      </c>
      <c r="K3" s="810"/>
      <c r="L3" s="810"/>
      <c r="M3" s="810"/>
      <c r="N3" s="810"/>
      <c r="O3" s="810"/>
      <c r="P3" s="810"/>
      <c r="Q3" s="810"/>
      <c r="R3" s="810"/>
      <c r="S3" s="810"/>
      <c r="T3" s="810" t="s">
        <v>435</v>
      </c>
      <c r="U3" s="810"/>
      <c r="V3" s="810"/>
      <c r="W3" s="810"/>
      <c r="X3" s="810"/>
      <c r="Y3" s="810"/>
      <c r="Z3" s="810"/>
      <c r="AA3" s="810"/>
      <c r="AB3" s="810"/>
      <c r="AC3" s="810"/>
      <c r="AD3" s="810" t="s">
        <v>435</v>
      </c>
      <c r="AE3" s="810"/>
      <c r="AF3" s="810"/>
      <c r="AG3" s="810"/>
      <c r="AH3" s="810"/>
      <c r="AI3" s="810"/>
      <c r="AJ3" s="810"/>
      <c r="AK3" s="811"/>
      <c r="AL3" s="815" t="s">
        <v>490</v>
      </c>
      <c r="AM3" s="816"/>
      <c r="AN3" s="812" t="s">
        <v>491</v>
      </c>
      <c r="AO3" s="813"/>
      <c r="AP3" s="813"/>
      <c r="AQ3" s="813"/>
      <c r="AR3" s="813"/>
      <c r="AS3" s="813"/>
      <c r="AT3" s="813"/>
      <c r="AU3" s="813"/>
      <c r="AV3" s="813"/>
      <c r="AW3" s="814"/>
      <c r="AX3" s="1"/>
      <c r="AY3" s="1"/>
      <c r="AZ3" s="1"/>
      <c r="BA3" s="1"/>
      <c r="BB3" s="1"/>
      <c r="BC3" s="1"/>
    </row>
    <row r="4" spans="2:55" s="119" customFormat="1" ht="21" thickBot="1">
      <c r="B4" s="3"/>
      <c r="C4" s="538"/>
      <c r="D4" s="803" t="s">
        <v>416</v>
      </c>
      <c r="E4" s="804"/>
      <c r="F4" s="805"/>
      <c r="G4" s="806" t="s">
        <v>477</v>
      </c>
      <c r="H4" s="807"/>
      <c r="I4" s="808"/>
      <c r="J4" s="270" t="s">
        <v>483</v>
      </c>
      <c r="K4" s="262" t="s">
        <v>484</v>
      </c>
      <c r="L4" s="262" t="s">
        <v>483</v>
      </c>
      <c r="M4" s="262" t="s">
        <v>484</v>
      </c>
      <c r="N4" s="262" t="s">
        <v>483</v>
      </c>
      <c r="O4" s="262" t="s">
        <v>484</v>
      </c>
      <c r="P4" s="262" t="s">
        <v>483</v>
      </c>
      <c r="Q4" s="262" t="s">
        <v>484</v>
      </c>
      <c r="R4" s="262" t="s">
        <v>483</v>
      </c>
      <c r="S4" s="262" t="s">
        <v>484</v>
      </c>
      <c r="T4" s="262" t="s">
        <v>483</v>
      </c>
      <c r="U4" s="262" t="s">
        <v>484</v>
      </c>
      <c r="V4" s="262" t="s">
        <v>483</v>
      </c>
      <c r="W4" s="262" t="s">
        <v>484</v>
      </c>
      <c r="X4" s="262" t="s">
        <v>483</v>
      </c>
      <c r="Y4" s="262" t="s">
        <v>484</v>
      </c>
      <c r="Z4" s="262" t="s">
        <v>483</v>
      </c>
      <c r="AA4" s="262" t="s">
        <v>484</v>
      </c>
      <c r="AB4" s="262" t="s">
        <v>483</v>
      </c>
      <c r="AC4" s="262" t="s">
        <v>484</v>
      </c>
      <c r="AD4" s="262" t="s">
        <v>483</v>
      </c>
      <c r="AE4" s="262" t="s">
        <v>484</v>
      </c>
      <c r="AF4" s="262" t="s">
        <v>483</v>
      </c>
      <c r="AG4" s="262" t="s">
        <v>484</v>
      </c>
      <c r="AH4" s="262" t="s">
        <v>483</v>
      </c>
      <c r="AI4" s="262" t="s">
        <v>484</v>
      </c>
      <c r="AJ4" s="262" t="s">
        <v>483</v>
      </c>
      <c r="AK4" s="698" t="s">
        <v>484</v>
      </c>
      <c r="AL4" s="270" t="s">
        <v>483</v>
      </c>
      <c r="AM4" s="262" t="s">
        <v>484</v>
      </c>
      <c r="AN4" s="262" t="s">
        <v>483</v>
      </c>
      <c r="AO4" s="262" t="s">
        <v>484</v>
      </c>
      <c r="AP4" s="262" t="s">
        <v>483</v>
      </c>
      <c r="AQ4" s="262" t="s">
        <v>484</v>
      </c>
      <c r="AR4" s="262" t="s">
        <v>483</v>
      </c>
      <c r="AS4" s="262" t="s">
        <v>484</v>
      </c>
      <c r="AT4" s="262" t="s">
        <v>483</v>
      </c>
      <c r="AU4" s="262" t="s">
        <v>484</v>
      </c>
      <c r="AV4" s="262" t="s">
        <v>483</v>
      </c>
      <c r="AW4" s="698" t="s">
        <v>484</v>
      </c>
      <c r="AX4" s="693" t="s">
        <v>483</v>
      </c>
      <c r="AY4" s="262" t="s">
        <v>484</v>
      </c>
      <c r="AZ4" s="1"/>
      <c r="BA4" s="1"/>
      <c r="BB4" s="1"/>
      <c r="BC4" s="1"/>
    </row>
    <row r="5" spans="2:59" s="2" customFormat="1" ht="52.5" customHeight="1">
      <c r="B5" s="732" t="s">
        <v>30</v>
      </c>
      <c r="C5" s="733" t="s">
        <v>190</v>
      </c>
      <c r="D5" s="734" t="s">
        <v>436</v>
      </c>
      <c r="E5" s="734" t="s">
        <v>437</v>
      </c>
      <c r="F5" s="735" t="s">
        <v>193</v>
      </c>
      <c r="G5" s="722" t="s">
        <v>436</v>
      </c>
      <c r="H5" s="233" t="s">
        <v>437</v>
      </c>
      <c r="I5" s="259" t="s">
        <v>193</v>
      </c>
      <c r="J5" s="817" t="s">
        <v>19</v>
      </c>
      <c r="K5" s="818"/>
      <c r="L5" s="819" t="s">
        <v>20</v>
      </c>
      <c r="M5" s="818"/>
      <c r="N5" s="819" t="s">
        <v>21</v>
      </c>
      <c r="O5" s="818"/>
      <c r="P5" s="819" t="s">
        <v>22</v>
      </c>
      <c r="Q5" s="818"/>
      <c r="R5" s="819" t="s">
        <v>492</v>
      </c>
      <c r="S5" s="818"/>
      <c r="T5" s="819" t="s">
        <v>25</v>
      </c>
      <c r="U5" s="818"/>
      <c r="V5" s="819" t="s">
        <v>493</v>
      </c>
      <c r="W5" s="818"/>
      <c r="X5" s="819" t="s">
        <v>494</v>
      </c>
      <c r="Y5" s="818"/>
      <c r="Z5" s="819" t="s">
        <v>495</v>
      </c>
      <c r="AA5" s="818"/>
      <c r="AB5" s="819" t="s">
        <v>496</v>
      </c>
      <c r="AC5" s="818"/>
      <c r="AD5" s="819" t="s">
        <v>27</v>
      </c>
      <c r="AE5" s="818"/>
      <c r="AF5" s="819" t="s">
        <v>497</v>
      </c>
      <c r="AG5" s="818"/>
      <c r="AH5" s="819" t="s">
        <v>28</v>
      </c>
      <c r="AI5" s="818"/>
      <c r="AJ5" s="819" t="s">
        <v>18</v>
      </c>
      <c r="AK5" s="820"/>
      <c r="AL5" s="817" t="s">
        <v>23</v>
      </c>
      <c r="AM5" s="818"/>
      <c r="AN5" s="819" t="s">
        <v>24</v>
      </c>
      <c r="AO5" s="818"/>
      <c r="AP5" s="819" t="s">
        <v>448</v>
      </c>
      <c r="AQ5" s="818"/>
      <c r="AR5" s="819" t="s">
        <v>449</v>
      </c>
      <c r="AS5" s="818"/>
      <c r="AT5" s="819" t="s">
        <v>450</v>
      </c>
      <c r="AU5" s="818"/>
      <c r="AV5" s="819" t="s">
        <v>26</v>
      </c>
      <c r="AW5" s="820"/>
      <c r="AX5" s="742" t="s">
        <v>29</v>
      </c>
      <c r="AY5" s="743" t="s">
        <v>29</v>
      </c>
      <c r="AZ5" s="426"/>
      <c r="BA5" s="426"/>
      <c r="BB5" s="427"/>
      <c r="BC5" s="427"/>
      <c r="BF5" s="428"/>
      <c r="BG5" s="428"/>
    </row>
    <row r="6" spans="2:59" s="9" customFormat="1" ht="15.75">
      <c r="B6" s="737" t="s">
        <v>254</v>
      </c>
      <c r="C6" s="424" t="s">
        <v>208</v>
      </c>
      <c r="D6" s="85">
        <f>+J6+L6+N6+P6+R6+T6+V6+X6+Z6+AB6+AD6+AF6+AH6+AJ6</f>
        <v>30633</v>
      </c>
      <c r="E6" s="85">
        <f>+AL6+AN6+AP6+AR6+AT6+AV6</f>
        <v>1648</v>
      </c>
      <c r="F6" s="702">
        <f aca="true" t="shared" si="0" ref="F6:F17">SUM(D6:E6)</f>
        <v>32281</v>
      </c>
      <c r="G6" s="723">
        <f>+K6+M6+O6+Q6+S6+U6+W6+Y6+AA6+AC6+AE6+AG6+AI6+AK6</f>
        <v>30633</v>
      </c>
      <c r="H6" s="85">
        <f>+AM6+AO6+AQ6+AS6+AU6+AW6</f>
        <v>1648</v>
      </c>
      <c r="I6" s="700">
        <f>SUM(G6:H6)</f>
        <v>32281</v>
      </c>
      <c r="J6" s="699"/>
      <c r="K6" s="425"/>
      <c r="L6" s="425"/>
      <c r="M6" s="425"/>
      <c r="N6" s="425"/>
      <c r="O6" s="425"/>
      <c r="P6" s="425"/>
      <c r="Q6" s="425"/>
      <c r="R6" s="425"/>
      <c r="S6" s="425"/>
      <c r="T6" s="425">
        <f>29533+1100</f>
        <v>30633</v>
      </c>
      <c r="U6" s="425">
        <f>29533+1100</f>
        <v>30633</v>
      </c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700"/>
      <c r="AL6" s="699"/>
      <c r="AM6" s="425"/>
      <c r="AN6" s="425"/>
      <c r="AO6" s="425"/>
      <c r="AP6" s="425"/>
      <c r="AQ6" s="425"/>
      <c r="AR6" s="425"/>
      <c r="AS6" s="425"/>
      <c r="AT6" s="425"/>
      <c r="AU6" s="425"/>
      <c r="AV6" s="425">
        <v>1648</v>
      </c>
      <c r="AW6" s="700">
        <v>1648</v>
      </c>
      <c r="AX6" s="694">
        <f>+AV6+AT6+AR6+AP6+AN6+AL6+AJ6+AH6+AF6+AD6+AB6+Z6+X6+V6+T6+R6+P6+N6+L6+J6</f>
        <v>32281</v>
      </c>
      <c r="AY6" s="425">
        <f>+AW6+AU6+AS6+AQ6+AO6+AM6+AK6+AI6+AG6+AE6+AC6+AA6+Y6+W6+U6+S6+Q6+O6+M6+K6</f>
        <v>32281</v>
      </c>
      <c r="AZ6" s="16">
        <f aca="true" t="shared" si="1" ref="AZ6:AZ32">+AX6-F6</f>
        <v>0</v>
      </c>
      <c r="BA6" s="16">
        <f aca="true" t="shared" si="2" ref="BA6:BA32">+AY6-I6</f>
        <v>0</v>
      </c>
      <c r="BB6" s="1"/>
      <c r="BC6" s="1"/>
      <c r="BD6" s="1"/>
      <c r="BE6" s="1"/>
      <c r="BF6" s="1"/>
      <c r="BG6" s="1"/>
    </row>
    <row r="7" spans="2:53" ht="15.75">
      <c r="B7" s="738" t="s">
        <v>255</v>
      </c>
      <c r="C7" s="90" t="s">
        <v>209</v>
      </c>
      <c r="D7" s="85">
        <f>+J7+L7+N7+P7+R7+T7+V7+X7+Z7+AB7+AD7+AF7+AH7+AJ7</f>
        <v>7974</v>
      </c>
      <c r="E7" s="85">
        <f>+AL7+AN7+AP7+AR7+AT7+AV7</f>
        <v>610</v>
      </c>
      <c r="F7" s="702">
        <f t="shared" si="0"/>
        <v>8584</v>
      </c>
      <c r="G7" s="723">
        <f>+K7+M7+O7+Q7+S7+U7+W7+Y7+AA7+AC7+AE7+AG7+AI7+AK7</f>
        <v>7974</v>
      </c>
      <c r="H7" s="85">
        <f>+AM7+AO7+AQ7+AS7+AU7+AW7</f>
        <v>610</v>
      </c>
      <c r="I7" s="702">
        <f aca="true" t="shared" si="3" ref="I7:I17">SUM(G7:H7)</f>
        <v>8584</v>
      </c>
      <c r="J7" s="701"/>
      <c r="K7" s="15"/>
      <c r="L7" s="15"/>
      <c r="M7" s="15"/>
      <c r="N7" s="15"/>
      <c r="O7" s="15"/>
      <c r="P7" s="15"/>
      <c r="Q7" s="15"/>
      <c r="R7" s="15"/>
      <c r="S7" s="15"/>
      <c r="T7" s="15">
        <v>7974</v>
      </c>
      <c r="U7" s="15">
        <v>7974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702"/>
      <c r="AL7" s="701"/>
      <c r="AM7" s="15"/>
      <c r="AN7" s="15"/>
      <c r="AO7" s="15"/>
      <c r="AP7" s="15"/>
      <c r="AQ7" s="15"/>
      <c r="AR7" s="15"/>
      <c r="AS7" s="15"/>
      <c r="AT7" s="15"/>
      <c r="AU7" s="15"/>
      <c r="AV7" s="15">
        <v>610</v>
      </c>
      <c r="AW7" s="702">
        <v>610</v>
      </c>
      <c r="AX7" s="694">
        <f aca="true" t="shared" si="4" ref="AX7:AY18">+AV7+AT7+AR7+AP7+AN7+AL7+AJ7+AH7+AF7+AD7+AB7+Z7+X7+V7+T7+R7+P7+N7+L7+J7</f>
        <v>8584</v>
      </c>
      <c r="AY7" s="425">
        <f t="shared" si="4"/>
        <v>8584</v>
      </c>
      <c r="AZ7" s="16">
        <f t="shared" si="1"/>
        <v>0</v>
      </c>
      <c r="BA7" s="16">
        <f t="shared" si="2"/>
        <v>0</v>
      </c>
    </row>
    <row r="8" spans="2:53" ht="15.75">
      <c r="B8" s="738" t="s">
        <v>33</v>
      </c>
      <c r="C8" s="90" t="s">
        <v>210</v>
      </c>
      <c r="D8" s="85">
        <f>+J8+L8+N8+P8+R8+T8+V8+X8+Z8+AB8+AD8+AF8+AH8+AJ8</f>
        <v>209223</v>
      </c>
      <c r="E8" s="85">
        <f>+AL8+AN8+AP8+AR8+AT8+AV8</f>
        <v>3657</v>
      </c>
      <c r="F8" s="702">
        <f t="shared" si="0"/>
        <v>212880</v>
      </c>
      <c r="G8" s="723">
        <f>+K8+M8+O8+Q8+S8+U8+W8+Y8+AA8+AC8+AE8+AG8+AI8+AK8</f>
        <v>245820</v>
      </c>
      <c r="H8" s="85">
        <f>+AM8+AO8+AQ8+AS8+AU8+AW8</f>
        <v>3657</v>
      </c>
      <c r="I8" s="702">
        <f t="shared" si="3"/>
        <v>249477</v>
      </c>
      <c r="J8" s="701">
        <v>5804</v>
      </c>
      <c r="K8" s="15">
        <v>5804</v>
      </c>
      <c r="L8" s="15"/>
      <c r="M8" s="15"/>
      <c r="N8" s="15">
        <v>7874</v>
      </c>
      <c r="O8" s="15">
        <v>7874</v>
      </c>
      <c r="P8" s="15">
        <v>19552</v>
      </c>
      <c r="Q8" s="15">
        <v>19552</v>
      </c>
      <c r="R8" s="15">
        <v>3400</v>
      </c>
      <c r="S8" s="15">
        <v>3400</v>
      </c>
      <c r="T8" s="15">
        <f>8200+15340+6400+8050+11450+1500+65000-14000</f>
        <v>101940</v>
      </c>
      <c r="U8" s="15">
        <f>8200+15340+6400+8050+11450+1500+65000-14000+142+74+55-578+80+43+20+27423+9338</f>
        <v>138537</v>
      </c>
      <c r="V8" s="15"/>
      <c r="W8" s="15"/>
      <c r="X8" s="15">
        <v>35306</v>
      </c>
      <c r="Y8" s="15">
        <v>35306</v>
      </c>
      <c r="Z8" s="15">
        <v>14524</v>
      </c>
      <c r="AA8" s="15">
        <v>14524</v>
      </c>
      <c r="AB8" s="15">
        <v>12764</v>
      </c>
      <c r="AC8" s="15">
        <v>12764</v>
      </c>
      <c r="AD8" s="15">
        <v>3280</v>
      </c>
      <c r="AE8" s="15">
        <v>3280</v>
      </c>
      <c r="AF8" s="15">
        <v>1017</v>
      </c>
      <c r="AG8" s="15">
        <v>1017</v>
      </c>
      <c r="AH8" s="15">
        <v>762</v>
      </c>
      <c r="AI8" s="15">
        <v>762</v>
      </c>
      <c r="AJ8" s="15">
        <v>3000</v>
      </c>
      <c r="AK8" s="702">
        <v>3000</v>
      </c>
      <c r="AL8" s="701"/>
      <c r="AM8" s="15"/>
      <c r="AN8" s="15"/>
      <c r="AO8" s="15"/>
      <c r="AP8" s="15"/>
      <c r="AQ8" s="15"/>
      <c r="AR8" s="15"/>
      <c r="AS8" s="15"/>
      <c r="AT8" s="15"/>
      <c r="AU8" s="15"/>
      <c r="AV8" s="15">
        <v>3657</v>
      </c>
      <c r="AW8" s="702">
        <v>3657</v>
      </c>
      <c r="AX8" s="694">
        <f t="shared" si="4"/>
        <v>212880</v>
      </c>
      <c r="AY8" s="425">
        <f t="shared" si="4"/>
        <v>249477</v>
      </c>
      <c r="AZ8" s="16">
        <f t="shared" si="1"/>
        <v>0</v>
      </c>
      <c r="BA8" s="16">
        <f t="shared" si="2"/>
        <v>0</v>
      </c>
    </row>
    <row r="9" spans="2:53" ht="15.75">
      <c r="B9" s="738" t="s">
        <v>49</v>
      </c>
      <c r="C9" s="90" t="s">
        <v>211</v>
      </c>
      <c r="D9" s="85">
        <f>+J9+L9+N9+P9+R9+T9+V9+X9+Z9+AB9+AD9+AF9+AH9+AJ9</f>
        <v>0</v>
      </c>
      <c r="E9" s="85">
        <f>+AL9+AN9+AP9+AR9+AT9+AV9</f>
        <v>0</v>
      </c>
      <c r="F9" s="702">
        <f t="shared" si="0"/>
        <v>0</v>
      </c>
      <c r="G9" s="723">
        <f>+K9+M9+O9+Q9+S9+U9+W9+Y9+AA9+AC9+AE9+AG9+AI9+AK9</f>
        <v>0</v>
      </c>
      <c r="H9" s="85">
        <f>+AM9+AO9+AQ9+AS9+AU9+AW9</f>
        <v>0</v>
      </c>
      <c r="I9" s="702">
        <f t="shared" si="3"/>
        <v>0</v>
      </c>
      <c r="J9" s="70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702"/>
      <c r="AL9" s="701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702"/>
      <c r="AX9" s="694">
        <f t="shared" si="4"/>
        <v>0</v>
      </c>
      <c r="AY9" s="425">
        <f t="shared" si="4"/>
        <v>0</v>
      </c>
      <c r="AZ9" s="16">
        <f t="shared" si="1"/>
        <v>0</v>
      </c>
      <c r="BA9" s="16">
        <f t="shared" si="2"/>
        <v>0</v>
      </c>
    </row>
    <row r="10" spans="2:53" ht="15.75">
      <c r="B10" s="738" t="s">
        <v>130</v>
      </c>
      <c r="C10" s="90" t="s">
        <v>212</v>
      </c>
      <c r="D10" s="15">
        <f>SUM(D11:D14)</f>
        <v>473674</v>
      </c>
      <c r="E10" s="15">
        <f>SUM(E11:E14)</f>
        <v>36454</v>
      </c>
      <c r="F10" s="702">
        <f t="shared" si="0"/>
        <v>510128</v>
      </c>
      <c r="G10" s="701">
        <f>SUM(G11:G14)</f>
        <v>474674</v>
      </c>
      <c r="H10" s="15">
        <f>SUM(H11:H14)</f>
        <v>37354</v>
      </c>
      <c r="I10" s="702">
        <f t="shared" si="3"/>
        <v>512028</v>
      </c>
      <c r="J10" s="701">
        <f>SUM(J11:J14)</f>
        <v>0</v>
      </c>
      <c r="K10" s="15">
        <f aca="true" t="shared" si="5" ref="K10:AY10">SUM(K11:K14)</f>
        <v>0</v>
      </c>
      <c r="L10" s="15">
        <f t="shared" si="5"/>
        <v>0</v>
      </c>
      <c r="M10" s="15">
        <f t="shared" si="5"/>
        <v>0</v>
      </c>
      <c r="N10" s="15">
        <f t="shared" si="5"/>
        <v>0</v>
      </c>
      <c r="O10" s="15">
        <f t="shared" si="5"/>
        <v>0</v>
      </c>
      <c r="P10" s="15">
        <f t="shared" si="5"/>
        <v>0</v>
      </c>
      <c r="Q10" s="15">
        <f t="shared" si="5"/>
        <v>0</v>
      </c>
      <c r="R10" s="15">
        <f t="shared" si="5"/>
        <v>0</v>
      </c>
      <c r="S10" s="15">
        <f t="shared" si="5"/>
        <v>0</v>
      </c>
      <c r="T10" s="15">
        <f t="shared" si="5"/>
        <v>194293</v>
      </c>
      <c r="U10" s="15">
        <f t="shared" si="5"/>
        <v>195293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  <c r="Z10" s="15">
        <f t="shared" si="5"/>
        <v>0</v>
      </c>
      <c r="AA10" s="15">
        <f t="shared" si="5"/>
        <v>0</v>
      </c>
      <c r="AB10" s="15">
        <f t="shared" si="5"/>
        <v>0</v>
      </c>
      <c r="AC10" s="15">
        <f t="shared" si="5"/>
        <v>0</v>
      </c>
      <c r="AD10" s="15">
        <f t="shared" si="5"/>
        <v>2000</v>
      </c>
      <c r="AE10" s="15">
        <f t="shared" si="5"/>
        <v>2000</v>
      </c>
      <c r="AF10" s="15">
        <f t="shared" si="5"/>
        <v>0</v>
      </c>
      <c r="AG10" s="15">
        <f t="shared" si="5"/>
        <v>0</v>
      </c>
      <c r="AH10" s="15">
        <f t="shared" si="5"/>
        <v>0</v>
      </c>
      <c r="AI10" s="15">
        <f t="shared" si="5"/>
        <v>0</v>
      </c>
      <c r="AJ10" s="15">
        <f t="shared" si="5"/>
        <v>277381</v>
      </c>
      <c r="AK10" s="702">
        <f t="shared" si="5"/>
        <v>277381</v>
      </c>
      <c r="AL10" s="701">
        <f t="shared" si="5"/>
        <v>11000</v>
      </c>
      <c r="AM10" s="15">
        <f t="shared" si="5"/>
        <v>11000</v>
      </c>
      <c r="AN10" s="15">
        <f t="shared" si="5"/>
        <v>1350</v>
      </c>
      <c r="AO10" s="15">
        <f t="shared" si="5"/>
        <v>1350</v>
      </c>
      <c r="AP10" s="15">
        <f t="shared" si="5"/>
        <v>2000</v>
      </c>
      <c r="AQ10" s="15">
        <f t="shared" si="5"/>
        <v>2000</v>
      </c>
      <c r="AR10" s="15">
        <f t="shared" si="5"/>
        <v>450</v>
      </c>
      <c r="AS10" s="15">
        <f t="shared" si="5"/>
        <v>450</v>
      </c>
      <c r="AT10" s="15">
        <f t="shared" si="5"/>
        <v>21654</v>
      </c>
      <c r="AU10" s="15">
        <f>SUM(AU11:AU14)</f>
        <v>22554</v>
      </c>
      <c r="AV10" s="15">
        <f t="shared" si="5"/>
        <v>0</v>
      </c>
      <c r="AW10" s="702">
        <f t="shared" si="5"/>
        <v>0</v>
      </c>
      <c r="AX10" s="695">
        <f t="shared" si="5"/>
        <v>510128</v>
      </c>
      <c r="AY10" s="15">
        <f t="shared" si="5"/>
        <v>512028</v>
      </c>
      <c r="AZ10" s="16">
        <f t="shared" si="1"/>
        <v>0</v>
      </c>
      <c r="BA10" s="16">
        <f t="shared" si="2"/>
        <v>0</v>
      </c>
    </row>
    <row r="11" spans="2:53" ht="31.5">
      <c r="B11" s="739" t="s">
        <v>131</v>
      </c>
      <c r="C11" s="95" t="s">
        <v>246</v>
      </c>
      <c r="D11" s="85">
        <f>+J11+L11+N11+P11+R11+T11+V11+X11+Z11+AB11+AD11+AF11+AH11+AJ11</f>
        <v>277381</v>
      </c>
      <c r="E11" s="85">
        <f>+AL11+AN11+AP11+AR11+AT11+AV11</f>
        <v>0</v>
      </c>
      <c r="F11" s="702">
        <f t="shared" si="0"/>
        <v>277381</v>
      </c>
      <c r="G11" s="723">
        <f>+K11+M11+O11+Q11+S11+U11+W11+Y11+AA11+AC11+AE11+AG11+AI11+AK11</f>
        <v>277381</v>
      </c>
      <c r="H11" s="85">
        <f>+AM11+AO11+AQ11+AS11+AU11+AW11</f>
        <v>0</v>
      </c>
      <c r="I11" s="702">
        <f t="shared" si="3"/>
        <v>277381</v>
      </c>
      <c r="J11" s="70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f>280381-3000</f>
        <v>277381</v>
      </c>
      <c r="AK11" s="702">
        <f>280381-3000</f>
        <v>277381</v>
      </c>
      <c r="AL11" s="70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702"/>
      <c r="AX11" s="694">
        <f t="shared" si="4"/>
        <v>277381</v>
      </c>
      <c r="AY11" s="425">
        <f t="shared" si="4"/>
        <v>277381</v>
      </c>
      <c r="AZ11" s="16">
        <f t="shared" si="1"/>
        <v>0</v>
      </c>
      <c r="BA11" s="16">
        <f t="shared" si="2"/>
        <v>0</v>
      </c>
    </row>
    <row r="12" spans="2:53" ht="15.75">
      <c r="B12" s="739" t="s">
        <v>139</v>
      </c>
      <c r="C12" s="95" t="s">
        <v>247</v>
      </c>
      <c r="D12" s="85">
        <f>+J12+L12+N12+P12+R12+T12+V12+X12+Z12+AB12+AD12+AF12+AH12+AJ12</f>
        <v>196293</v>
      </c>
      <c r="E12" s="85">
        <f>+AL12+AN12+AP12+AR12+AT12+AV12</f>
        <v>36454</v>
      </c>
      <c r="F12" s="702">
        <f t="shared" si="0"/>
        <v>232747</v>
      </c>
      <c r="G12" s="723">
        <f>+K12+M12+O12+Q12+S12+U12+W12+Y12+AA12+AC12+AE12+AG12+AI12+AK12</f>
        <v>197293</v>
      </c>
      <c r="H12" s="85">
        <f>+AM12+AO12+AQ12+AS12+AU12+AW12</f>
        <v>37354</v>
      </c>
      <c r="I12" s="702">
        <f t="shared" si="3"/>
        <v>234647</v>
      </c>
      <c r="J12" s="701"/>
      <c r="K12" s="15"/>
      <c r="L12" s="15"/>
      <c r="M12" s="15"/>
      <c r="N12" s="15"/>
      <c r="O12" s="15"/>
      <c r="P12" s="15"/>
      <c r="Q12" s="15"/>
      <c r="R12" s="15"/>
      <c r="S12" s="15"/>
      <c r="T12" s="15">
        <f>158293+36000</f>
        <v>194293</v>
      </c>
      <c r="U12" s="15">
        <f>158293+36000+1000</f>
        <v>195293</v>
      </c>
      <c r="V12" s="15"/>
      <c r="W12" s="15"/>
      <c r="X12" s="15"/>
      <c r="Y12" s="15"/>
      <c r="Z12" s="15"/>
      <c r="AA12" s="15"/>
      <c r="AB12" s="15"/>
      <c r="AC12" s="15"/>
      <c r="AD12" s="15">
        <v>2000</v>
      </c>
      <c r="AE12" s="15">
        <v>2000</v>
      </c>
      <c r="AF12" s="15"/>
      <c r="AG12" s="15"/>
      <c r="AH12" s="15"/>
      <c r="AI12" s="568"/>
      <c r="AJ12" s="2"/>
      <c r="AK12" s="721"/>
      <c r="AL12" s="701">
        <v>11000</v>
      </c>
      <c r="AM12" s="15">
        <v>11000</v>
      </c>
      <c r="AN12" s="15">
        <v>1350</v>
      </c>
      <c r="AO12" s="15">
        <v>1350</v>
      </c>
      <c r="AP12" s="15">
        <f>1500+250+250</f>
        <v>2000</v>
      </c>
      <c r="AQ12" s="15">
        <f>1500+250+250</f>
        <v>2000</v>
      </c>
      <c r="AR12" s="15">
        <f>100+100+250</f>
        <v>450</v>
      </c>
      <c r="AS12" s="15">
        <f>100+100+250</f>
        <v>450</v>
      </c>
      <c r="AT12" s="15">
        <f>11654+8000+2000</f>
        <v>21654</v>
      </c>
      <c r="AU12" s="15">
        <f>11654+8000+2000+900</f>
        <v>22554</v>
      </c>
      <c r="AV12" s="15"/>
      <c r="AW12" s="702"/>
      <c r="AX12" s="694">
        <f t="shared" si="4"/>
        <v>232747</v>
      </c>
      <c r="AY12" s="425">
        <f t="shared" si="4"/>
        <v>234647</v>
      </c>
      <c r="AZ12" s="16">
        <f t="shared" si="1"/>
        <v>0</v>
      </c>
      <c r="BA12" s="16">
        <f t="shared" si="2"/>
        <v>0</v>
      </c>
    </row>
    <row r="13" spans="2:53" ht="15.75">
      <c r="B13" s="739" t="s">
        <v>144</v>
      </c>
      <c r="C13" s="95" t="s">
        <v>248</v>
      </c>
      <c r="D13" s="85">
        <f>+J13+L13+N13+P13+R13+T13+V13+X13+Z13+AB13+AD13+AF13+AH13+AJ13</f>
        <v>0</v>
      </c>
      <c r="E13" s="85">
        <f>+AL13+AN13+AP13+AR13+AT13+AV13</f>
        <v>0</v>
      </c>
      <c r="F13" s="702">
        <f t="shared" si="0"/>
        <v>0</v>
      </c>
      <c r="G13" s="723">
        <f>+K13+M13+O13+Q13+S13+U13+W13+Y13+AA13+AC13+AE13+AG13+AI13+AK13</f>
        <v>0</v>
      </c>
      <c r="H13" s="85">
        <f>+AM13+AO13+AQ13+AS13+AU13+AW13</f>
        <v>0</v>
      </c>
      <c r="I13" s="702">
        <f t="shared" si="3"/>
        <v>0</v>
      </c>
      <c r="J13" s="70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702"/>
      <c r="AL13" s="70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702"/>
      <c r="AX13" s="694">
        <f t="shared" si="4"/>
        <v>0</v>
      </c>
      <c r="AY13" s="425">
        <f t="shared" si="4"/>
        <v>0</v>
      </c>
      <c r="AZ13" s="16">
        <f t="shared" si="1"/>
        <v>0</v>
      </c>
      <c r="BA13" s="16">
        <f t="shared" si="2"/>
        <v>0</v>
      </c>
    </row>
    <row r="14" spans="2:53" ht="15.75">
      <c r="B14" s="739" t="s">
        <v>149</v>
      </c>
      <c r="C14" s="95" t="s">
        <v>250</v>
      </c>
      <c r="D14" s="85">
        <f>+J14+L14+N14+P14+R14+T14+V14+X14+Z14+AB14+AD14+AF14+AH14+AJ14</f>
        <v>0</v>
      </c>
      <c r="E14" s="85">
        <f>+AL14+AN14+AP14+AR14+AT14+AV14</f>
        <v>0</v>
      </c>
      <c r="F14" s="702">
        <f t="shared" si="0"/>
        <v>0</v>
      </c>
      <c r="G14" s="723">
        <f>+K14+M14+O14+Q14+S14+U14+W14+Y14+AA14+AC14+AE14+AG14+AI14+AK14</f>
        <v>0</v>
      </c>
      <c r="H14" s="85">
        <f>+AM14+AO14+AQ14+AS14+AU14+AW14</f>
        <v>0</v>
      </c>
      <c r="I14" s="702">
        <f t="shared" si="3"/>
        <v>0</v>
      </c>
      <c r="J14" s="70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702"/>
      <c r="AL14" s="701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702"/>
      <c r="AX14" s="694">
        <f t="shared" si="4"/>
        <v>0</v>
      </c>
      <c r="AY14" s="425">
        <f t="shared" si="4"/>
        <v>0</v>
      </c>
      <c r="AZ14" s="16">
        <f t="shared" si="1"/>
        <v>0</v>
      </c>
      <c r="BA14" s="16">
        <f t="shared" si="2"/>
        <v>0</v>
      </c>
    </row>
    <row r="15" spans="2:53" ht="31.5">
      <c r="B15" s="411" t="s">
        <v>181</v>
      </c>
      <c r="C15" s="91" t="s">
        <v>213</v>
      </c>
      <c r="D15" s="112"/>
      <c r="E15" s="112"/>
      <c r="F15" s="704">
        <f t="shared" si="0"/>
        <v>0</v>
      </c>
      <c r="G15" s="703"/>
      <c r="H15" s="113"/>
      <c r="I15" s="704">
        <f t="shared" si="3"/>
        <v>0</v>
      </c>
      <c r="J15" s="70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704"/>
      <c r="AL15" s="70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704"/>
      <c r="AX15" s="694">
        <f t="shared" si="4"/>
        <v>0</v>
      </c>
      <c r="AY15" s="425">
        <f t="shared" si="4"/>
        <v>0</v>
      </c>
      <c r="AZ15" s="16">
        <f t="shared" si="1"/>
        <v>0</v>
      </c>
      <c r="BA15" s="16">
        <f t="shared" si="2"/>
        <v>0</v>
      </c>
    </row>
    <row r="16" spans="2:53" ht="15.75">
      <c r="B16" s="738" t="s">
        <v>271</v>
      </c>
      <c r="C16" s="92" t="s">
        <v>214</v>
      </c>
      <c r="D16" s="17"/>
      <c r="E16" s="17"/>
      <c r="F16" s="702">
        <f t="shared" si="0"/>
        <v>0</v>
      </c>
      <c r="G16" s="701"/>
      <c r="H16" s="15"/>
      <c r="I16" s="702">
        <f t="shared" si="3"/>
        <v>0</v>
      </c>
      <c r="J16" s="70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702"/>
      <c r="AL16" s="701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702"/>
      <c r="AX16" s="694">
        <f t="shared" si="4"/>
        <v>0</v>
      </c>
      <c r="AY16" s="425">
        <f t="shared" si="4"/>
        <v>0</v>
      </c>
      <c r="AZ16" s="16">
        <f t="shared" si="1"/>
        <v>0</v>
      </c>
      <c r="BA16" s="16">
        <f t="shared" si="2"/>
        <v>0</v>
      </c>
    </row>
    <row r="17" spans="2:53" ht="15.75">
      <c r="B17" s="738" t="s">
        <v>272</v>
      </c>
      <c r="C17" s="92" t="s">
        <v>159</v>
      </c>
      <c r="D17" s="17"/>
      <c r="E17" s="17"/>
      <c r="F17" s="702">
        <f t="shared" si="0"/>
        <v>0</v>
      </c>
      <c r="G17" s="701"/>
      <c r="H17" s="15"/>
      <c r="I17" s="702">
        <f t="shared" si="3"/>
        <v>0</v>
      </c>
      <c r="J17" s="70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702"/>
      <c r="AL17" s="701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702"/>
      <c r="AX17" s="694">
        <f t="shared" si="4"/>
        <v>0</v>
      </c>
      <c r="AY17" s="425">
        <f t="shared" si="4"/>
        <v>0</v>
      </c>
      <c r="AZ17" s="16">
        <f t="shared" si="1"/>
        <v>0</v>
      </c>
      <c r="BA17" s="16">
        <f t="shared" si="2"/>
        <v>0</v>
      </c>
    </row>
    <row r="18" spans="2:54" ht="15.75">
      <c r="B18" s="738" t="s">
        <v>273</v>
      </c>
      <c r="C18" s="93" t="s">
        <v>236</v>
      </c>
      <c r="D18" s="94">
        <f aca="true" t="shared" si="6" ref="D18:AW18">SUM(D6,D7,D8,D9,D10,D15,D16,D17)</f>
        <v>721504</v>
      </c>
      <c r="E18" s="94">
        <f t="shared" si="6"/>
        <v>42369</v>
      </c>
      <c r="F18" s="706">
        <f t="shared" si="6"/>
        <v>763873</v>
      </c>
      <c r="G18" s="705">
        <f t="shared" si="6"/>
        <v>759101</v>
      </c>
      <c r="H18" s="94">
        <f t="shared" si="6"/>
        <v>43269</v>
      </c>
      <c r="I18" s="706">
        <f t="shared" si="6"/>
        <v>802370</v>
      </c>
      <c r="J18" s="705">
        <f t="shared" si="6"/>
        <v>5804</v>
      </c>
      <c r="K18" s="94">
        <f t="shared" si="6"/>
        <v>5804</v>
      </c>
      <c r="L18" s="94">
        <f t="shared" si="6"/>
        <v>0</v>
      </c>
      <c r="M18" s="94">
        <f t="shared" si="6"/>
        <v>0</v>
      </c>
      <c r="N18" s="94">
        <f t="shared" si="6"/>
        <v>7874</v>
      </c>
      <c r="O18" s="94">
        <f t="shared" si="6"/>
        <v>7874</v>
      </c>
      <c r="P18" s="94">
        <f t="shared" si="6"/>
        <v>19552</v>
      </c>
      <c r="Q18" s="94">
        <f t="shared" si="6"/>
        <v>19552</v>
      </c>
      <c r="R18" s="94">
        <f t="shared" si="6"/>
        <v>3400</v>
      </c>
      <c r="S18" s="94">
        <f t="shared" si="6"/>
        <v>3400</v>
      </c>
      <c r="T18" s="94">
        <f t="shared" si="6"/>
        <v>334840</v>
      </c>
      <c r="U18" s="94">
        <f t="shared" si="6"/>
        <v>372437</v>
      </c>
      <c r="V18" s="94">
        <f t="shared" si="6"/>
        <v>0</v>
      </c>
      <c r="W18" s="94">
        <f t="shared" si="6"/>
        <v>0</v>
      </c>
      <c r="X18" s="94">
        <f t="shared" si="6"/>
        <v>35306</v>
      </c>
      <c r="Y18" s="94">
        <f t="shared" si="6"/>
        <v>35306</v>
      </c>
      <c r="Z18" s="94">
        <f t="shared" si="6"/>
        <v>14524</v>
      </c>
      <c r="AA18" s="94">
        <f t="shared" si="6"/>
        <v>14524</v>
      </c>
      <c r="AB18" s="94">
        <f t="shared" si="6"/>
        <v>12764</v>
      </c>
      <c r="AC18" s="94">
        <f t="shared" si="6"/>
        <v>12764</v>
      </c>
      <c r="AD18" s="94">
        <f t="shared" si="6"/>
        <v>5280</v>
      </c>
      <c r="AE18" s="94">
        <f t="shared" si="6"/>
        <v>5280</v>
      </c>
      <c r="AF18" s="94">
        <f t="shared" si="6"/>
        <v>1017</v>
      </c>
      <c r="AG18" s="94">
        <f t="shared" si="6"/>
        <v>1017</v>
      </c>
      <c r="AH18" s="94">
        <f t="shared" si="6"/>
        <v>762</v>
      </c>
      <c r="AI18" s="94">
        <f t="shared" si="6"/>
        <v>762</v>
      </c>
      <c r="AJ18" s="94">
        <f t="shared" si="6"/>
        <v>280381</v>
      </c>
      <c r="AK18" s="706">
        <f t="shared" si="6"/>
        <v>280381</v>
      </c>
      <c r="AL18" s="705">
        <f t="shared" si="6"/>
        <v>11000</v>
      </c>
      <c r="AM18" s="94">
        <f t="shared" si="6"/>
        <v>11000</v>
      </c>
      <c r="AN18" s="94">
        <f t="shared" si="6"/>
        <v>1350</v>
      </c>
      <c r="AO18" s="94">
        <f t="shared" si="6"/>
        <v>1350</v>
      </c>
      <c r="AP18" s="94">
        <f t="shared" si="6"/>
        <v>2000</v>
      </c>
      <c r="AQ18" s="94">
        <f t="shared" si="6"/>
        <v>2000</v>
      </c>
      <c r="AR18" s="94">
        <f t="shared" si="6"/>
        <v>450</v>
      </c>
      <c r="AS18" s="94">
        <f t="shared" si="6"/>
        <v>450</v>
      </c>
      <c r="AT18" s="94">
        <f t="shared" si="6"/>
        <v>21654</v>
      </c>
      <c r="AU18" s="94">
        <f t="shared" si="6"/>
        <v>22554</v>
      </c>
      <c r="AV18" s="94">
        <f t="shared" si="6"/>
        <v>5915</v>
      </c>
      <c r="AW18" s="706">
        <f t="shared" si="6"/>
        <v>5915</v>
      </c>
      <c r="AX18" s="694">
        <f t="shared" si="4"/>
        <v>763873</v>
      </c>
      <c r="AY18" s="425">
        <f t="shared" si="4"/>
        <v>802370</v>
      </c>
      <c r="AZ18" s="16">
        <f t="shared" si="1"/>
        <v>0</v>
      </c>
      <c r="BA18" s="16">
        <f t="shared" si="2"/>
        <v>0</v>
      </c>
      <c r="BB18" s="16">
        <f>+AX18-AJ18-AV18</f>
        <v>477577</v>
      </c>
    </row>
    <row r="19" spans="2:53" ht="15.75">
      <c r="B19" s="738" t="s">
        <v>274</v>
      </c>
      <c r="C19" s="90" t="s">
        <v>215</v>
      </c>
      <c r="D19" s="17"/>
      <c r="E19" s="17"/>
      <c r="F19" s="702">
        <f aca="true" t="shared" si="7" ref="F19:F31">SUM(D19:E19)</f>
        <v>0</v>
      </c>
      <c r="G19" s="701"/>
      <c r="H19" s="15"/>
      <c r="I19" s="702">
        <f aca="true" t="shared" si="8" ref="I19:I31">SUM(G19:H19)</f>
        <v>0</v>
      </c>
      <c r="J19" s="70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708"/>
      <c r="AL19" s="70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708"/>
      <c r="AX19" s="696"/>
      <c r="AY19" s="17"/>
      <c r="AZ19" s="16">
        <f t="shared" si="1"/>
        <v>0</v>
      </c>
      <c r="BA19" s="16">
        <f t="shared" si="2"/>
        <v>0</v>
      </c>
    </row>
    <row r="20" spans="2:53" ht="15.75">
      <c r="B20" s="738" t="s">
        <v>170</v>
      </c>
      <c r="C20" s="90" t="s">
        <v>119</v>
      </c>
      <c r="D20" s="17"/>
      <c r="E20" s="17"/>
      <c r="F20" s="702">
        <f t="shared" si="7"/>
        <v>0</v>
      </c>
      <c r="G20" s="701"/>
      <c r="H20" s="15"/>
      <c r="I20" s="702">
        <f t="shared" si="8"/>
        <v>0</v>
      </c>
      <c r="J20" s="70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708"/>
      <c r="AL20" s="70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708"/>
      <c r="AX20" s="696"/>
      <c r="AY20" s="17"/>
      <c r="AZ20" s="16">
        <f t="shared" si="1"/>
        <v>0</v>
      </c>
      <c r="BA20" s="16">
        <f t="shared" si="2"/>
        <v>0</v>
      </c>
    </row>
    <row r="21" spans="2:53" ht="15.75">
      <c r="B21" s="738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702">
        <f t="shared" si="7"/>
        <v>0</v>
      </c>
      <c r="G21" s="701"/>
      <c r="H21" s="15"/>
      <c r="I21" s="702">
        <f t="shared" si="8"/>
        <v>0</v>
      </c>
      <c r="J21" s="701">
        <f>SUM(J22:J25)</f>
        <v>0</v>
      </c>
      <c r="K21" s="15"/>
      <c r="L21" s="15">
        <f>SUM(L22:L25)</f>
        <v>0</v>
      </c>
      <c r="M21" s="15"/>
      <c r="N21" s="15">
        <f>SUM(N22:N25)</f>
        <v>0</v>
      </c>
      <c r="O21" s="15"/>
      <c r="P21" s="15">
        <f>SUM(P22:P25)</f>
        <v>0</v>
      </c>
      <c r="Q21" s="15"/>
      <c r="R21" s="15">
        <f>SUM(R22:R25)</f>
        <v>0</v>
      </c>
      <c r="S21" s="15"/>
      <c r="T21" s="15">
        <f>SUM(T22:T25)</f>
        <v>0</v>
      </c>
      <c r="U21" s="15"/>
      <c r="V21" s="15">
        <f>SUM(V22:V25)</f>
        <v>0</v>
      </c>
      <c r="W21" s="15"/>
      <c r="X21" s="15">
        <f>SUM(X22:X25)</f>
        <v>0</v>
      </c>
      <c r="Y21" s="15"/>
      <c r="Z21" s="15">
        <f>SUM(Z22:Z25)</f>
        <v>0</v>
      </c>
      <c r="AA21" s="15"/>
      <c r="AB21" s="15">
        <f>SUM(AB22:AB25)</f>
        <v>0</v>
      </c>
      <c r="AC21" s="15"/>
      <c r="AD21" s="15">
        <f>SUM(AD22:AD25)</f>
        <v>0</v>
      </c>
      <c r="AE21" s="15"/>
      <c r="AF21" s="15">
        <f>SUM(AF22:AF25)</f>
        <v>0</v>
      </c>
      <c r="AG21" s="15"/>
      <c r="AH21" s="15">
        <f>SUM(AH22:AH25)</f>
        <v>0</v>
      </c>
      <c r="AI21" s="15"/>
      <c r="AJ21" s="15">
        <f>SUM(AJ22:AJ25)</f>
        <v>0</v>
      </c>
      <c r="AK21" s="702"/>
      <c r="AL21" s="701">
        <f>SUM(AL22:AL25)</f>
        <v>0</v>
      </c>
      <c r="AM21" s="15"/>
      <c r="AN21" s="15">
        <f>SUM(AN22:AN25)</f>
        <v>0</v>
      </c>
      <c r="AO21" s="15"/>
      <c r="AP21" s="15">
        <f>SUM(AP22:AP25)</f>
        <v>0</v>
      </c>
      <c r="AQ21" s="15"/>
      <c r="AR21" s="15">
        <f>SUM(AR22:AR25)</f>
        <v>0</v>
      </c>
      <c r="AS21" s="15"/>
      <c r="AT21" s="15">
        <f>SUM(AT22:AT25)</f>
        <v>0</v>
      </c>
      <c r="AU21" s="15"/>
      <c r="AV21" s="15">
        <f>SUM(AV22:AV25)</f>
        <v>0</v>
      </c>
      <c r="AW21" s="702"/>
      <c r="AX21" s="694">
        <f>+AV21+AT21+AR21+AP21+AN21+AL21+AJ21+AH21+AF21+AD21+AB21+Z21+X21+V21+T21+R21+P21+N21+L21+J21</f>
        <v>0</v>
      </c>
      <c r="AY21" s="425">
        <f>+AW21+AU21+AS21+AQ21+AO21+AM21+AK21+AI21+AG21+AE21+AC21+AA21+Y21+W21+U21+S21+Q21+O21+M21+K21</f>
        <v>0</v>
      </c>
      <c r="AZ21" s="16">
        <f t="shared" si="1"/>
        <v>0</v>
      </c>
      <c r="BA21" s="16">
        <f t="shared" si="2"/>
        <v>0</v>
      </c>
    </row>
    <row r="22" spans="2:53" ht="47.25">
      <c r="B22" s="740" t="s">
        <v>395</v>
      </c>
      <c r="C22" s="95" t="s">
        <v>249</v>
      </c>
      <c r="D22" s="17"/>
      <c r="E22" s="17"/>
      <c r="F22" s="702">
        <f t="shared" si="7"/>
        <v>0</v>
      </c>
      <c r="G22" s="701"/>
      <c r="H22" s="15"/>
      <c r="I22" s="702">
        <f t="shared" si="8"/>
        <v>0</v>
      </c>
      <c r="J22" s="70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708"/>
      <c r="AL22" s="70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708"/>
      <c r="AX22" s="696"/>
      <c r="AY22" s="17"/>
      <c r="AZ22" s="16">
        <f t="shared" si="1"/>
        <v>0</v>
      </c>
      <c r="BA22" s="16">
        <f t="shared" si="2"/>
        <v>0</v>
      </c>
    </row>
    <row r="23" spans="2:53" ht="15.75">
      <c r="B23" s="740" t="s">
        <v>396</v>
      </c>
      <c r="C23" s="115" t="s">
        <v>240</v>
      </c>
      <c r="D23" s="17"/>
      <c r="E23" s="17"/>
      <c r="F23" s="702">
        <f t="shared" si="7"/>
        <v>0</v>
      </c>
      <c r="G23" s="701"/>
      <c r="H23" s="15"/>
      <c r="I23" s="702">
        <f t="shared" si="8"/>
        <v>0</v>
      </c>
      <c r="J23" s="70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708"/>
      <c r="AL23" s="70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708"/>
      <c r="AX23" s="696"/>
      <c r="AY23" s="17"/>
      <c r="AZ23" s="16">
        <f t="shared" si="1"/>
        <v>0</v>
      </c>
      <c r="BA23" s="16">
        <f t="shared" si="2"/>
        <v>0</v>
      </c>
    </row>
    <row r="24" spans="2:53" ht="15.75">
      <c r="B24" s="740" t="s">
        <v>397</v>
      </c>
      <c r="C24" s="95" t="s">
        <v>241</v>
      </c>
      <c r="D24" s="17"/>
      <c r="E24" s="17"/>
      <c r="F24" s="702">
        <f t="shared" si="7"/>
        <v>0</v>
      </c>
      <c r="G24" s="701"/>
      <c r="H24" s="15"/>
      <c r="I24" s="702">
        <f t="shared" si="8"/>
        <v>0</v>
      </c>
      <c r="J24" s="70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708"/>
      <c r="AL24" s="70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708"/>
      <c r="AX24" s="696"/>
      <c r="AY24" s="17"/>
      <c r="AZ24" s="16">
        <f t="shared" si="1"/>
        <v>0</v>
      </c>
      <c r="BA24" s="16">
        <f t="shared" si="2"/>
        <v>0</v>
      </c>
    </row>
    <row r="25" spans="2:53" ht="15.75">
      <c r="B25" s="740" t="s">
        <v>398</v>
      </c>
      <c r="C25" s="95" t="s">
        <v>242</v>
      </c>
      <c r="D25" s="17"/>
      <c r="E25" s="17"/>
      <c r="F25" s="702">
        <f t="shared" si="7"/>
        <v>0</v>
      </c>
      <c r="G25" s="701"/>
      <c r="H25" s="15"/>
      <c r="I25" s="702">
        <f t="shared" si="8"/>
        <v>0</v>
      </c>
      <c r="J25" s="70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708"/>
      <c r="AL25" s="70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708"/>
      <c r="AX25" s="696"/>
      <c r="AY25" s="17"/>
      <c r="AZ25" s="16">
        <f t="shared" si="1"/>
        <v>0</v>
      </c>
      <c r="BA25" s="16">
        <f t="shared" si="2"/>
        <v>0</v>
      </c>
    </row>
    <row r="26" spans="2:63" s="2" customFormat="1" ht="15.75">
      <c r="B26" s="738" t="s">
        <v>276</v>
      </c>
      <c r="C26" s="92" t="s">
        <v>217</v>
      </c>
      <c r="D26" s="17"/>
      <c r="E26" s="17"/>
      <c r="F26" s="702">
        <f t="shared" si="7"/>
        <v>0</v>
      </c>
      <c r="G26" s="701"/>
      <c r="H26" s="15"/>
      <c r="I26" s="702">
        <f t="shared" si="8"/>
        <v>0</v>
      </c>
      <c r="J26" s="70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708"/>
      <c r="AL26" s="70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708"/>
      <c r="AX26" s="696"/>
      <c r="AY26" s="17"/>
      <c r="AZ26" s="16">
        <f t="shared" si="1"/>
        <v>0</v>
      </c>
      <c r="BA26" s="16">
        <f t="shared" si="2"/>
        <v>0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2:63" ht="15.75">
      <c r="B27" s="738" t="s">
        <v>277</v>
      </c>
      <c r="C27" s="92" t="s">
        <v>218</v>
      </c>
      <c r="D27" s="17"/>
      <c r="E27" s="17"/>
      <c r="F27" s="702">
        <f t="shared" si="7"/>
        <v>0</v>
      </c>
      <c r="G27" s="701"/>
      <c r="H27" s="15"/>
      <c r="I27" s="702">
        <f t="shared" si="8"/>
        <v>0</v>
      </c>
      <c r="J27" s="70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708"/>
      <c r="AL27" s="70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708"/>
      <c r="AX27" s="696"/>
      <c r="AY27" s="17"/>
      <c r="AZ27" s="16">
        <f t="shared" si="1"/>
        <v>0</v>
      </c>
      <c r="BA27" s="16">
        <f t="shared" si="2"/>
        <v>0</v>
      </c>
      <c r="BI27" s="2"/>
      <c r="BJ27" s="2"/>
      <c r="BK27" s="2"/>
    </row>
    <row r="28" spans="2:53" ht="31.5">
      <c r="B28" s="411" t="s">
        <v>279</v>
      </c>
      <c r="C28" s="96" t="s">
        <v>219</v>
      </c>
      <c r="D28" s="112"/>
      <c r="E28" s="112"/>
      <c r="F28" s="704">
        <f t="shared" si="7"/>
        <v>0</v>
      </c>
      <c r="G28" s="703"/>
      <c r="H28" s="113"/>
      <c r="I28" s="704">
        <f t="shared" si="8"/>
        <v>0</v>
      </c>
      <c r="J28" s="709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710"/>
      <c r="AL28" s="709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710"/>
      <c r="AX28" s="697"/>
      <c r="AY28" s="112"/>
      <c r="AZ28" s="16">
        <f t="shared" si="1"/>
        <v>0</v>
      </c>
      <c r="BA28" s="16">
        <f t="shared" si="2"/>
        <v>0</v>
      </c>
    </row>
    <row r="29" spans="2:53" ht="15.75">
      <c r="B29" s="411" t="s">
        <v>280</v>
      </c>
      <c r="C29" s="97" t="s">
        <v>194</v>
      </c>
      <c r="D29" s="17"/>
      <c r="E29" s="17"/>
      <c r="F29" s="702">
        <f t="shared" si="7"/>
        <v>0</v>
      </c>
      <c r="G29" s="701"/>
      <c r="H29" s="15"/>
      <c r="I29" s="702">
        <f t="shared" si="8"/>
        <v>0</v>
      </c>
      <c r="J29" s="70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708"/>
      <c r="AL29" s="70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708"/>
      <c r="AX29" s="696"/>
      <c r="AY29" s="17"/>
      <c r="AZ29" s="16">
        <f t="shared" si="1"/>
        <v>0</v>
      </c>
      <c r="BA29" s="16">
        <f t="shared" si="2"/>
        <v>0</v>
      </c>
    </row>
    <row r="30" spans="2:53" ht="15.75">
      <c r="B30" s="411" t="s">
        <v>281</v>
      </c>
      <c r="C30" s="97" t="s">
        <v>195</v>
      </c>
      <c r="D30" s="17"/>
      <c r="E30" s="17"/>
      <c r="F30" s="702">
        <f t="shared" si="7"/>
        <v>0</v>
      </c>
      <c r="G30" s="701"/>
      <c r="H30" s="15"/>
      <c r="I30" s="702">
        <f t="shared" si="8"/>
        <v>0</v>
      </c>
      <c r="J30" s="70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708"/>
      <c r="AL30" s="70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708"/>
      <c r="AX30" s="696"/>
      <c r="AY30" s="17"/>
      <c r="AZ30" s="16">
        <f t="shared" si="1"/>
        <v>0</v>
      </c>
      <c r="BA30" s="16">
        <f t="shared" si="2"/>
        <v>0</v>
      </c>
    </row>
    <row r="31" spans="2:53" ht="15.75">
      <c r="B31" s="411" t="s">
        <v>282</v>
      </c>
      <c r="C31" s="97" t="s">
        <v>196</v>
      </c>
      <c r="D31" s="17"/>
      <c r="E31" s="17"/>
      <c r="F31" s="702">
        <f t="shared" si="7"/>
        <v>0</v>
      </c>
      <c r="G31" s="701"/>
      <c r="H31" s="15"/>
      <c r="I31" s="702">
        <f t="shared" si="8"/>
        <v>0</v>
      </c>
      <c r="J31" s="70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708"/>
      <c r="AL31" s="70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708"/>
      <c r="AX31" s="696"/>
      <c r="AY31" s="17"/>
      <c r="AZ31" s="16">
        <f t="shared" si="1"/>
        <v>0</v>
      </c>
      <c r="BA31" s="16">
        <f t="shared" si="2"/>
        <v>0</v>
      </c>
    </row>
    <row r="32" spans="2:53" ht="15.75">
      <c r="B32" s="411" t="s">
        <v>283</v>
      </c>
      <c r="C32" s="93" t="s">
        <v>237</v>
      </c>
      <c r="D32" s="94">
        <f>SUM(D19,D20,D21,D26,D27,D28,D29,D30,D31)</f>
        <v>0</v>
      </c>
      <c r="E32" s="94">
        <f>SUM(E19,E20,E21,E26,E27,E28,E29,E30,E31)</f>
        <v>0</v>
      </c>
      <c r="F32" s="706">
        <f>SUM(F19,F20,F21,F26,F27,F28,F29,F30,F31)</f>
        <v>0</v>
      </c>
      <c r="G32" s="705"/>
      <c r="H32" s="94"/>
      <c r="I32" s="706">
        <f>SUM(I19,I20,I21,I26,I27,I28,I29,I30,I31)</f>
        <v>0</v>
      </c>
      <c r="J32" s="705">
        <f>SUM(J19,J20,J21,J26,J27,J28,J29,J30,J31)</f>
        <v>0</v>
      </c>
      <c r="K32" s="94"/>
      <c r="L32" s="94">
        <f aca="true" t="shared" si="9" ref="L32:AV32">SUM(L19,L20,L21,L26,L27,L28,L29,L30,L31)</f>
        <v>0</v>
      </c>
      <c r="M32" s="94"/>
      <c r="N32" s="94">
        <f t="shared" si="9"/>
        <v>0</v>
      </c>
      <c r="O32" s="94"/>
      <c r="P32" s="94">
        <f t="shared" si="9"/>
        <v>0</v>
      </c>
      <c r="Q32" s="94"/>
      <c r="R32" s="94">
        <f t="shared" si="9"/>
        <v>0</v>
      </c>
      <c r="S32" s="94"/>
      <c r="T32" s="94">
        <f t="shared" si="9"/>
        <v>0</v>
      </c>
      <c r="U32" s="94"/>
      <c r="V32" s="94">
        <f t="shared" si="9"/>
        <v>0</v>
      </c>
      <c r="W32" s="94"/>
      <c r="X32" s="94">
        <f t="shared" si="9"/>
        <v>0</v>
      </c>
      <c r="Y32" s="94"/>
      <c r="Z32" s="94">
        <f t="shared" si="9"/>
        <v>0</v>
      </c>
      <c r="AA32" s="94"/>
      <c r="AB32" s="94">
        <f t="shared" si="9"/>
        <v>0</v>
      </c>
      <c r="AC32" s="94"/>
      <c r="AD32" s="94">
        <f t="shared" si="9"/>
        <v>0</v>
      </c>
      <c r="AE32" s="94"/>
      <c r="AF32" s="94">
        <f t="shared" si="9"/>
        <v>0</v>
      </c>
      <c r="AG32" s="94"/>
      <c r="AH32" s="94">
        <f t="shared" si="9"/>
        <v>0</v>
      </c>
      <c r="AI32" s="94"/>
      <c r="AJ32" s="94">
        <f t="shared" si="9"/>
        <v>0</v>
      </c>
      <c r="AK32" s="706"/>
      <c r="AL32" s="705">
        <f t="shared" si="9"/>
        <v>0</v>
      </c>
      <c r="AM32" s="94"/>
      <c r="AN32" s="94">
        <f t="shared" si="9"/>
        <v>0</v>
      </c>
      <c r="AO32" s="94"/>
      <c r="AP32" s="94">
        <f t="shared" si="9"/>
        <v>0</v>
      </c>
      <c r="AQ32" s="94"/>
      <c r="AR32" s="94">
        <f t="shared" si="9"/>
        <v>0</v>
      </c>
      <c r="AS32" s="94"/>
      <c r="AT32" s="94">
        <f t="shared" si="9"/>
        <v>0</v>
      </c>
      <c r="AU32" s="94"/>
      <c r="AV32" s="94">
        <f t="shared" si="9"/>
        <v>0</v>
      </c>
      <c r="AW32" s="706"/>
      <c r="AX32" s="694">
        <f>+AV32+AT32+AR32+AP32+AN32+AL32+AJ32+AH32+AF32+AD32+AB32+Z32+X32+V32+T32+R32+P32+N32+L32+J32</f>
        <v>0</v>
      </c>
      <c r="AY32" s="425">
        <f>+AW32+AU32+AS32+AQ32+AO32+AM32+AK32+AI32+AG32+AE32+AC32+AA32+Y32+W32+U32+S32+Q32+O32+M32+K32</f>
        <v>0</v>
      </c>
      <c r="AZ32" s="16">
        <f t="shared" si="1"/>
        <v>0</v>
      </c>
      <c r="BA32" s="16">
        <f t="shared" si="2"/>
        <v>0</v>
      </c>
    </row>
    <row r="33" spans="2:53" ht="20.25" thickBot="1">
      <c r="B33" s="414" t="s">
        <v>284</v>
      </c>
      <c r="C33" s="741" t="s">
        <v>197</v>
      </c>
      <c r="D33" s="712">
        <f aca="true" t="shared" si="10" ref="D33:J33">SUM(D18,D32)</f>
        <v>721504</v>
      </c>
      <c r="E33" s="712">
        <f t="shared" si="10"/>
        <v>42369</v>
      </c>
      <c r="F33" s="713">
        <f t="shared" si="10"/>
        <v>763873</v>
      </c>
      <c r="G33" s="711">
        <f t="shared" si="10"/>
        <v>759101</v>
      </c>
      <c r="H33" s="712">
        <f t="shared" si="10"/>
        <v>43269</v>
      </c>
      <c r="I33" s="713">
        <f t="shared" si="10"/>
        <v>802370</v>
      </c>
      <c r="J33" s="711">
        <f t="shared" si="10"/>
        <v>5804</v>
      </c>
      <c r="K33" s="712">
        <f aca="true" t="shared" si="11" ref="K33:AW33">SUM(K18,K32)</f>
        <v>5804</v>
      </c>
      <c r="L33" s="712">
        <f t="shared" si="11"/>
        <v>0</v>
      </c>
      <c r="M33" s="712">
        <f t="shared" si="11"/>
        <v>0</v>
      </c>
      <c r="N33" s="712">
        <f t="shared" si="11"/>
        <v>7874</v>
      </c>
      <c r="O33" s="712">
        <f t="shared" si="11"/>
        <v>7874</v>
      </c>
      <c r="P33" s="712">
        <f t="shared" si="11"/>
        <v>19552</v>
      </c>
      <c r="Q33" s="712">
        <f t="shared" si="11"/>
        <v>19552</v>
      </c>
      <c r="R33" s="712">
        <f t="shared" si="11"/>
        <v>3400</v>
      </c>
      <c r="S33" s="712">
        <f t="shared" si="11"/>
        <v>3400</v>
      </c>
      <c r="T33" s="712">
        <f t="shared" si="11"/>
        <v>334840</v>
      </c>
      <c r="U33" s="712">
        <f t="shared" si="11"/>
        <v>372437</v>
      </c>
      <c r="V33" s="712">
        <f t="shared" si="11"/>
        <v>0</v>
      </c>
      <c r="W33" s="712">
        <f t="shared" si="11"/>
        <v>0</v>
      </c>
      <c r="X33" s="712">
        <f t="shared" si="11"/>
        <v>35306</v>
      </c>
      <c r="Y33" s="712">
        <f t="shared" si="11"/>
        <v>35306</v>
      </c>
      <c r="Z33" s="712">
        <f t="shared" si="11"/>
        <v>14524</v>
      </c>
      <c r="AA33" s="712">
        <f t="shared" si="11"/>
        <v>14524</v>
      </c>
      <c r="AB33" s="712">
        <f t="shared" si="11"/>
        <v>12764</v>
      </c>
      <c r="AC33" s="712">
        <f t="shared" si="11"/>
        <v>12764</v>
      </c>
      <c r="AD33" s="712">
        <f t="shared" si="11"/>
        <v>5280</v>
      </c>
      <c r="AE33" s="712">
        <f t="shared" si="11"/>
        <v>5280</v>
      </c>
      <c r="AF33" s="712">
        <f t="shared" si="11"/>
        <v>1017</v>
      </c>
      <c r="AG33" s="712">
        <f t="shared" si="11"/>
        <v>1017</v>
      </c>
      <c r="AH33" s="712">
        <f t="shared" si="11"/>
        <v>762</v>
      </c>
      <c r="AI33" s="712">
        <f t="shared" si="11"/>
        <v>762</v>
      </c>
      <c r="AJ33" s="712">
        <f t="shared" si="11"/>
        <v>280381</v>
      </c>
      <c r="AK33" s="713">
        <f t="shared" si="11"/>
        <v>280381</v>
      </c>
      <c r="AL33" s="711">
        <f t="shared" si="11"/>
        <v>11000</v>
      </c>
      <c r="AM33" s="712">
        <f t="shared" si="11"/>
        <v>11000</v>
      </c>
      <c r="AN33" s="712">
        <f t="shared" si="11"/>
        <v>1350</v>
      </c>
      <c r="AO33" s="712">
        <f t="shared" si="11"/>
        <v>1350</v>
      </c>
      <c r="AP33" s="712">
        <f t="shared" si="11"/>
        <v>2000</v>
      </c>
      <c r="AQ33" s="712">
        <f t="shared" si="11"/>
        <v>2000</v>
      </c>
      <c r="AR33" s="712">
        <f t="shared" si="11"/>
        <v>450</v>
      </c>
      <c r="AS33" s="712">
        <f t="shared" si="11"/>
        <v>450</v>
      </c>
      <c r="AT33" s="712">
        <f t="shared" si="11"/>
        <v>21654</v>
      </c>
      <c r="AU33" s="712">
        <f t="shared" si="11"/>
        <v>22554</v>
      </c>
      <c r="AV33" s="712">
        <f t="shared" si="11"/>
        <v>5915</v>
      </c>
      <c r="AW33" s="713">
        <f t="shared" si="11"/>
        <v>5915</v>
      </c>
      <c r="AX33" s="694">
        <f>+AV33+AT33+AR33+AP33+AN33+AL33+AJ33+AH33+AF33+AD33+AB33+Z33+X33+V33+T33+R33+P33+N33+L33+J33</f>
        <v>763873</v>
      </c>
      <c r="AY33" s="425">
        <f>+AW33+AU33+AS33+AQ33+AO33+AM33+AK33+AI33+AG33+AE33+AC33+AA33+Y33+W33+U33+S33+Q33+O33+M33+K33</f>
        <v>802370</v>
      </c>
      <c r="AZ33" s="16">
        <f>+AX33-F33</f>
        <v>0</v>
      </c>
      <c r="BA33" s="16">
        <f>+AY33-I33</f>
        <v>0</v>
      </c>
    </row>
    <row r="34" ht="16.5" thickBot="1"/>
    <row r="35" spans="2:55" s="119" customFormat="1" ht="21" thickBot="1">
      <c r="B35" s="3"/>
      <c r="C35" s="538"/>
      <c r="D35" s="803" t="s">
        <v>416</v>
      </c>
      <c r="E35" s="804"/>
      <c r="F35" s="805"/>
      <c r="G35" s="806" t="s">
        <v>477</v>
      </c>
      <c r="H35" s="807"/>
      <c r="I35" s="808"/>
      <c r="J35" s="714" t="s">
        <v>483</v>
      </c>
      <c r="K35" s="715" t="s">
        <v>484</v>
      </c>
      <c r="L35" s="715" t="s">
        <v>483</v>
      </c>
      <c r="M35" s="715" t="s">
        <v>484</v>
      </c>
      <c r="N35" s="715" t="s">
        <v>483</v>
      </c>
      <c r="O35" s="715" t="s">
        <v>484</v>
      </c>
      <c r="P35" s="715" t="s">
        <v>483</v>
      </c>
      <c r="Q35" s="715" t="s">
        <v>484</v>
      </c>
      <c r="R35" s="715" t="s">
        <v>483</v>
      </c>
      <c r="S35" s="715" t="s">
        <v>484</v>
      </c>
      <c r="T35" s="715" t="s">
        <v>483</v>
      </c>
      <c r="U35" s="715" t="s">
        <v>484</v>
      </c>
      <c r="V35" s="715" t="s">
        <v>483</v>
      </c>
      <c r="W35" s="715" t="s">
        <v>484</v>
      </c>
      <c r="X35" s="715" t="s">
        <v>483</v>
      </c>
      <c r="Y35" s="715" t="s">
        <v>484</v>
      </c>
      <c r="Z35" s="715" t="s">
        <v>483</v>
      </c>
      <c r="AA35" s="715" t="s">
        <v>484</v>
      </c>
      <c r="AB35" s="715" t="s">
        <v>483</v>
      </c>
      <c r="AC35" s="715" t="s">
        <v>484</v>
      </c>
      <c r="AD35" s="715" t="s">
        <v>483</v>
      </c>
      <c r="AE35" s="715" t="s">
        <v>484</v>
      </c>
      <c r="AF35" s="715" t="s">
        <v>483</v>
      </c>
      <c r="AG35" s="715" t="s">
        <v>484</v>
      </c>
      <c r="AH35" s="715" t="s">
        <v>483</v>
      </c>
      <c r="AI35" s="715" t="s">
        <v>484</v>
      </c>
      <c r="AJ35" s="715" t="s">
        <v>483</v>
      </c>
      <c r="AK35" s="716" t="s">
        <v>484</v>
      </c>
      <c r="AL35" s="714" t="s">
        <v>483</v>
      </c>
      <c r="AM35" s="715" t="s">
        <v>484</v>
      </c>
      <c r="AN35" s="715" t="s">
        <v>483</v>
      </c>
      <c r="AO35" s="715" t="s">
        <v>484</v>
      </c>
      <c r="AP35" s="715" t="s">
        <v>483</v>
      </c>
      <c r="AQ35" s="715" t="s">
        <v>484</v>
      </c>
      <c r="AR35" s="715" t="s">
        <v>483</v>
      </c>
      <c r="AS35" s="715" t="s">
        <v>484</v>
      </c>
      <c r="AT35" s="715" t="s">
        <v>483</v>
      </c>
      <c r="AU35" s="715" t="s">
        <v>484</v>
      </c>
      <c r="AV35" s="715" t="s">
        <v>483</v>
      </c>
      <c r="AW35" s="716" t="s">
        <v>484</v>
      </c>
      <c r="AX35" s="693" t="s">
        <v>483</v>
      </c>
      <c r="AY35" s="262" t="s">
        <v>484</v>
      </c>
      <c r="AZ35" s="1"/>
      <c r="BA35" s="1"/>
      <c r="BB35" s="1"/>
      <c r="BC35" s="1"/>
    </row>
    <row r="36" spans="2:63" ht="52.5" customHeight="1">
      <c r="B36" s="732" t="s">
        <v>30</v>
      </c>
      <c r="C36" s="733" t="s">
        <v>190</v>
      </c>
      <c r="D36" s="734" t="s">
        <v>436</v>
      </c>
      <c r="E36" s="734" t="s">
        <v>437</v>
      </c>
      <c r="F36" s="735" t="s">
        <v>193</v>
      </c>
      <c r="G36" s="734" t="s">
        <v>436</v>
      </c>
      <c r="H36" s="734" t="s">
        <v>437</v>
      </c>
      <c r="I36" s="735" t="s">
        <v>193</v>
      </c>
      <c r="J36" s="817" t="s">
        <v>19</v>
      </c>
      <c r="K36" s="818"/>
      <c r="L36" s="819" t="s">
        <v>20</v>
      </c>
      <c r="M36" s="818"/>
      <c r="N36" s="819" t="s">
        <v>21</v>
      </c>
      <c r="O36" s="818"/>
      <c r="P36" s="819" t="s">
        <v>22</v>
      </c>
      <c r="Q36" s="818"/>
      <c r="R36" s="819" t="s">
        <v>492</v>
      </c>
      <c r="S36" s="818"/>
      <c r="T36" s="819" t="s">
        <v>25</v>
      </c>
      <c r="U36" s="818"/>
      <c r="V36" s="819" t="s">
        <v>493</v>
      </c>
      <c r="W36" s="818"/>
      <c r="X36" s="819" t="s">
        <v>494</v>
      </c>
      <c r="Y36" s="818"/>
      <c r="Z36" s="819" t="s">
        <v>495</v>
      </c>
      <c r="AA36" s="818"/>
      <c r="AB36" s="819" t="s">
        <v>496</v>
      </c>
      <c r="AC36" s="818"/>
      <c r="AD36" s="819" t="s">
        <v>27</v>
      </c>
      <c r="AE36" s="818"/>
      <c r="AF36" s="819" t="s">
        <v>497</v>
      </c>
      <c r="AG36" s="818"/>
      <c r="AH36" s="819" t="s">
        <v>28</v>
      </c>
      <c r="AI36" s="818"/>
      <c r="AJ36" s="819" t="s">
        <v>18</v>
      </c>
      <c r="AK36" s="820"/>
      <c r="AL36" s="817" t="s">
        <v>23</v>
      </c>
      <c r="AM36" s="818"/>
      <c r="AN36" s="819" t="s">
        <v>24</v>
      </c>
      <c r="AO36" s="818"/>
      <c r="AP36" s="819" t="s">
        <v>448</v>
      </c>
      <c r="AQ36" s="818"/>
      <c r="AR36" s="819" t="s">
        <v>449</v>
      </c>
      <c r="AS36" s="818"/>
      <c r="AT36" s="819" t="s">
        <v>450</v>
      </c>
      <c r="AU36" s="818"/>
      <c r="AV36" s="819" t="s">
        <v>26</v>
      </c>
      <c r="AW36" s="820"/>
      <c r="AX36" s="742" t="s">
        <v>29</v>
      </c>
      <c r="AY36" s="743" t="s">
        <v>29</v>
      </c>
      <c r="AZ36" s="119"/>
      <c r="BA36" s="119"/>
      <c r="BB36" s="119"/>
      <c r="BD36" s="119"/>
      <c r="BI36" s="119"/>
      <c r="BJ36" s="119"/>
      <c r="BK36" s="119"/>
    </row>
    <row r="37" spans="2:60" ht="15.75">
      <c r="B37" s="270" t="s">
        <v>254</v>
      </c>
      <c r="C37" s="8" t="s">
        <v>220</v>
      </c>
      <c r="D37" s="85">
        <f>+J37+L37+N37+P37+R37+T37+V37+X37+Z37+AB37+AD37+AF37+AH37+AJ37</f>
        <v>0</v>
      </c>
      <c r="E37" s="85">
        <f>+AL37+AN37+AP37+AR37+AT37+AV37</f>
        <v>0</v>
      </c>
      <c r="F37" s="702">
        <f aca="true" t="shared" si="12" ref="F37:F50">SUM(D37:E37)</f>
        <v>0</v>
      </c>
      <c r="G37" s="723">
        <f>+K37+M37+O37+Q37+S37+U37+W37+Y37+AA37+AC37+AE37+AG37+AI37+AK37</f>
        <v>0</v>
      </c>
      <c r="H37" s="85">
        <f>+AM37+AO37+AQ37+AS37+AU37+AW37</f>
        <v>0</v>
      </c>
      <c r="I37" s="702">
        <f aca="true" t="shared" si="13" ref="I37:I50">SUM(G37:H37)</f>
        <v>0</v>
      </c>
      <c r="J37" s="70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702"/>
      <c r="AL37" s="701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702"/>
      <c r="AX37" s="694">
        <f aca="true" t="shared" si="14" ref="AX37:AY66">+AV37+AT37+AR37+AP37+AN37+AL37+AJ37+AH37+AF37+AD37+AB37+Z37+X37+V37+T37+R37+P37+N37+L37+J37</f>
        <v>0</v>
      </c>
      <c r="AY37" s="425">
        <f t="shared" si="14"/>
        <v>0</v>
      </c>
      <c r="AZ37" s="16">
        <f aca="true" t="shared" si="15" ref="AZ37:AZ65">+AX37-F37</f>
        <v>0</v>
      </c>
      <c r="BA37" s="16">
        <f aca="true" t="shared" si="16" ref="BA37:BA65">+AY37-I37</f>
        <v>0</v>
      </c>
      <c r="BD37" s="2"/>
      <c r="BE37" s="119"/>
      <c r="BF37" s="119"/>
      <c r="BG37" s="119"/>
      <c r="BH37" s="119"/>
    </row>
    <row r="38" spans="2:54" ht="15.75">
      <c r="B38" s="270" t="s">
        <v>255</v>
      </c>
      <c r="C38" s="100" t="s">
        <v>221</v>
      </c>
      <c r="D38" s="85">
        <f aca="true" t="shared" si="17" ref="D38:D46">+J38+L38+N38+P38+R38+T38+V38+X38+Z38+AB38+AD38+AF38+AH38+AJ38</f>
        <v>13729</v>
      </c>
      <c r="E38" s="85">
        <f aca="true" t="shared" si="18" ref="E38:E46">+AL38+AN38+AP38+AR38+AT38+AV38</f>
        <v>0</v>
      </c>
      <c r="F38" s="702">
        <f t="shared" si="12"/>
        <v>13729</v>
      </c>
      <c r="G38" s="723">
        <f aca="true" t="shared" si="19" ref="G38:G46">+K38+M38+O38+Q38+S38+U38+W38+Y38+AA38+AC38+AE38+AG38+AI38+AK38</f>
        <v>13729</v>
      </c>
      <c r="H38" s="85">
        <f aca="true" t="shared" si="20" ref="H38:H46">+AM38+AO38+AQ38+AS38+AU38+AW38</f>
        <v>0</v>
      </c>
      <c r="I38" s="702">
        <f t="shared" si="13"/>
        <v>13729</v>
      </c>
      <c r="J38" s="701"/>
      <c r="K38" s="15"/>
      <c r="L38" s="15"/>
      <c r="M38" s="15"/>
      <c r="N38" s="15">
        <v>1900</v>
      </c>
      <c r="O38" s="15">
        <v>1900</v>
      </c>
      <c r="P38" s="15"/>
      <c r="Q38" s="15"/>
      <c r="R38" s="15">
        <v>11143</v>
      </c>
      <c r="S38" s="15">
        <v>11143</v>
      </c>
      <c r="T38" s="15"/>
      <c r="U38" s="15"/>
      <c r="V38" s="15">
        <v>566</v>
      </c>
      <c r="W38" s="15">
        <v>566</v>
      </c>
      <c r="X38" s="15"/>
      <c r="Y38" s="15"/>
      <c r="Z38" s="15"/>
      <c r="AA38" s="15"/>
      <c r="AB38" s="15"/>
      <c r="AC38" s="15"/>
      <c r="AD38" s="15">
        <v>100</v>
      </c>
      <c r="AE38" s="15">
        <v>100</v>
      </c>
      <c r="AF38" s="15">
        <v>20</v>
      </c>
      <c r="AG38" s="15">
        <v>20</v>
      </c>
      <c r="AH38" s="15"/>
      <c r="AI38" s="15"/>
      <c r="AJ38" s="15"/>
      <c r="AK38" s="702"/>
      <c r="AL38" s="701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702"/>
      <c r="AX38" s="694">
        <f t="shared" si="14"/>
        <v>13729</v>
      </c>
      <c r="AY38" s="425">
        <f t="shared" si="14"/>
        <v>13729</v>
      </c>
      <c r="AZ38" s="16">
        <f t="shared" si="15"/>
        <v>0</v>
      </c>
      <c r="BA38" s="16">
        <f t="shared" si="16"/>
        <v>0</v>
      </c>
      <c r="BB38" s="2"/>
    </row>
    <row r="39" spans="2:57" ht="15.75">
      <c r="B39" s="270" t="s">
        <v>33</v>
      </c>
      <c r="C39" s="100" t="s">
        <v>222</v>
      </c>
      <c r="D39" s="85">
        <f t="shared" si="17"/>
        <v>0</v>
      </c>
      <c r="E39" s="85">
        <f t="shared" si="18"/>
        <v>0</v>
      </c>
      <c r="F39" s="702">
        <f t="shared" si="12"/>
        <v>0</v>
      </c>
      <c r="G39" s="723">
        <f t="shared" si="19"/>
        <v>0</v>
      </c>
      <c r="H39" s="85">
        <f t="shared" si="20"/>
        <v>0</v>
      </c>
      <c r="I39" s="702">
        <f t="shared" si="13"/>
        <v>0</v>
      </c>
      <c r="J39" s="70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702"/>
      <c r="AL39" s="701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702"/>
      <c r="AX39" s="694">
        <f t="shared" si="14"/>
        <v>0</v>
      </c>
      <c r="AY39" s="425">
        <f t="shared" si="14"/>
        <v>0</v>
      </c>
      <c r="AZ39" s="16">
        <f t="shared" si="15"/>
        <v>0</v>
      </c>
      <c r="BA39" s="16">
        <f t="shared" si="16"/>
        <v>0</v>
      </c>
      <c r="BC39" s="2"/>
      <c r="BE39" s="2"/>
    </row>
    <row r="40" spans="2:59" ht="15.75">
      <c r="B40" s="270" t="s">
        <v>49</v>
      </c>
      <c r="C40" s="100" t="s">
        <v>223</v>
      </c>
      <c r="D40" s="85">
        <f t="shared" si="17"/>
        <v>0</v>
      </c>
      <c r="E40" s="85">
        <f t="shared" si="18"/>
        <v>6915</v>
      </c>
      <c r="F40" s="702">
        <f t="shared" si="12"/>
        <v>6915</v>
      </c>
      <c r="G40" s="723">
        <f t="shared" si="19"/>
        <v>0</v>
      </c>
      <c r="H40" s="85">
        <f t="shared" si="20"/>
        <v>6915</v>
      </c>
      <c r="I40" s="702">
        <f t="shared" si="13"/>
        <v>6915</v>
      </c>
      <c r="J40" s="70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702"/>
      <c r="AL40" s="701"/>
      <c r="AM40" s="15"/>
      <c r="AN40" s="15"/>
      <c r="AO40" s="15"/>
      <c r="AP40" s="15"/>
      <c r="AQ40" s="15"/>
      <c r="AR40" s="15"/>
      <c r="AS40" s="15"/>
      <c r="AT40" s="15">
        <v>1000</v>
      </c>
      <c r="AU40" s="15">
        <v>1000</v>
      </c>
      <c r="AV40" s="15">
        <v>5915</v>
      </c>
      <c r="AW40" s="702">
        <v>5915</v>
      </c>
      <c r="AX40" s="694">
        <f t="shared" si="14"/>
        <v>6915</v>
      </c>
      <c r="AY40" s="425">
        <f t="shared" si="14"/>
        <v>6915</v>
      </c>
      <c r="AZ40" s="16">
        <f t="shared" si="15"/>
        <v>0</v>
      </c>
      <c r="BA40" s="16">
        <f t="shared" si="16"/>
        <v>0</v>
      </c>
      <c r="BF40" s="2"/>
      <c r="BG40" s="2"/>
    </row>
    <row r="41" spans="2:53" ht="15.75">
      <c r="B41" s="270" t="s">
        <v>130</v>
      </c>
      <c r="C41" s="100" t="s">
        <v>224</v>
      </c>
      <c r="D41" s="85">
        <f t="shared" si="17"/>
        <v>0</v>
      </c>
      <c r="E41" s="85">
        <f t="shared" si="18"/>
        <v>0</v>
      </c>
      <c r="F41" s="702">
        <f t="shared" si="12"/>
        <v>0</v>
      </c>
      <c r="G41" s="723">
        <f t="shared" si="19"/>
        <v>0</v>
      </c>
      <c r="H41" s="85">
        <f t="shared" si="20"/>
        <v>0</v>
      </c>
      <c r="I41" s="702">
        <f t="shared" si="13"/>
        <v>0</v>
      </c>
      <c r="J41" s="70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702"/>
      <c r="AL41" s="701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702"/>
      <c r="AX41" s="694">
        <f t="shared" si="14"/>
        <v>0</v>
      </c>
      <c r="AY41" s="425">
        <f t="shared" si="14"/>
        <v>0</v>
      </c>
      <c r="AZ41" s="16">
        <f t="shared" si="15"/>
        <v>0</v>
      </c>
      <c r="BA41" s="16">
        <f t="shared" si="16"/>
        <v>0</v>
      </c>
    </row>
    <row r="42" spans="2:53" ht="15.75">
      <c r="B42" s="270" t="s">
        <v>181</v>
      </c>
      <c r="C42" s="101" t="s">
        <v>198</v>
      </c>
      <c r="D42" s="85">
        <f t="shared" si="17"/>
        <v>0</v>
      </c>
      <c r="E42" s="85">
        <f t="shared" si="18"/>
        <v>0</v>
      </c>
      <c r="F42" s="702">
        <f t="shared" si="12"/>
        <v>0</v>
      </c>
      <c r="G42" s="723">
        <f t="shared" si="19"/>
        <v>0</v>
      </c>
      <c r="H42" s="85">
        <f t="shared" si="20"/>
        <v>0</v>
      </c>
      <c r="I42" s="702">
        <f t="shared" si="13"/>
        <v>0</v>
      </c>
      <c r="J42" s="70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702"/>
      <c r="AL42" s="701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702"/>
      <c r="AX42" s="694">
        <f t="shared" si="14"/>
        <v>0</v>
      </c>
      <c r="AY42" s="425">
        <f t="shared" si="14"/>
        <v>0</v>
      </c>
      <c r="AZ42" s="16">
        <f t="shared" si="15"/>
        <v>0</v>
      </c>
      <c r="BA42" s="16">
        <f t="shared" si="16"/>
        <v>0</v>
      </c>
    </row>
    <row r="43" spans="2:53" ht="15.75">
      <c r="B43" s="270" t="s">
        <v>271</v>
      </c>
      <c r="C43" s="101" t="s">
        <v>199</v>
      </c>
      <c r="D43" s="85">
        <f t="shared" si="17"/>
        <v>0</v>
      </c>
      <c r="E43" s="85">
        <f t="shared" si="18"/>
        <v>0</v>
      </c>
      <c r="F43" s="702">
        <f t="shared" si="12"/>
        <v>0</v>
      </c>
      <c r="G43" s="723">
        <f t="shared" si="19"/>
        <v>0</v>
      </c>
      <c r="H43" s="85">
        <f t="shared" si="20"/>
        <v>0</v>
      </c>
      <c r="I43" s="702">
        <f t="shared" si="13"/>
        <v>0</v>
      </c>
      <c r="J43" s="70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702"/>
      <c r="AL43" s="701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702"/>
      <c r="AX43" s="694">
        <f t="shared" si="14"/>
        <v>0</v>
      </c>
      <c r="AY43" s="425">
        <f t="shared" si="14"/>
        <v>0</v>
      </c>
      <c r="AZ43" s="16">
        <f t="shared" si="15"/>
        <v>0</v>
      </c>
      <c r="BA43" s="16">
        <f t="shared" si="16"/>
        <v>0</v>
      </c>
    </row>
    <row r="44" spans="2:53" ht="15.75">
      <c r="B44" s="270" t="s">
        <v>272</v>
      </c>
      <c r="C44" s="101" t="s">
        <v>200</v>
      </c>
      <c r="D44" s="85">
        <f t="shared" si="17"/>
        <v>0</v>
      </c>
      <c r="E44" s="85">
        <f t="shared" si="18"/>
        <v>0</v>
      </c>
      <c r="F44" s="702">
        <f t="shared" si="12"/>
        <v>0</v>
      </c>
      <c r="G44" s="723">
        <f t="shared" si="19"/>
        <v>0</v>
      </c>
      <c r="H44" s="85">
        <f t="shared" si="20"/>
        <v>0</v>
      </c>
      <c r="I44" s="702">
        <f t="shared" si="13"/>
        <v>0</v>
      </c>
      <c r="J44" s="70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702"/>
      <c r="AL44" s="701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702"/>
      <c r="AX44" s="694">
        <f t="shared" si="14"/>
        <v>0</v>
      </c>
      <c r="AY44" s="425">
        <f t="shared" si="14"/>
        <v>0</v>
      </c>
      <c r="AZ44" s="16">
        <f t="shared" si="15"/>
        <v>0</v>
      </c>
      <c r="BA44" s="16">
        <f t="shared" si="16"/>
        <v>0</v>
      </c>
    </row>
    <row r="45" spans="2:53" ht="30.75" customHeight="1">
      <c r="B45" s="270" t="s">
        <v>273</v>
      </c>
      <c r="C45" s="100" t="s">
        <v>225</v>
      </c>
      <c r="D45" s="85">
        <f t="shared" si="17"/>
        <v>280381</v>
      </c>
      <c r="E45" s="85">
        <f t="shared" si="18"/>
        <v>0</v>
      </c>
      <c r="F45" s="702">
        <f t="shared" si="12"/>
        <v>280381</v>
      </c>
      <c r="G45" s="723">
        <f t="shared" si="19"/>
        <v>280381</v>
      </c>
      <c r="H45" s="85">
        <f t="shared" si="20"/>
        <v>0</v>
      </c>
      <c r="I45" s="702">
        <f t="shared" si="13"/>
        <v>280381</v>
      </c>
      <c r="J45" s="70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f>+'3 Műk Bev'!E47+'3 Műk Bev'!E78-407</f>
        <v>280381</v>
      </c>
      <c r="AK45" s="702">
        <v>280381</v>
      </c>
      <c r="AL45" s="701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702"/>
      <c r="AX45" s="694">
        <f t="shared" si="14"/>
        <v>280381</v>
      </c>
      <c r="AY45" s="425">
        <f t="shared" si="14"/>
        <v>280381</v>
      </c>
      <c r="AZ45" s="16">
        <f t="shared" si="15"/>
        <v>0</v>
      </c>
      <c r="BA45" s="16">
        <f t="shared" si="16"/>
        <v>0</v>
      </c>
    </row>
    <row r="46" spans="2:53" ht="15.75">
      <c r="B46" s="270" t="s">
        <v>274</v>
      </c>
      <c r="C46" s="5" t="s">
        <v>226</v>
      </c>
      <c r="D46" s="85">
        <f t="shared" si="17"/>
        <v>2000</v>
      </c>
      <c r="E46" s="85">
        <f t="shared" si="18"/>
        <v>0</v>
      </c>
      <c r="F46" s="702">
        <f t="shared" si="12"/>
        <v>2000</v>
      </c>
      <c r="G46" s="723">
        <f t="shared" si="19"/>
        <v>2000</v>
      </c>
      <c r="H46" s="85">
        <f t="shared" si="20"/>
        <v>0</v>
      </c>
      <c r="I46" s="702">
        <f t="shared" si="13"/>
        <v>2000</v>
      </c>
      <c r="J46" s="701"/>
      <c r="K46" s="15"/>
      <c r="L46" s="15"/>
      <c r="M46" s="15"/>
      <c r="N46" s="15"/>
      <c r="O46" s="15"/>
      <c r="P46" s="15"/>
      <c r="Q46" s="15"/>
      <c r="R46" s="15"/>
      <c r="S46" s="15"/>
      <c r="T46" s="15">
        <v>2000</v>
      </c>
      <c r="U46" s="15">
        <v>2000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702"/>
      <c r="AL46" s="701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702"/>
      <c r="AX46" s="694">
        <f t="shared" si="14"/>
        <v>2000</v>
      </c>
      <c r="AY46" s="425">
        <f t="shared" si="14"/>
        <v>2000</v>
      </c>
      <c r="AZ46" s="16">
        <f t="shared" si="15"/>
        <v>0</v>
      </c>
      <c r="BA46" s="16">
        <f t="shared" si="16"/>
        <v>0</v>
      </c>
    </row>
    <row r="47" spans="2:53" ht="15.75">
      <c r="B47" s="270" t="s">
        <v>170</v>
      </c>
      <c r="C47" s="102" t="s">
        <v>201</v>
      </c>
      <c r="D47" s="108">
        <f>SUM(D37:D46)</f>
        <v>296110</v>
      </c>
      <c r="E47" s="108">
        <f>SUM(E37:E46)</f>
        <v>6915</v>
      </c>
      <c r="F47" s="718">
        <f t="shared" si="12"/>
        <v>303025</v>
      </c>
      <c r="G47" s="717">
        <f>SUM(G37:G46)</f>
        <v>296110</v>
      </c>
      <c r="H47" s="108">
        <f>SUM(H37:H46)</f>
        <v>6915</v>
      </c>
      <c r="I47" s="718">
        <f t="shared" si="13"/>
        <v>303025</v>
      </c>
      <c r="J47" s="717">
        <f>SUM(J37:J46)</f>
        <v>0</v>
      </c>
      <c r="K47" s="108">
        <f aca="true" t="shared" si="21" ref="K47:AW47">SUM(K37:K46)</f>
        <v>0</v>
      </c>
      <c r="L47" s="108">
        <f t="shared" si="21"/>
        <v>0</v>
      </c>
      <c r="M47" s="108">
        <f t="shared" si="21"/>
        <v>0</v>
      </c>
      <c r="N47" s="108">
        <f t="shared" si="21"/>
        <v>1900</v>
      </c>
      <c r="O47" s="108">
        <f t="shared" si="21"/>
        <v>1900</v>
      </c>
      <c r="P47" s="108">
        <f t="shared" si="21"/>
        <v>0</v>
      </c>
      <c r="Q47" s="108">
        <f t="shared" si="21"/>
        <v>0</v>
      </c>
      <c r="R47" s="108">
        <f t="shared" si="21"/>
        <v>11143</v>
      </c>
      <c r="S47" s="108">
        <f t="shared" si="21"/>
        <v>11143</v>
      </c>
      <c r="T47" s="108">
        <f t="shared" si="21"/>
        <v>2000</v>
      </c>
      <c r="U47" s="108">
        <f t="shared" si="21"/>
        <v>2000</v>
      </c>
      <c r="V47" s="108">
        <f t="shared" si="21"/>
        <v>566</v>
      </c>
      <c r="W47" s="108">
        <f t="shared" si="21"/>
        <v>566</v>
      </c>
      <c r="X47" s="108">
        <f t="shared" si="21"/>
        <v>0</v>
      </c>
      <c r="Y47" s="108">
        <f t="shared" si="21"/>
        <v>0</v>
      </c>
      <c r="Z47" s="108">
        <f t="shared" si="21"/>
        <v>0</v>
      </c>
      <c r="AA47" s="108">
        <f t="shared" si="21"/>
        <v>0</v>
      </c>
      <c r="AB47" s="108">
        <f t="shared" si="21"/>
        <v>0</v>
      </c>
      <c r="AC47" s="108">
        <f t="shared" si="21"/>
        <v>0</v>
      </c>
      <c r="AD47" s="108">
        <f t="shared" si="21"/>
        <v>100</v>
      </c>
      <c r="AE47" s="108">
        <f t="shared" si="21"/>
        <v>100</v>
      </c>
      <c r="AF47" s="108">
        <f t="shared" si="21"/>
        <v>20</v>
      </c>
      <c r="AG47" s="108">
        <f t="shared" si="21"/>
        <v>20</v>
      </c>
      <c r="AH47" s="108">
        <f t="shared" si="21"/>
        <v>0</v>
      </c>
      <c r="AI47" s="108">
        <f t="shared" si="21"/>
        <v>0</v>
      </c>
      <c r="AJ47" s="108">
        <f t="shared" si="21"/>
        <v>280381</v>
      </c>
      <c r="AK47" s="718">
        <f t="shared" si="21"/>
        <v>280381</v>
      </c>
      <c r="AL47" s="717">
        <f t="shared" si="21"/>
        <v>0</v>
      </c>
      <c r="AM47" s="108">
        <f t="shared" si="21"/>
        <v>0</v>
      </c>
      <c r="AN47" s="108">
        <f t="shared" si="21"/>
        <v>0</v>
      </c>
      <c r="AO47" s="108">
        <f t="shared" si="21"/>
        <v>0</v>
      </c>
      <c r="AP47" s="108">
        <f t="shared" si="21"/>
        <v>0</v>
      </c>
      <c r="AQ47" s="108">
        <f t="shared" si="21"/>
        <v>0</v>
      </c>
      <c r="AR47" s="108">
        <f t="shared" si="21"/>
        <v>0</v>
      </c>
      <c r="AS47" s="108">
        <f t="shared" si="21"/>
        <v>0</v>
      </c>
      <c r="AT47" s="108">
        <f t="shared" si="21"/>
        <v>1000</v>
      </c>
      <c r="AU47" s="108">
        <f t="shared" si="21"/>
        <v>1000</v>
      </c>
      <c r="AV47" s="108">
        <f t="shared" si="21"/>
        <v>5915</v>
      </c>
      <c r="AW47" s="718">
        <f t="shared" si="21"/>
        <v>5915</v>
      </c>
      <c r="AX47" s="694">
        <f t="shared" si="14"/>
        <v>303025</v>
      </c>
      <c r="AY47" s="425">
        <f t="shared" si="14"/>
        <v>303025</v>
      </c>
      <c r="AZ47" s="16">
        <f t="shared" si="15"/>
        <v>0</v>
      </c>
      <c r="BA47" s="16">
        <f t="shared" si="16"/>
        <v>0</v>
      </c>
    </row>
    <row r="48" spans="2:53" ht="15.75">
      <c r="B48" s="270" t="s">
        <v>275</v>
      </c>
      <c r="C48" s="103" t="s">
        <v>243</v>
      </c>
      <c r="D48" s="110">
        <f>SUM(D47-D18)</f>
        <v>-425394</v>
      </c>
      <c r="E48" s="110">
        <f>SUM(E47-E18)</f>
        <v>-35454</v>
      </c>
      <c r="F48" s="720">
        <f t="shared" si="12"/>
        <v>-460848</v>
      </c>
      <c r="G48" s="719">
        <f>SUM(G47-G18)</f>
        <v>-462991</v>
      </c>
      <c r="H48" s="110">
        <f>SUM(H47-H18)</f>
        <v>-36354</v>
      </c>
      <c r="I48" s="720">
        <f t="shared" si="13"/>
        <v>-499345</v>
      </c>
      <c r="J48" s="719">
        <f>SUM(J47-J18)</f>
        <v>-5804</v>
      </c>
      <c r="K48" s="110">
        <f aca="true" t="shared" si="22" ref="K48:AW48">SUM(K47-K18)</f>
        <v>-5804</v>
      </c>
      <c r="L48" s="110">
        <f t="shared" si="22"/>
        <v>0</v>
      </c>
      <c r="M48" s="110">
        <f t="shared" si="22"/>
        <v>0</v>
      </c>
      <c r="N48" s="110">
        <f t="shared" si="22"/>
        <v>-5974</v>
      </c>
      <c r="O48" s="110">
        <f t="shared" si="22"/>
        <v>-5974</v>
      </c>
      <c r="P48" s="110">
        <f t="shared" si="22"/>
        <v>-19552</v>
      </c>
      <c r="Q48" s="110">
        <f t="shared" si="22"/>
        <v>-19552</v>
      </c>
      <c r="R48" s="110">
        <f t="shared" si="22"/>
        <v>7743</v>
      </c>
      <c r="S48" s="110">
        <f t="shared" si="22"/>
        <v>7743</v>
      </c>
      <c r="T48" s="110">
        <f t="shared" si="22"/>
        <v>-332840</v>
      </c>
      <c r="U48" s="110">
        <f t="shared" si="22"/>
        <v>-370437</v>
      </c>
      <c r="V48" s="110">
        <f t="shared" si="22"/>
        <v>566</v>
      </c>
      <c r="W48" s="110">
        <f t="shared" si="22"/>
        <v>566</v>
      </c>
      <c r="X48" s="110">
        <f t="shared" si="22"/>
        <v>-35306</v>
      </c>
      <c r="Y48" s="110">
        <f t="shared" si="22"/>
        <v>-35306</v>
      </c>
      <c r="Z48" s="110">
        <f t="shared" si="22"/>
        <v>-14524</v>
      </c>
      <c r="AA48" s="110">
        <f t="shared" si="22"/>
        <v>-14524</v>
      </c>
      <c r="AB48" s="110">
        <f t="shared" si="22"/>
        <v>-12764</v>
      </c>
      <c r="AC48" s="110">
        <f t="shared" si="22"/>
        <v>-12764</v>
      </c>
      <c r="AD48" s="110">
        <f t="shared" si="22"/>
        <v>-5180</v>
      </c>
      <c r="AE48" s="110">
        <f t="shared" si="22"/>
        <v>-5180</v>
      </c>
      <c r="AF48" s="110">
        <f t="shared" si="22"/>
        <v>-997</v>
      </c>
      <c r="AG48" s="110">
        <f t="shared" si="22"/>
        <v>-997</v>
      </c>
      <c r="AH48" s="110">
        <f t="shared" si="22"/>
        <v>-762</v>
      </c>
      <c r="AI48" s="110">
        <f t="shared" si="22"/>
        <v>-762</v>
      </c>
      <c r="AJ48" s="110">
        <f t="shared" si="22"/>
        <v>0</v>
      </c>
      <c r="AK48" s="720">
        <f t="shared" si="22"/>
        <v>0</v>
      </c>
      <c r="AL48" s="719">
        <f t="shared" si="22"/>
        <v>-11000</v>
      </c>
      <c r="AM48" s="110">
        <f t="shared" si="22"/>
        <v>-11000</v>
      </c>
      <c r="AN48" s="110">
        <f t="shared" si="22"/>
        <v>-1350</v>
      </c>
      <c r="AO48" s="110">
        <f t="shared" si="22"/>
        <v>-1350</v>
      </c>
      <c r="AP48" s="110">
        <f t="shared" si="22"/>
        <v>-2000</v>
      </c>
      <c r="AQ48" s="110">
        <f t="shared" si="22"/>
        <v>-2000</v>
      </c>
      <c r="AR48" s="110">
        <f t="shared" si="22"/>
        <v>-450</v>
      </c>
      <c r="AS48" s="110">
        <f t="shared" si="22"/>
        <v>-450</v>
      </c>
      <c r="AT48" s="110">
        <f t="shared" si="22"/>
        <v>-20654</v>
      </c>
      <c r="AU48" s="110">
        <f t="shared" si="22"/>
        <v>-21554</v>
      </c>
      <c r="AV48" s="110">
        <f t="shared" si="22"/>
        <v>0</v>
      </c>
      <c r="AW48" s="720">
        <f t="shared" si="22"/>
        <v>0</v>
      </c>
      <c r="AX48" s="694">
        <f t="shared" si="14"/>
        <v>-460848</v>
      </c>
      <c r="AY48" s="425">
        <f t="shared" si="14"/>
        <v>-499345</v>
      </c>
      <c r="AZ48" s="16">
        <f t="shared" si="15"/>
        <v>0</v>
      </c>
      <c r="BA48" s="16">
        <f t="shared" si="16"/>
        <v>0</v>
      </c>
    </row>
    <row r="49" spans="2:53" ht="15.75">
      <c r="B49" s="270" t="s">
        <v>276</v>
      </c>
      <c r="C49" s="104" t="s">
        <v>202</v>
      </c>
      <c r="D49" s="112"/>
      <c r="E49" s="112"/>
      <c r="F49" s="704">
        <f t="shared" si="12"/>
        <v>0</v>
      </c>
      <c r="G49" s="703"/>
      <c r="H49" s="113"/>
      <c r="I49" s="704">
        <f t="shared" si="13"/>
        <v>0</v>
      </c>
      <c r="J49" s="709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710"/>
      <c r="AL49" s="709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710"/>
      <c r="AX49" s="694">
        <f t="shared" si="14"/>
        <v>0</v>
      </c>
      <c r="AY49" s="425">
        <f t="shared" si="14"/>
        <v>0</v>
      </c>
      <c r="AZ49" s="16">
        <f t="shared" si="15"/>
        <v>0</v>
      </c>
      <c r="BA49" s="16">
        <f t="shared" si="16"/>
        <v>0</v>
      </c>
    </row>
    <row r="50" spans="2:53" ht="15.75">
      <c r="B50" s="270" t="s">
        <v>277</v>
      </c>
      <c r="C50" s="8" t="s">
        <v>227</v>
      </c>
      <c r="D50" s="17"/>
      <c r="E50" s="17"/>
      <c r="F50" s="702">
        <f t="shared" si="12"/>
        <v>0</v>
      </c>
      <c r="G50" s="701"/>
      <c r="H50" s="15"/>
      <c r="I50" s="702">
        <f t="shared" si="13"/>
        <v>0</v>
      </c>
      <c r="J50" s="70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708"/>
      <c r="AL50" s="70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708"/>
      <c r="AX50" s="694">
        <f t="shared" si="14"/>
        <v>0</v>
      </c>
      <c r="AY50" s="425">
        <f t="shared" si="14"/>
        <v>0</v>
      </c>
      <c r="AZ50" s="16">
        <f t="shared" si="15"/>
        <v>0</v>
      </c>
      <c r="BA50" s="16">
        <f t="shared" si="16"/>
        <v>0</v>
      </c>
    </row>
    <row r="51" spans="2:54" ht="15.75">
      <c r="B51" s="270" t="s">
        <v>279</v>
      </c>
      <c r="C51" s="93" t="s">
        <v>238</v>
      </c>
      <c r="D51" s="94">
        <f aca="true" t="shared" si="23" ref="D51:J51">SUM(D47,D49,D50)</f>
        <v>296110</v>
      </c>
      <c r="E51" s="94">
        <f t="shared" si="23"/>
        <v>6915</v>
      </c>
      <c r="F51" s="706">
        <f t="shared" si="23"/>
        <v>303025</v>
      </c>
      <c r="G51" s="705">
        <f t="shared" si="23"/>
        <v>296110</v>
      </c>
      <c r="H51" s="94">
        <f t="shared" si="23"/>
        <v>6915</v>
      </c>
      <c r="I51" s="706">
        <f t="shared" si="23"/>
        <v>303025</v>
      </c>
      <c r="J51" s="705">
        <f t="shared" si="23"/>
        <v>0</v>
      </c>
      <c r="K51" s="94">
        <f aca="true" t="shared" si="24" ref="K51:AW51">SUM(K47,K49,K50)</f>
        <v>0</v>
      </c>
      <c r="L51" s="94">
        <f t="shared" si="24"/>
        <v>0</v>
      </c>
      <c r="M51" s="94">
        <f t="shared" si="24"/>
        <v>0</v>
      </c>
      <c r="N51" s="94">
        <f t="shared" si="24"/>
        <v>1900</v>
      </c>
      <c r="O51" s="94">
        <f t="shared" si="24"/>
        <v>1900</v>
      </c>
      <c r="P51" s="94">
        <f t="shared" si="24"/>
        <v>0</v>
      </c>
      <c r="Q51" s="94">
        <f t="shared" si="24"/>
        <v>0</v>
      </c>
      <c r="R51" s="94">
        <f t="shared" si="24"/>
        <v>11143</v>
      </c>
      <c r="S51" s="94">
        <f t="shared" si="24"/>
        <v>11143</v>
      </c>
      <c r="T51" s="94">
        <f t="shared" si="24"/>
        <v>2000</v>
      </c>
      <c r="U51" s="94">
        <f t="shared" si="24"/>
        <v>2000</v>
      </c>
      <c r="V51" s="94">
        <f t="shared" si="24"/>
        <v>566</v>
      </c>
      <c r="W51" s="94">
        <f t="shared" si="24"/>
        <v>566</v>
      </c>
      <c r="X51" s="94">
        <f t="shared" si="24"/>
        <v>0</v>
      </c>
      <c r="Y51" s="94">
        <f t="shared" si="24"/>
        <v>0</v>
      </c>
      <c r="Z51" s="94">
        <f t="shared" si="24"/>
        <v>0</v>
      </c>
      <c r="AA51" s="94">
        <f t="shared" si="24"/>
        <v>0</v>
      </c>
      <c r="AB51" s="94">
        <f t="shared" si="24"/>
        <v>0</v>
      </c>
      <c r="AC51" s="94">
        <f t="shared" si="24"/>
        <v>0</v>
      </c>
      <c r="AD51" s="94">
        <f t="shared" si="24"/>
        <v>100</v>
      </c>
      <c r="AE51" s="94">
        <f t="shared" si="24"/>
        <v>100</v>
      </c>
      <c r="AF51" s="94">
        <f t="shared" si="24"/>
        <v>20</v>
      </c>
      <c r="AG51" s="94">
        <f t="shared" si="24"/>
        <v>20</v>
      </c>
      <c r="AH51" s="94">
        <f t="shared" si="24"/>
        <v>0</v>
      </c>
      <c r="AI51" s="94">
        <f t="shared" si="24"/>
        <v>0</v>
      </c>
      <c r="AJ51" s="94">
        <f t="shared" si="24"/>
        <v>280381</v>
      </c>
      <c r="AK51" s="706">
        <f t="shared" si="24"/>
        <v>280381</v>
      </c>
      <c r="AL51" s="705">
        <f t="shared" si="24"/>
        <v>0</v>
      </c>
      <c r="AM51" s="94">
        <f t="shared" si="24"/>
        <v>0</v>
      </c>
      <c r="AN51" s="94">
        <f t="shared" si="24"/>
        <v>0</v>
      </c>
      <c r="AO51" s="94">
        <f t="shared" si="24"/>
        <v>0</v>
      </c>
      <c r="AP51" s="94">
        <f t="shared" si="24"/>
        <v>0</v>
      </c>
      <c r="AQ51" s="94">
        <f t="shared" si="24"/>
        <v>0</v>
      </c>
      <c r="AR51" s="94">
        <f t="shared" si="24"/>
        <v>0</v>
      </c>
      <c r="AS51" s="94">
        <f t="shared" si="24"/>
        <v>0</v>
      </c>
      <c r="AT51" s="94">
        <f t="shared" si="24"/>
        <v>1000</v>
      </c>
      <c r="AU51" s="94">
        <f t="shared" si="24"/>
        <v>1000</v>
      </c>
      <c r="AV51" s="94">
        <f t="shared" si="24"/>
        <v>5915</v>
      </c>
      <c r="AW51" s="706">
        <f t="shared" si="24"/>
        <v>5915</v>
      </c>
      <c r="AX51" s="694">
        <f t="shared" si="14"/>
        <v>303025</v>
      </c>
      <c r="AY51" s="425">
        <f t="shared" si="14"/>
        <v>303025</v>
      </c>
      <c r="AZ51" s="16">
        <f t="shared" si="15"/>
        <v>0</v>
      </c>
      <c r="BA51" s="16">
        <f t="shared" si="16"/>
        <v>0</v>
      </c>
      <c r="BB51" s="16">
        <f>+AX51-AJ51-AV51</f>
        <v>16729</v>
      </c>
    </row>
    <row r="52" spans="2:53" ht="15.75">
      <c r="B52" s="270" t="s">
        <v>280</v>
      </c>
      <c r="C52" s="100" t="s">
        <v>228</v>
      </c>
      <c r="D52" s="17"/>
      <c r="E52" s="17"/>
      <c r="F52" s="702">
        <f aca="true" t="shared" si="25" ref="F52:F64">SUM(D52:E52)</f>
        <v>0</v>
      </c>
      <c r="G52" s="701"/>
      <c r="H52" s="15"/>
      <c r="I52" s="702">
        <f aca="true" t="shared" si="26" ref="I52:I64">SUM(G52:H52)</f>
        <v>0</v>
      </c>
      <c r="J52" s="70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708"/>
      <c r="AL52" s="70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708"/>
      <c r="AX52" s="694">
        <f t="shared" si="14"/>
        <v>0</v>
      </c>
      <c r="AY52" s="425">
        <f t="shared" si="14"/>
        <v>0</v>
      </c>
      <c r="AZ52" s="16">
        <f t="shared" si="15"/>
        <v>0</v>
      </c>
      <c r="BA52" s="16">
        <f t="shared" si="16"/>
        <v>0</v>
      </c>
    </row>
    <row r="53" spans="2:53" ht="15.75">
      <c r="B53" s="270" t="s">
        <v>281</v>
      </c>
      <c r="C53" s="100" t="s">
        <v>229</v>
      </c>
      <c r="D53" s="17"/>
      <c r="E53" s="17"/>
      <c r="F53" s="702">
        <f t="shared" si="25"/>
        <v>0</v>
      </c>
      <c r="G53" s="701"/>
      <c r="H53" s="15"/>
      <c r="I53" s="702">
        <f t="shared" si="26"/>
        <v>0</v>
      </c>
      <c r="J53" s="70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708"/>
      <c r="AL53" s="70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708"/>
      <c r="AX53" s="694">
        <f t="shared" si="14"/>
        <v>0</v>
      </c>
      <c r="AY53" s="425">
        <f t="shared" si="14"/>
        <v>0</v>
      </c>
      <c r="AZ53" s="16">
        <f t="shared" si="15"/>
        <v>0</v>
      </c>
      <c r="BA53" s="16">
        <f t="shared" si="16"/>
        <v>0</v>
      </c>
    </row>
    <row r="54" spans="2:53" ht="15.75">
      <c r="B54" s="270" t="s">
        <v>282</v>
      </c>
      <c r="C54" s="100" t="s">
        <v>230</v>
      </c>
      <c r="D54" s="17"/>
      <c r="E54" s="17"/>
      <c r="F54" s="702">
        <f t="shared" si="25"/>
        <v>0</v>
      </c>
      <c r="G54" s="701"/>
      <c r="H54" s="15"/>
      <c r="I54" s="702">
        <f t="shared" si="26"/>
        <v>0</v>
      </c>
      <c r="J54" s="70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708"/>
      <c r="AL54" s="70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708"/>
      <c r="AX54" s="694">
        <f t="shared" si="14"/>
        <v>0</v>
      </c>
      <c r="AY54" s="425">
        <f t="shared" si="14"/>
        <v>0</v>
      </c>
      <c r="AZ54" s="16">
        <f t="shared" si="15"/>
        <v>0</v>
      </c>
      <c r="BA54" s="16">
        <f t="shared" si="16"/>
        <v>0</v>
      </c>
    </row>
    <row r="55" spans="2:53" ht="31.5">
      <c r="B55" s="270" t="s">
        <v>283</v>
      </c>
      <c r="C55" s="100" t="s">
        <v>231</v>
      </c>
      <c r="D55" s="17"/>
      <c r="E55" s="17"/>
      <c r="F55" s="702">
        <f t="shared" si="25"/>
        <v>0</v>
      </c>
      <c r="G55" s="701"/>
      <c r="H55" s="15"/>
      <c r="I55" s="702">
        <f t="shared" si="26"/>
        <v>0</v>
      </c>
      <c r="J55" s="70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708"/>
      <c r="AL55" s="70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708"/>
      <c r="AX55" s="694">
        <f t="shared" si="14"/>
        <v>0</v>
      </c>
      <c r="AY55" s="425">
        <f t="shared" si="14"/>
        <v>0</v>
      </c>
      <c r="AZ55" s="16">
        <f t="shared" si="15"/>
        <v>0</v>
      </c>
      <c r="BA55" s="16">
        <f t="shared" si="16"/>
        <v>0</v>
      </c>
    </row>
    <row r="56" spans="2:53" ht="19.5" customHeight="1">
      <c r="B56" s="270" t="s">
        <v>284</v>
      </c>
      <c r="C56" s="100" t="s">
        <v>232</v>
      </c>
      <c r="D56" s="17"/>
      <c r="E56" s="17"/>
      <c r="F56" s="702">
        <f t="shared" si="25"/>
        <v>0</v>
      </c>
      <c r="G56" s="701"/>
      <c r="H56" s="15"/>
      <c r="I56" s="702">
        <f t="shared" si="26"/>
        <v>0</v>
      </c>
      <c r="J56" s="70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708"/>
      <c r="AL56" s="70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708"/>
      <c r="AX56" s="694">
        <f t="shared" si="14"/>
        <v>0</v>
      </c>
      <c r="AY56" s="425">
        <f t="shared" si="14"/>
        <v>0</v>
      </c>
      <c r="AZ56" s="16">
        <f t="shared" si="15"/>
        <v>0</v>
      </c>
      <c r="BA56" s="16">
        <f t="shared" si="16"/>
        <v>0</v>
      </c>
    </row>
    <row r="57" spans="2:53" ht="15.75">
      <c r="B57" s="270" t="s">
        <v>285</v>
      </c>
      <c r="C57" s="8" t="s">
        <v>233</v>
      </c>
      <c r="D57" s="17"/>
      <c r="E57" s="17"/>
      <c r="F57" s="702">
        <f t="shared" si="25"/>
        <v>0</v>
      </c>
      <c r="G57" s="701"/>
      <c r="H57" s="15"/>
      <c r="I57" s="702">
        <f t="shared" si="26"/>
        <v>0</v>
      </c>
      <c r="J57" s="70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708"/>
      <c r="AL57" s="70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708"/>
      <c r="AX57" s="694">
        <f t="shared" si="14"/>
        <v>0</v>
      </c>
      <c r="AY57" s="425">
        <f t="shared" si="14"/>
        <v>0</v>
      </c>
      <c r="AZ57" s="16">
        <f t="shared" si="15"/>
        <v>0</v>
      </c>
      <c r="BA57" s="16">
        <f t="shared" si="16"/>
        <v>0</v>
      </c>
    </row>
    <row r="58" spans="2:53" ht="15.75">
      <c r="B58" s="270" t="s">
        <v>286</v>
      </c>
      <c r="C58" s="5" t="s">
        <v>234</v>
      </c>
      <c r="D58" s="17"/>
      <c r="E58" s="17"/>
      <c r="F58" s="702">
        <f t="shared" si="25"/>
        <v>0</v>
      </c>
      <c r="G58" s="701"/>
      <c r="H58" s="15"/>
      <c r="I58" s="702">
        <f t="shared" si="26"/>
        <v>0</v>
      </c>
      <c r="J58" s="70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708"/>
      <c r="AL58" s="70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708"/>
      <c r="AX58" s="694">
        <f t="shared" si="14"/>
        <v>0</v>
      </c>
      <c r="AY58" s="425">
        <f t="shared" si="14"/>
        <v>0</v>
      </c>
      <c r="AZ58" s="16">
        <f t="shared" si="15"/>
        <v>0</v>
      </c>
      <c r="BA58" s="16">
        <f t="shared" si="16"/>
        <v>0</v>
      </c>
    </row>
    <row r="59" spans="2:53" ht="15.75">
      <c r="B59" s="270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718">
        <f t="shared" si="25"/>
        <v>0</v>
      </c>
      <c r="G59" s="717">
        <f>SUM(G52:G58)</f>
        <v>0</v>
      </c>
      <c r="H59" s="108">
        <f>SUM(H52:H58)</f>
        <v>0</v>
      </c>
      <c r="I59" s="718">
        <f t="shared" si="26"/>
        <v>0</v>
      </c>
      <c r="J59" s="717">
        <f>SUM(J52:J58)</f>
        <v>0</v>
      </c>
      <c r="K59" s="108">
        <f aca="true" t="shared" si="27" ref="K59:AW59">SUM(K52:K58)</f>
        <v>0</v>
      </c>
      <c r="L59" s="108">
        <f t="shared" si="27"/>
        <v>0</v>
      </c>
      <c r="M59" s="108">
        <f t="shared" si="27"/>
        <v>0</v>
      </c>
      <c r="N59" s="108">
        <f t="shared" si="27"/>
        <v>0</v>
      </c>
      <c r="O59" s="108">
        <f t="shared" si="27"/>
        <v>0</v>
      </c>
      <c r="P59" s="108">
        <f t="shared" si="27"/>
        <v>0</v>
      </c>
      <c r="Q59" s="108">
        <f t="shared" si="27"/>
        <v>0</v>
      </c>
      <c r="R59" s="108">
        <f t="shared" si="27"/>
        <v>0</v>
      </c>
      <c r="S59" s="108">
        <f t="shared" si="27"/>
        <v>0</v>
      </c>
      <c r="T59" s="108">
        <f t="shared" si="27"/>
        <v>0</v>
      </c>
      <c r="U59" s="108">
        <f t="shared" si="27"/>
        <v>0</v>
      </c>
      <c r="V59" s="108">
        <f t="shared" si="27"/>
        <v>0</v>
      </c>
      <c r="W59" s="108">
        <f t="shared" si="27"/>
        <v>0</v>
      </c>
      <c r="X59" s="108">
        <f t="shared" si="27"/>
        <v>0</v>
      </c>
      <c r="Y59" s="108">
        <f t="shared" si="27"/>
        <v>0</v>
      </c>
      <c r="Z59" s="108">
        <f t="shared" si="27"/>
        <v>0</v>
      </c>
      <c r="AA59" s="108">
        <f t="shared" si="27"/>
        <v>0</v>
      </c>
      <c r="AB59" s="108">
        <f t="shared" si="27"/>
        <v>0</v>
      </c>
      <c r="AC59" s="108">
        <f t="shared" si="27"/>
        <v>0</v>
      </c>
      <c r="AD59" s="108">
        <f t="shared" si="27"/>
        <v>0</v>
      </c>
      <c r="AE59" s="108">
        <f t="shared" si="27"/>
        <v>0</v>
      </c>
      <c r="AF59" s="108">
        <f t="shared" si="27"/>
        <v>0</v>
      </c>
      <c r="AG59" s="108">
        <f t="shared" si="27"/>
        <v>0</v>
      </c>
      <c r="AH59" s="108">
        <f t="shared" si="27"/>
        <v>0</v>
      </c>
      <c r="AI59" s="108">
        <f t="shared" si="27"/>
        <v>0</v>
      </c>
      <c r="AJ59" s="108">
        <f t="shared" si="27"/>
        <v>0</v>
      </c>
      <c r="AK59" s="718">
        <f t="shared" si="27"/>
        <v>0</v>
      </c>
      <c r="AL59" s="717">
        <f t="shared" si="27"/>
        <v>0</v>
      </c>
      <c r="AM59" s="108">
        <f t="shared" si="27"/>
        <v>0</v>
      </c>
      <c r="AN59" s="108">
        <f t="shared" si="27"/>
        <v>0</v>
      </c>
      <c r="AO59" s="108">
        <f t="shared" si="27"/>
        <v>0</v>
      </c>
      <c r="AP59" s="108">
        <f t="shared" si="27"/>
        <v>0</v>
      </c>
      <c r="AQ59" s="108">
        <f t="shared" si="27"/>
        <v>0</v>
      </c>
      <c r="AR59" s="108">
        <f t="shared" si="27"/>
        <v>0</v>
      </c>
      <c r="AS59" s="108">
        <f t="shared" si="27"/>
        <v>0</v>
      </c>
      <c r="AT59" s="108">
        <f t="shared" si="27"/>
        <v>0</v>
      </c>
      <c r="AU59" s="108">
        <f t="shared" si="27"/>
        <v>0</v>
      </c>
      <c r="AV59" s="108">
        <f t="shared" si="27"/>
        <v>0</v>
      </c>
      <c r="AW59" s="718">
        <f t="shared" si="27"/>
        <v>0</v>
      </c>
      <c r="AX59" s="694">
        <f t="shared" si="14"/>
        <v>0</v>
      </c>
      <c r="AY59" s="425">
        <f t="shared" si="14"/>
        <v>0</v>
      </c>
      <c r="AZ59" s="16">
        <f t="shared" si="15"/>
        <v>0</v>
      </c>
      <c r="BA59" s="16">
        <f t="shared" si="16"/>
        <v>0</v>
      </c>
    </row>
    <row r="60" spans="2:53" ht="15.75">
      <c r="B60" s="270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720">
        <f t="shared" si="25"/>
        <v>0</v>
      </c>
      <c r="G60" s="719">
        <f>SUM(G59-G32)</f>
        <v>0</v>
      </c>
      <c r="H60" s="110">
        <f>SUM(H59-H32)</f>
        <v>0</v>
      </c>
      <c r="I60" s="720">
        <f t="shared" si="26"/>
        <v>0</v>
      </c>
      <c r="J60" s="719">
        <f>SUM(J59-J32)</f>
        <v>0</v>
      </c>
      <c r="K60" s="110">
        <f aca="true" t="shared" si="28" ref="K60:AW60">SUM(K59-K32)</f>
        <v>0</v>
      </c>
      <c r="L60" s="110">
        <f t="shared" si="28"/>
        <v>0</v>
      </c>
      <c r="M60" s="110">
        <f t="shared" si="28"/>
        <v>0</v>
      </c>
      <c r="N60" s="110">
        <f t="shared" si="28"/>
        <v>0</v>
      </c>
      <c r="O60" s="110">
        <f t="shared" si="28"/>
        <v>0</v>
      </c>
      <c r="P60" s="110">
        <f t="shared" si="28"/>
        <v>0</v>
      </c>
      <c r="Q60" s="110">
        <f t="shared" si="28"/>
        <v>0</v>
      </c>
      <c r="R60" s="110">
        <f t="shared" si="28"/>
        <v>0</v>
      </c>
      <c r="S60" s="110">
        <f t="shared" si="28"/>
        <v>0</v>
      </c>
      <c r="T60" s="110">
        <f t="shared" si="28"/>
        <v>0</v>
      </c>
      <c r="U60" s="110">
        <f t="shared" si="28"/>
        <v>0</v>
      </c>
      <c r="V60" s="110">
        <f t="shared" si="28"/>
        <v>0</v>
      </c>
      <c r="W60" s="110">
        <f t="shared" si="28"/>
        <v>0</v>
      </c>
      <c r="X60" s="110">
        <f t="shared" si="28"/>
        <v>0</v>
      </c>
      <c r="Y60" s="110">
        <f t="shared" si="28"/>
        <v>0</v>
      </c>
      <c r="Z60" s="110">
        <f t="shared" si="28"/>
        <v>0</v>
      </c>
      <c r="AA60" s="110">
        <f t="shared" si="28"/>
        <v>0</v>
      </c>
      <c r="AB60" s="110">
        <f t="shared" si="28"/>
        <v>0</v>
      </c>
      <c r="AC60" s="110">
        <f t="shared" si="28"/>
        <v>0</v>
      </c>
      <c r="AD60" s="110">
        <f t="shared" si="28"/>
        <v>0</v>
      </c>
      <c r="AE60" s="110">
        <f t="shared" si="28"/>
        <v>0</v>
      </c>
      <c r="AF60" s="110">
        <f t="shared" si="28"/>
        <v>0</v>
      </c>
      <c r="AG60" s="110">
        <f t="shared" si="28"/>
        <v>0</v>
      </c>
      <c r="AH60" s="110">
        <f t="shared" si="28"/>
        <v>0</v>
      </c>
      <c r="AI60" s="110">
        <f t="shared" si="28"/>
        <v>0</v>
      </c>
      <c r="AJ60" s="110">
        <f t="shared" si="28"/>
        <v>0</v>
      </c>
      <c r="AK60" s="720">
        <f t="shared" si="28"/>
        <v>0</v>
      </c>
      <c r="AL60" s="719">
        <f t="shared" si="28"/>
        <v>0</v>
      </c>
      <c r="AM60" s="110">
        <f t="shared" si="28"/>
        <v>0</v>
      </c>
      <c r="AN60" s="110">
        <f t="shared" si="28"/>
        <v>0</v>
      </c>
      <c r="AO60" s="110">
        <f t="shared" si="28"/>
        <v>0</v>
      </c>
      <c r="AP60" s="110">
        <f t="shared" si="28"/>
        <v>0</v>
      </c>
      <c r="AQ60" s="110">
        <f t="shared" si="28"/>
        <v>0</v>
      </c>
      <c r="AR60" s="110">
        <f t="shared" si="28"/>
        <v>0</v>
      </c>
      <c r="AS60" s="110">
        <f t="shared" si="28"/>
        <v>0</v>
      </c>
      <c r="AT60" s="110">
        <f t="shared" si="28"/>
        <v>0</v>
      </c>
      <c r="AU60" s="110">
        <f t="shared" si="28"/>
        <v>0</v>
      </c>
      <c r="AV60" s="110">
        <f t="shared" si="28"/>
        <v>0</v>
      </c>
      <c r="AW60" s="720">
        <f t="shared" si="28"/>
        <v>0</v>
      </c>
      <c r="AX60" s="694">
        <f t="shared" si="14"/>
        <v>0</v>
      </c>
      <c r="AY60" s="425">
        <f t="shared" si="14"/>
        <v>0</v>
      </c>
      <c r="AZ60" s="16">
        <f t="shared" si="15"/>
        <v>0</v>
      </c>
      <c r="BA60" s="16">
        <f t="shared" si="16"/>
        <v>0</v>
      </c>
    </row>
    <row r="61" spans="2:53" ht="15.75">
      <c r="B61" s="270" t="s">
        <v>289</v>
      </c>
      <c r="C61" s="104" t="s">
        <v>204</v>
      </c>
      <c r="D61" s="112"/>
      <c r="E61" s="112"/>
      <c r="F61" s="704">
        <f t="shared" si="25"/>
        <v>0</v>
      </c>
      <c r="G61" s="703"/>
      <c r="H61" s="113"/>
      <c r="I61" s="704">
        <f t="shared" si="26"/>
        <v>0</v>
      </c>
      <c r="J61" s="709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710"/>
      <c r="AL61" s="709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710"/>
      <c r="AX61" s="694">
        <f t="shared" si="14"/>
        <v>0</v>
      </c>
      <c r="AY61" s="425">
        <f t="shared" si="14"/>
        <v>0</v>
      </c>
      <c r="AZ61" s="16">
        <f t="shared" si="15"/>
        <v>0</v>
      </c>
      <c r="BA61" s="16">
        <f t="shared" si="16"/>
        <v>0</v>
      </c>
    </row>
    <row r="62" spans="2:53" ht="15.75">
      <c r="B62" s="270" t="s">
        <v>290</v>
      </c>
      <c r="C62" s="100" t="s">
        <v>235</v>
      </c>
      <c r="D62" s="17"/>
      <c r="E62" s="17"/>
      <c r="F62" s="702">
        <f t="shared" si="25"/>
        <v>0</v>
      </c>
      <c r="G62" s="701"/>
      <c r="H62" s="15"/>
      <c r="I62" s="702">
        <f t="shared" si="26"/>
        <v>0</v>
      </c>
      <c r="J62" s="70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708"/>
      <c r="AL62" s="70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708"/>
      <c r="AX62" s="694">
        <f t="shared" si="14"/>
        <v>0</v>
      </c>
      <c r="AY62" s="425">
        <f t="shared" si="14"/>
        <v>0</v>
      </c>
      <c r="AZ62" s="16">
        <f t="shared" si="15"/>
        <v>0</v>
      </c>
      <c r="BA62" s="16">
        <f t="shared" si="16"/>
        <v>0</v>
      </c>
    </row>
    <row r="63" spans="2:53" ht="15.75">
      <c r="B63" s="270" t="s">
        <v>350</v>
      </c>
      <c r="C63" s="105" t="s">
        <v>205</v>
      </c>
      <c r="D63" s="17"/>
      <c r="E63" s="17"/>
      <c r="F63" s="702">
        <f t="shared" si="25"/>
        <v>0</v>
      </c>
      <c r="G63" s="701"/>
      <c r="H63" s="15"/>
      <c r="I63" s="702">
        <f t="shared" si="26"/>
        <v>0</v>
      </c>
      <c r="J63" s="70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08"/>
      <c r="AL63" s="70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708"/>
      <c r="AX63" s="694">
        <f t="shared" si="14"/>
        <v>0</v>
      </c>
      <c r="AY63" s="425">
        <f t="shared" si="14"/>
        <v>0</v>
      </c>
      <c r="AZ63" s="16">
        <f t="shared" si="15"/>
        <v>0</v>
      </c>
      <c r="BA63" s="16">
        <f t="shared" si="16"/>
        <v>0</v>
      </c>
    </row>
    <row r="64" spans="2:53" ht="15.75">
      <c r="B64" s="270" t="s">
        <v>351</v>
      </c>
      <c r="C64" s="105" t="s">
        <v>206</v>
      </c>
      <c r="D64" s="17"/>
      <c r="E64" s="17"/>
      <c r="F64" s="702">
        <f t="shared" si="25"/>
        <v>0</v>
      </c>
      <c r="G64" s="701"/>
      <c r="H64" s="15"/>
      <c r="I64" s="702">
        <f t="shared" si="26"/>
        <v>0</v>
      </c>
      <c r="J64" s="70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708"/>
      <c r="AL64" s="70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708"/>
      <c r="AX64" s="694">
        <f t="shared" si="14"/>
        <v>0</v>
      </c>
      <c r="AY64" s="425">
        <f t="shared" si="14"/>
        <v>0</v>
      </c>
      <c r="AZ64" s="16">
        <f t="shared" si="15"/>
        <v>0</v>
      </c>
      <c r="BA64" s="16">
        <f t="shared" si="16"/>
        <v>0</v>
      </c>
    </row>
    <row r="65" spans="2:53" ht="15.75">
      <c r="B65" s="270" t="s">
        <v>291</v>
      </c>
      <c r="C65" s="93" t="s">
        <v>239</v>
      </c>
      <c r="D65" s="94">
        <f>SUM(D59,D61,D62,D63,D64)</f>
        <v>0</v>
      </c>
      <c r="E65" s="94">
        <f>SUM(E59,E61,E62,E63,E64)</f>
        <v>0</v>
      </c>
      <c r="F65" s="706">
        <f>SUM(F59,F61,F62,F63,F64)</f>
        <v>0</v>
      </c>
      <c r="G65" s="705"/>
      <c r="H65" s="94"/>
      <c r="I65" s="706">
        <f>SUM(I59,I61,I62,I63,I64)</f>
        <v>0</v>
      </c>
      <c r="J65" s="705">
        <f>SUM(J59,J61,J62,J63,J64)</f>
        <v>0</v>
      </c>
      <c r="K65" s="94">
        <f aca="true" t="shared" si="29" ref="K65:AW65">SUM(K59,K61,K62,K63,K64)</f>
        <v>0</v>
      </c>
      <c r="L65" s="94">
        <f t="shared" si="29"/>
        <v>0</v>
      </c>
      <c r="M65" s="94">
        <f t="shared" si="29"/>
        <v>0</v>
      </c>
      <c r="N65" s="94">
        <f t="shared" si="29"/>
        <v>0</v>
      </c>
      <c r="O65" s="94">
        <f t="shared" si="29"/>
        <v>0</v>
      </c>
      <c r="P65" s="94">
        <f t="shared" si="29"/>
        <v>0</v>
      </c>
      <c r="Q65" s="94">
        <f t="shared" si="29"/>
        <v>0</v>
      </c>
      <c r="R65" s="94">
        <f t="shared" si="29"/>
        <v>0</v>
      </c>
      <c r="S65" s="94">
        <f t="shared" si="29"/>
        <v>0</v>
      </c>
      <c r="T65" s="94">
        <f t="shared" si="29"/>
        <v>0</v>
      </c>
      <c r="U65" s="94">
        <f t="shared" si="29"/>
        <v>0</v>
      </c>
      <c r="V65" s="94">
        <f t="shared" si="29"/>
        <v>0</v>
      </c>
      <c r="W65" s="94">
        <f t="shared" si="29"/>
        <v>0</v>
      </c>
      <c r="X65" s="94">
        <f t="shared" si="29"/>
        <v>0</v>
      </c>
      <c r="Y65" s="94">
        <f t="shared" si="29"/>
        <v>0</v>
      </c>
      <c r="Z65" s="94">
        <f t="shared" si="29"/>
        <v>0</v>
      </c>
      <c r="AA65" s="94">
        <f t="shared" si="29"/>
        <v>0</v>
      </c>
      <c r="AB65" s="94">
        <f t="shared" si="29"/>
        <v>0</v>
      </c>
      <c r="AC65" s="94">
        <f t="shared" si="29"/>
        <v>0</v>
      </c>
      <c r="AD65" s="94">
        <f t="shared" si="29"/>
        <v>0</v>
      </c>
      <c r="AE65" s="94">
        <f t="shared" si="29"/>
        <v>0</v>
      </c>
      <c r="AF65" s="94">
        <f t="shared" si="29"/>
        <v>0</v>
      </c>
      <c r="AG65" s="94">
        <f t="shared" si="29"/>
        <v>0</v>
      </c>
      <c r="AH65" s="94">
        <f t="shared" si="29"/>
        <v>0</v>
      </c>
      <c r="AI65" s="94">
        <f t="shared" si="29"/>
        <v>0</v>
      </c>
      <c r="AJ65" s="94">
        <f t="shared" si="29"/>
        <v>0</v>
      </c>
      <c r="AK65" s="706">
        <f t="shared" si="29"/>
        <v>0</v>
      </c>
      <c r="AL65" s="705">
        <f t="shared" si="29"/>
        <v>0</v>
      </c>
      <c r="AM65" s="94">
        <f t="shared" si="29"/>
        <v>0</v>
      </c>
      <c r="AN65" s="94">
        <f t="shared" si="29"/>
        <v>0</v>
      </c>
      <c r="AO65" s="94">
        <f t="shared" si="29"/>
        <v>0</v>
      </c>
      <c r="AP65" s="94">
        <f t="shared" si="29"/>
        <v>0</v>
      </c>
      <c r="AQ65" s="94">
        <f t="shared" si="29"/>
        <v>0</v>
      </c>
      <c r="AR65" s="94">
        <f t="shared" si="29"/>
        <v>0</v>
      </c>
      <c r="AS65" s="94">
        <f t="shared" si="29"/>
        <v>0</v>
      </c>
      <c r="AT65" s="94">
        <f t="shared" si="29"/>
        <v>0</v>
      </c>
      <c r="AU65" s="94">
        <f t="shared" si="29"/>
        <v>0</v>
      </c>
      <c r="AV65" s="94">
        <f t="shared" si="29"/>
        <v>0</v>
      </c>
      <c r="AW65" s="706">
        <f t="shared" si="29"/>
        <v>0</v>
      </c>
      <c r="AX65" s="694">
        <f t="shared" si="14"/>
        <v>0</v>
      </c>
      <c r="AY65" s="425">
        <f t="shared" si="14"/>
        <v>0</v>
      </c>
      <c r="AZ65" s="16">
        <f t="shared" si="15"/>
        <v>0</v>
      </c>
      <c r="BA65" s="16">
        <f t="shared" si="16"/>
        <v>0</v>
      </c>
    </row>
    <row r="66" spans="2:53" ht="20.25" thickBot="1">
      <c r="B66" s="271" t="s">
        <v>292</v>
      </c>
      <c r="C66" s="736" t="s">
        <v>207</v>
      </c>
      <c r="D66" s="712">
        <f aca="true" t="shared" si="30" ref="D66:J66">SUM(D51,D65)</f>
        <v>296110</v>
      </c>
      <c r="E66" s="712">
        <f t="shared" si="30"/>
        <v>6915</v>
      </c>
      <c r="F66" s="713">
        <f t="shared" si="30"/>
        <v>303025</v>
      </c>
      <c r="G66" s="711">
        <f t="shared" si="30"/>
        <v>296110</v>
      </c>
      <c r="H66" s="712">
        <f t="shared" si="30"/>
        <v>6915</v>
      </c>
      <c r="I66" s="713">
        <f t="shared" si="30"/>
        <v>303025</v>
      </c>
      <c r="J66" s="711">
        <f t="shared" si="30"/>
        <v>0</v>
      </c>
      <c r="K66" s="712">
        <f aca="true" t="shared" si="31" ref="K66:AW66">SUM(K51,K65)</f>
        <v>0</v>
      </c>
      <c r="L66" s="712">
        <f t="shared" si="31"/>
        <v>0</v>
      </c>
      <c r="M66" s="712">
        <f t="shared" si="31"/>
        <v>0</v>
      </c>
      <c r="N66" s="712">
        <f t="shared" si="31"/>
        <v>1900</v>
      </c>
      <c r="O66" s="712">
        <f t="shared" si="31"/>
        <v>1900</v>
      </c>
      <c r="P66" s="712">
        <f t="shared" si="31"/>
        <v>0</v>
      </c>
      <c r="Q66" s="712">
        <f t="shared" si="31"/>
        <v>0</v>
      </c>
      <c r="R66" s="712">
        <f t="shared" si="31"/>
        <v>11143</v>
      </c>
      <c r="S66" s="712">
        <f t="shared" si="31"/>
        <v>11143</v>
      </c>
      <c r="T66" s="712">
        <f t="shared" si="31"/>
        <v>2000</v>
      </c>
      <c r="U66" s="712">
        <f t="shared" si="31"/>
        <v>2000</v>
      </c>
      <c r="V66" s="712">
        <f t="shared" si="31"/>
        <v>566</v>
      </c>
      <c r="W66" s="712">
        <f t="shared" si="31"/>
        <v>566</v>
      </c>
      <c r="X66" s="712">
        <f t="shared" si="31"/>
        <v>0</v>
      </c>
      <c r="Y66" s="712">
        <f t="shared" si="31"/>
        <v>0</v>
      </c>
      <c r="Z66" s="712">
        <f t="shared" si="31"/>
        <v>0</v>
      </c>
      <c r="AA66" s="712">
        <f t="shared" si="31"/>
        <v>0</v>
      </c>
      <c r="AB66" s="712">
        <f t="shared" si="31"/>
        <v>0</v>
      </c>
      <c r="AC66" s="712">
        <f t="shared" si="31"/>
        <v>0</v>
      </c>
      <c r="AD66" s="712">
        <f t="shared" si="31"/>
        <v>100</v>
      </c>
      <c r="AE66" s="712">
        <f t="shared" si="31"/>
        <v>100</v>
      </c>
      <c r="AF66" s="712">
        <f t="shared" si="31"/>
        <v>20</v>
      </c>
      <c r="AG66" s="712">
        <f t="shared" si="31"/>
        <v>20</v>
      </c>
      <c r="AH66" s="712">
        <f t="shared" si="31"/>
        <v>0</v>
      </c>
      <c r="AI66" s="712">
        <f t="shared" si="31"/>
        <v>0</v>
      </c>
      <c r="AJ66" s="712">
        <f t="shared" si="31"/>
        <v>280381</v>
      </c>
      <c r="AK66" s="713">
        <f t="shared" si="31"/>
        <v>280381</v>
      </c>
      <c r="AL66" s="711">
        <f t="shared" si="31"/>
        <v>0</v>
      </c>
      <c r="AM66" s="712">
        <f t="shared" si="31"/>
        <v>0</v>
      </c>
      <c r="AN66" s="712">
        <f t="shared" si="31"/>
        <v>0</v>
      </c>
      <c r="AO66" s="712">
        <f t="shared" si="31"/>
        <v>0</v>
      </c>
      <c r="AP66" s="712">
        <f t="shared" si="31"/>
        <v>0</v>
      </c>
      <c r="AQ66" s="712">
        <f t="shared" si="31"/>
        <v>0</v>
      </c>
      <c r="AR66" s="712">
        <f t="shared" si="31"/>
        <v>0</v>
      </c>
      <c r="AS66" s="712">
        <f t="shared" si="31"/>
        <v>0</v>
      </c>
      <c r="AT66" s="712">
        <f t="shared" si="31"/>
        <v>1000</v>
      </c>
      <c r="AU66" s="712">
        <f t="shared" si="31"/>
        <v>1000</v>
      </c>
      <c r="AV66" s="712">
        <f t="shared" si="31"/>
        <v>5915</v>
      </c>
      <c r="AW66" s="713">
        <f t="shared" si="31"/>
        <v>5915</v>
      </c>
      <c r="AX66" s="694">
        <f t="shared" si="14"/>
        <v>303025</v>
      </c>
      <c r="AY66" s="425">
        <f t="shared" si="14"/>
        <v>303025</v>
      </c>
      <c r="AZ66" s="16">
        <f>+AX66-F66</f>
        <v>0</v>
      </c>
      <c r="BA66" s="16">
        <f>+AY66-I66</f>
        <v>0</v>
      </c>
    </row>
    <row r="67" spans="2:11" ht="20.25" thickBot="1">
      <c r="B67" s="269"/>
      <c r="C67" s="430"/>
      <c r="D67" s="431"/>
      <c r="E67" s="431"/>
      <c r="F67" s="431"/>
      <c r="G67" s="431"/>
      <c r="H67" s="431"/>
      <c r="I67" s="431"/>
      <c r="J67" s="16"/>
      <c r="K67" s="16"/>
    </row>
    <row r="68" spans="2:11" ht="15.75">
      <c r="B68" s="269"/>
      <c r="C68" s="730" t="s">
        <v>420</v>
      </c>
      <c r="D68" s="725"/>
      <c r="E68" s="725"/>
      <c r="F68" s="726">
        <f>SUM(D68:E68)</f>
        <v>0</v>
      </c>
      <c r="G68" s="724"/>
      <c r="H68" s="725"/>
      <c r="I68" s="726">
        <f>SUM(G68:H68)</f>
        <v>0</v>
      </c>
      <c r="J68" s="16"/>
      <c r="K68" s="16"/>
    </row>
    <row r="69" spans="2:11" ht="16.5" thickBot="1">
      <c r="B69" s="269"/>
      <c r="C69" s="731" t="s">
        <v>421</v>
      </c>
      <c r="D69" s="728"/>
      <c r="E69" s="728"/>
      <c r="F69" s="729">
        <f>SUM(D69:E69)</f>
        <v>0</v>
      </c>
      <c r="G69" s="727"/>
      <c r="H69" s="728"/>
      <c r="I69" s="729">
        <f>SUM(G69:H69)</f>
        <v>0</v>
      </c>
      <c r="J69" s="16"/>
      <c r="K69" s="16"/>
    </row>
    <row r="70" spans="2:11" ht="19.5">
      <c r="B70" s="269"/>
      <c r="C70" s="430"/>
      <c r="D70" s="431"/>
      <c r="E70" s="431"/>
      <c r="F70" s="431"/>
      <c r="G70" s="431"/>
      <c r="H70" s="431"/>
      <c r="I70" s="431"/>
      <c r="J70" s="16"/>
      <c r="K70" s="16"/>
    </row>
    <row r="72" spans="3:9" ht="15.75">
      <c r="C72" s="107"/>
      <c r="D72" s="16">
        <f aca="true" t="shared" si="32" ref="D72:I72">+D66-D33</f>
        <v>-425394</v>
      </c>
      <c r="E72" s="16">
        <f t="shared" si="32"/>
        <v>-35454</v>
      </c>
      <c r="F72" s="16">
        <f t="shared" si="32"/>
        <v>-460848</v>
      </c>
      <c r="G72" s="16">
        <f t="shared" si="32"/>
        <v>-462991</v>
      </c>
      <c r="H72" s="16">
        <f t="shared" si="32"/>
        <v>-36354</v>
      </c>
      <c r="I72" s="16">
        <f t="shared" si="32"/>
        <v>-499345</v>
      </c>
    </row>
  </sheetData>
  <mergeCells count="49">
    <mergeCell ref="AV36:AW36"/>
    <mergeCell ref="AL36:AM36"/>
    <mergeCell ref="AN36:AO36"/>
    <mergeCell ref="AP36:AQ36"/>
    <mergeCell ref="AR36:AS36"/>
    <mergeCell ref="AF36:AG36"/>
    <mergeCell ref="AH36:AI36"/>
    <mergeCell ref="AJ36:AK36"/>
    <mergeCell ref="AT36:AU36"/>
    <mergeCell ref="X36:Y36"/>
    <mergeCell ref="Z36:AA36"/>
    <mergeCell ref="AB36:AC36"/>
    <mergeCell ref="AD36:AE36"/>
    <mergeCell ref="AV5:AW5"/>
    <mergeCell ref="D35:F35"/>
    <mergeCell ref="G35:I35"/>
    <mergeCell ref="J36:K36"/>
    <mergeCell ref="L36:M36"/>
    <mergeCell ref="N36:O36"/>
    <mergeCell ref="P36:Q36"/>
    <mergeCell ref="R36:S36"/>
    <mergeCell ref="T36:U36"/>
    <mergeCell ref="V36:W36"/>
    <mergeCell ref="AN5:AO5"/>
    <mergeCell ref="AP5:AQ5"/>
    <mergeCell ref="AR5:AS5"/>
    <mergeCell ref="AT5:AU5"/>
    <mergeCell ref="AF5:AG5"/>
    <mergeCell ref="AH5:AI5"/>
    <mergeCell ref="AJ5:AK5"/>
    <mergeCell ref="AL5:AM5"/>
    <mergeCell ref="X5:Y5"/>
    <mergeCell ref="Z5:AA5"/>
    <mergeCell ref="AB5:AC5"/>
    <mergeCell ref="AD5:AE5"/>
    <mergeCell ref="AD3:AK3"/>
    <mergeCell ref="AN3:AW3"/>
    <mergeCell ref="AL3:AM3"/>
    <mergeCell ref="J5:K5"/>
    <mergeCell ref="L5:M5"/>
    <mergeCell ref="N5:O5"/>
    <mergeCell ref="P5:Q5"/>
    <mergeCell ref="R5:S5"/>
    <mergeCell ref="T5:U5"/>
    <mergeCell ref="V5:W5"/>
    <mergeCell ref="D4:F4"/>
    <mergeCell ref="G4:I4"/>
    <mergeCell ref="J3:S3"/>
    <mergeCell ref="T3:AC3"/>
  </mergeCells>
  <printOptions horizontalCentered="1" verticalCentered="1"/>
  <pageMargins left="0.5511811023622047" right="0.35433070866141736" top="0.5511811023622047" bottom="0.5118110236220472" header="0.2755905511811024" footer="0.2755905511811024"/>
  <pageSetup horizontalDpi="600" verticalDpi="600" orientation="portrait" pageOrder="overThenDown" paperSize="9" scale="53" r:id="rId1"/>
  <headerFooter alignWithMargins="0">
    <oddFooter>&amp;R&amp;P</oddFooter>
  </headerFooter>
  <rowBreaks count="1" manualBreakCount="1">
    <brk id="70" max="255" man="1"/>
  </rowBreaks>
  <colBreaks count="4" manualBreakCount="4">
    <brk id="9" max="68" man="1"/>
    <brk id="19" max="68" man="1"/>
    <brk id="29" max="68" man="1"/>
    <brk id="39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C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4.00390625" style="0" customWidth="1"/>
  </cols>
  <sheetData>
    <row r="1" spans="3:9" ht="19.5">
      <c r="C1" s="87"/>
      <c r="D1" s="87"/>
      <c r="E1" s="87"/>
      <c r="G1" s="87"/>
      <c r="H1" s="87"/>
      <c r="I1" s="260" t="s">
        <v>507</v>
      </c>
    </row>
    <row r="2" spans="1:9" s="117" customFormat="1" ht="20.25">
      <c r="A2" s="1"/>
      <c r="B2" s="3"/>
      <c r="C2" s="536" t="s">
        <v>10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1:11" ht="20.25">
      <c r="A4" s="119"/>
      <c r="C4" s="537"/>
      <c r="D4" s="821" t="s">
        <v>416</v>
      </c>
      <c r="E4" s="822"/>
      <c r="F4" s="823"/>
      <c r="G4" s="821" t="s">
        <v>477</v>
      </c>
      <c r="H4" s="822"/>
      <c r="I4" s="823"/>
      <c r="J4" s="87"/>
      <c r="K4" s="87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89" t="s">
        <v>193</v>
      </c>
      <c r="G5" s="233" t="s">
        <v>436</v>
      </c>
      <c r="H5" s="233" t="s">
        <v>437</v>
      </c>
      <c r="I5" s="89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f>121729+3857</f>
        <v>125586</v>
      </c>
      <c r="E6" s="17"/>
      <c r="F6" s="15">
        <f aca="true" t="shared" si="0" ref="F6:F17">SUM(D6:E6)</f>
        <v>125586</v>
      </c>
      <c r="G6" s="17">
        <f>121729+3857+4998</f>
        <v>130584</v>
      </c>
      <c r="H6" s="17"/>
      <c r="I6" s="15">
        <f aca="true" t="shared" si="1" ref="I6:I17">SUM(G6:H6)</f>
        <v>130584</v>
      </c>
    </row>
    <row r="7" spans="2:9" s="1" customFormat="1" ht="15.75">
      <c r="B7" s="323" t="s">
        <v>255</v>
      </c>
      <c r="C7" s="90" t="s">
        <v>209</v>
      </c>
      <c r="D7" s="17">
        <f>32720+521</f>
        <v>33241</v>
      </c>
      <c r="E7" s="17"/>
      <c r="F7" s="15">
        <f t="shared" si="0"/>
        <v>33241</v>
      </c>
      <c r="G7" s="17">
        <f>32720+521+1350</f>
        <v>34591</v>
      </c>
      <c r="H7" s="17"/>
      <c r="I7" s="15">
        <f t="shared" si="1"/>
        <v>34591</v>
      </c>
    </row>
    <row r="8" spans="2:9" s="1" customFormat="1" ht="15.75">
      <c r="B8" s="323" t="s">
        <v>33</v>
      </c>
      <c r="C8" s="90" t="s">
        <v>210</v>
      </c>
      <c r="D8" s="17">
        <v>44104</v>
      </c>
      <c r="E8" s="17"/>
      <c r="F8" s="15">
        <f t="shared" si="0"/>
        <v>44104</v>
      </c>
      <c r="G8" s="17">
        <f>44104+400</f>
        <v>44504</v>
      </c>
      <c r="H8" s="17"/>
      <c r="I8" s="15">
        <f t="shared" si="1"/>
        <v>44504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202931</v>
      </c>
      <c r="E18" s="94">
        <f t="shared" si="2"/>
        <v>0</v>
      </c>
      <c r="F18" s="94">
        <f t="shared" si="2"/>
        <v>202931</v>
      </c>
      <c r="G18" s="94">
        <f t="shared" si="2"/>
        <v>209679</v>
      </c>
      <c r="H18" s="94">
        <f t="shared" si="2"/>
        <v>0</v>
      </c>
      <c r="I18" s="94">
        <f t="shared" si="2"/>
        <v>209679</v>
      </c>
    </row>
    <row r="19" spans="2:9" s="1" customFormat="1" ht="15.75">
      <c r="B19" s="323" t="s">
        <v>274</v>
      </c>
      <c r="C19" s="90" t="s">
        <v>215</v>
      </c>
      <c r="D19" s="17">
        <v>1015</v>
      </c>
      <c r="E19" s="17"/>
      <c r="F19" s="15">
        <f aca="true" t="shared" si="3" ref="F19:F31">SUM(D19:E19)</f>
        <v>1015</v>
      </c>
      <c r="G19" s="17">
        <v>1015</v>
      </c>
      <c r="H19" s="17"/>
      <c r="I19" s="15">
        <f aca="true" t="shared" si="4" ref="I19:I31">SUM(G19:H19)</f>
        <v>1015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1015</v>
      </c>
      <c r="E32" s="94">
        <f t="shared" si="5"/>
        <v>0</v>
      </c>
      <c r="F32" s="94">
        <f t="shared" si="5"/>
        <v>1015</v>
      </c>
      <c r="G32" s="94">
        <f t="shared" si="5"/>
        <v>1015</v>
      </c>
      <c r="H32" s="94">
        <f t="shared" si="5"/>
        <v>0</v>
      </c>
      <c r="I32" s="94">
        <f t="shared" si="5"/>
        <v>1015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203946</v>
      </c>
      <c r="E33" s="99">
        <f t="shared" si="6"/>
        <v>0</v>
      </c>
      <c r="F33" s="99">
        <f t="shared" si="6"/>
        <v>203946</v>
      </c>
      <c r="G33" s="99">
        <f t="shared" si="6"/>
        <v>210694</v>
      </c>
      <c r="H33" s="99">
        <f t="shared" si="6"/>
        <v>0</v>
      </c>
      <c r="I33" s="99">
        <f t="shared" si="6"/>
        <v>210694</v>
      </c>
    </row>
    <row r="34" spans="2:9" s="1" customFormat="1" ht="15.75">
      <c r="B34" s="3"/>
      <c r="D34" s="16"/>
      <c r="E34" s="16"/>
      <c r="F34" s="16"/>
      <c r="G34" s="16"/>
      <c r="H34" s="16"/>
      <c r="I34" s="16"/>
    </row>
    <row r="35" spans="2:9" s="1" customFormat="1" ht="15.75">
      <c r="B35" s="3"/>
      <c r="D35" s="821" t="s">
        <v>416</v>
      </c>
      <c r="E35" s="822"/>
      <c r="F35" s="823"/>
      <c r="G35" s="821" t="s">
        <v>477</v>
      </c>
      <c r="H35" s="822"/>
      <c r="I35" s="823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89" t="s">
        <v>193</v>
      </c>
      <c r="G36" s="233" t="s">
        <v>436</v>
      </c>
      <c r="H36" s="233" t="s">
        <v>437</v>
      </c>
      <c r="I36" s="89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f>14766</f>
        <v>14766</v>
      </c>
      <c r="E38" s="17"/>
      <c r="F38" s="15">
        <f t="shared" si="7"/>
        <v>14766</v>
      </c>
      <c r="G38" s="17">
        <f>14766</f>
        <v>14766</v>
      </c>
      <c r="H38" s="17"/>
      <c r="I38" s="15">
        <f t="shared" si="8"/>
        <v>14766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>
        <v>4000</v>
      </c>
      <c r="E43" s="17"/>
      <c r="F43" s="15">
        <f t="shared" si="7"/>
        <v>4000</v>
      </c>
      <c r="G43" s="17">
        <v>4000</v>
      </c>
      <c r="H43" s="17"/>
      <c r="I43" s="15">
        <f t="shared" si="8"/>
        <v>4000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142209</v>
      </c>
      <c r="E45" s="17"/>
      <c r="F45" s="15">
        <f t="shared" si="7"/>
        <v>142209</v>
      </c>
      <c r="G45" s="17">
        <f>142209+6748</f>
        <v>148957</v>
      </c>
      <c r="H45" s="17"/>
      <c r="I45" s="15">
        <f t="shared" si="8"/>
        <v>148957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160975</v>
      </c>
      <c r="E47" s="108">
        <f>SUM(E37:E46)</f>
        <v>0</v>
      </c>
      <c r="F47" s="108">
        <f t="shared" si="7"/>
        <v>160975</v>
      </c>
      <c r="G47" s="108">
        <f>SUM(G37:G46)</f>
        <v>167723</v>
      </c>
      <c r="H47" s="108">
        <f>SUM(H37:H46)</f>
        <v>0</v>
      </c>
      <c r="I47" s="108">
        <f t="shared" si="8"/>
        <v>167723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-41956</v>
      </c>
      <c r="E48" s="110">
        <f>SUM(E47-E18)</f>
        <v>0</v>
      </c>
      <c r="F48" s="110">
        <f t="shared" si="7"/>
        <v>-41956</v>
      </c>
      <c r="G48" s="110">
        <f>SUM(G47-G18)</f>
        <v>-41956</v>
      </c>
      <c r="H48" s="110">
        <f>SUM(H47-H18)</f>
        <v>0</v>
      </c>
      <c r="I48" s="110">
        <f t="shared" si="8"/>
        <v>-41956</v>
      </c>
    </row>
    <row r="49" spans="1:9" s="114" customFormat="1" ht="15.75">
      <c r="A49" s="1"/>
      <c r="B49" s="262" t="s">
        <v>276</v>
      </c>
      <c r="C49" s="104" t="s">
        <v>202</v>
      </c>
      <c r="D49" s="112">
        <v>41956</v>
      </c>
      <c r="E49" s="112"/>
      <c r="F49" s="113">
        <f t="shared" si="7"/>
        <v>41956</v>
      </c>
      <c r="G49" s="112">
        <v>41956</v>
      </c>
      <c r="H49" s="112"/>
      <c r="I49" s="113">
        <f t="shared" si="8"/>
        <v>41956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202931</v>
      </c>
      <c r="E51" s="94">
        <f t="shared" si="9"/>
        <v>0</v>
      </c>
      <c r="F51" s="94">
        <f t="shared" si="9"/>
        <v>202931</v>
      </c>
      <c r="G51" s="94">
        <f t="shared" si="9"/>
        <v>209679</v>
      </c>
      <c r="H51" s="94">
        <f t="shared" si="9"/>
        <v>0</v>
      </c>
      <c r="I51" s="94">
        <f t="shared" si="9"/>
        <v>209679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-1015</v>
      </c>
      <c r="E60" s="110">
        <f>SUM(E59-E32)</f>
        <v>0</v>
      </c>
      <c r="F60" s="110">
        <f t="shared" si="10"/>
        <v>-1015</v>
      </c>
      <c r="G60" s="110">
        <f>SUM(G59-G32)</f>
        <v>-1015</v>
      </c>
      <c r="H60" s="110">
        <f>SUM(H59-H32)</f>
        <v>0</v>
      </c>
      <c r="I60" s="110">
        <f t="shared" si="11"/>
        <v>-1015</v>
      </c>
    </row>
    <row r="61" spans="1:9" s="114" customFormat="1" ht="15.75">
      <c r="A61" s="1"/>
      <c r="B61" s="262" t="s">
        <v>289</v>
      </c>
      <c r="C61" s="104" t="s">
        <v>204</v>
      </c>
      <c r="D61" s="112">
        <v>1015</v>
      </c>
      <c r="E61" s="112"/>
      <c r="F61" s="113">
        <f t="shared" si="10"/>
        <v>1015</v>
      </c>
      <c r="G61" s="112">
        <v>1015</v>
      </c>
      <c r="H61" s="112"/>
      <c r="I61" s="113">
        <f t="shared" si="11"/>
        <v>1015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1015</v>
      </c>
      <c r="E65" s="94">
        <f t="shared" si="12"/>
        <v>0</v>
      </c>
      <c r="F65" s="94">
        <f t="shared" si="12"/>
        <v>1015</v>
      </c>
      <c r="G65" s="94">
        <f t="shared" si="12"/>
        <v>1015</v>
      </c>
      <c r="H65" s="94">
        <f t="shared" si="12"/>
        <v>0</v>
      </c>
      <c r="I65" s="94">
        <f t="shared" si="12"/>
        <v>1015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203946</v>
      </c>
      <c r="E66" s="99">
        <f t="shared" si="13"/>
        <v>0</v>
      </c>
      <c r="F66" s="99">
        <f t="shared" si="13"/>
        <v>203946</v>
      </c>
      <c r="G66" s="99">
        <f t="shared" si="13"/>
        <v>210694</v>
      </c>
      <c r="H66" s="99">
        <f t="shared" si="13"/>
        <v>0</v>
      </c>
      <c r="I66" s="99">
        <f t="shared" si="13"/>
        <v>210694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42</v>
      </c>
      <c r="E68" s="494"/>
      <c r="F68" s="495">
        <f>SUM(D68:E68)</f>
        <v>42</v>
      </c>
      <c r="G68" s="494">
        <f>42+3</f>
        <v>45</v>
      </c>
      <c r="H68" s="494"/>
      <c r="I68" s="495">
        <f>SUM(G68:H68)</f>
        <v>45</v>
      </c>
    </row>
    <row r="69" spans="2:9" s="1" customFormat="1" ht="15.75">
      <c r="B69" s="3"/>
      <c r="C69" s="429" t="s">
        <v>421</v>
      </c>
      <c r="D69" s="494">
        <v>6</v>
      </c>
      <c r="E69" s="494"/>
      <c r="F69" s="495">
        <f>SUM(D69:E69)</f>
        <v>6</v>
      </c>
      <c r="G69" s="494">
        <v>6</v>
      </c>
      <c r="H69" s="494"/>
      <c r="I69" s="495">
        <f>SUM(G69:H69)</f>
        <v>6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66" right="0.46" top="0.78" bottom="0.73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5" width="12.8515625" style="16" customWidth="1"/>
    <col min="6" max="6" width="11.7109375" style="16" customWidth="1"/>
    <col min="7" max="8" width="12.8515625" style="1" customWidth="1"/>
    <col min="9" max="9" width="11.00390625" style="1" customWidth="1"/>
    <col min="10" max="16384" width="9.140625" style="1" customWidth="1"/>
  </cols>
  <sheetData>
    <row r="1" ht="18.75">
      <c r="I1" s="260" t="s">
        <v>508</v>
      </c>
    </row>
    <row r="2" spans="1:9" s="117" customFormat="1" ht="20.25">
      <c r="A2" s="1"/>
      <c r="B2" s="3"/>
      <c r="C2" s="536" t="s">
        <v>4</v>
      </c>
      <c r="E2" s="116"/>
      <c r="I2" s="10" t="s">
        <v>473</v>
      </c>
    </row>
    <row r="3" spans="1:3" ht="20.25">
      <c r="A3" s="119"/>
      <c r="C3" s="537" t="s">
        <v>470</v>
      </c>
    </row>
    <row r="4" spans="4:9" ht="15.75">
      <c r="D4" s="821" t="s">
        <v>416</v>
      </c>
      <c r="E4" s="822"/>
      <c r="F4" s="823"/>
      <c r="G4" s="821" t="s">
        <v>477</v>
      </c>
      <c r="H4" s="822"/>
      <c r="I4" s="823"/>
    </row>
    <row r="5" spans="2:9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ht="15.75">
      <c r="A6" s="9"/>
      <c r="B6" s="323" t="s">
        <v>254</v>
      </c>
      <c r="C6" s="90" t="s">
        <v>208</v>
      </c>
      <c r="D6" s="17">
        <v>57190</v>
      </c>
      <c r="E6" s="17">
        <v>168155</v>
      </c>
      <c r="F6" s="15">
        <f aca="true" t="shared" si="0" ref="F6:F17">SUM(D6:E6)</f>
        <v>225345</v>
      </c>
      <c r="G6" s="17">
        <f>57190+657</f>
        <v>57847</v>
      </c>
      <c r="H6" s="17">
        <v>168155</v>
      </c>
      <c r="I6" s="15">
        <f aca="true" t="shared" si="1" ref="I6:I17">SUM(G6:H6)</f>
        <v>226002</v>
      </c>
    </row>
    <row r="7" spans="2:9" ht="15.75">
      <c r="B7" s="323" t="s">
        <v>255</v>
      </c>
      <c r="C7" s="90" t="s">
        <v>209</v>
      </c>
      <c r="D7" s="17">
        <v>13216</v>
      </c>
      <c r="E7" s="17">
        <v>27149</v>
      </c>
      <c r="F7" s="15">
        <f t="shared" si="0"/>
        <v>40365</v>
      </c>
      <c r="G7" s="17">
        <f>13216+178</f>
        <v>13394</v>
      </c>
      <c r="H7" s="17">
        <v>27149</v>
      </c>
      <c r="I7" s="15">
        <f t="shared" si="1"/>
        <v>40543</v>
      </c>
    </row>
    <row r="8" spans="2:9" ht="15.75">
      <c r="B8" s="323" t="s">
        <v>33</v>
      </c>
      <c r="C8" s="90" t="s">
        <v>210</v>
      </c>
      <c r="D8" s="17">
        <v>41972</v>
      </c>
      <c r="E8" s="17">
        <v>156778</v>
      </c>
      <c r="F8" s="15">
        <f t="shared" si="0"/>
        <v>198750</v>
      </c>
      <c r="G8" s="17">
        <v>41972</v>
      </c>
      <c r="H8" s="17">
        <v>156779</v>
      </c>
      <c r="I8" s="15">
        <f t="shared" si="1"/>
        <v>198751</v>
      </c>
    </row>
    <row r="9" spans="2:9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ht="15.75">
      <c r="B10" s="323" t="s">
        <v>130</v>
      </c>
      <c r="C10" s="90" t="s">
        <v>212</v>
      </c>
      <c r="D10" s="15">
        <f>SUM(D11:D14)</f>
        <v>1100</v>
      </c>
      <c r="E10" s="15">
        <f>SUM(E11:E14)</f>
        <v>20922</v>
      </c>
      <c r="F10" s="15">
        <f t="shared" si="0"/>
        <v>22022</v>
      </c>
      <c r="G10" s="15">
        <f>SUM(G11:G14)</f>
        <v>1100</v>
      </c>
      <c r="H10" s="15">
        <f>SUM(H11:H14)</f>
        <v>0</v>
      </c>
      <c r="I10" s="15">
        <f t="shared" si="1"/>
        <v>1100</v>
      </c>
    </row>
    <row r="11" spans="2:9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ht="15.75">
      <c r="B12" s="324" t="s">
        <v>139</v>
      </c>
      <c r="C12" s="95" t="s">
        <v>247</v>
      </c>
      <c r="D12" s="17">
        <v>1100</v>
      </c>
      <c r="E12" s="17">
        <v>20922</v>
      </c>
      <c r="F12" s="15">
        <f t="shared" si="0"/>
        <v>22022</v>
      </c>
      <c r="G12" s="17">
        <v>1100</v>
      </c>
      <c r="H12" s="17">
        <v>0</v>
      </c>
      <c r="I12" s="15">
        <f t="shared" si="1"/>
        <v>1100</v>
      </c>
    </row>
    <row r="13" spans="2:9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ht="15.75">
      <c r="B18" s="323" t="s">
        <v>273</v>
      </c>
      <c r="C18" s="93" t="s">
        <v>236</v>
      </c>
      <c r="D18" s="94">
        <f aca="true" t="shared" si="2" ref="D18:I18">SUM(D6,D7,D8,D9,D10,D15,D16,D17)</f>
        <v>113478</v>
      </c>
      <c r="E18" s="94">
        <f t="shared" si="2"/>
        <v>373004</v>
      </c>
      <c r="F18" s="94">
        <f t="shared" si="2"/>
        <v>486482</v>
      </c>
      <c r="G18" s="94">
        <f t="shared" si="2"/>
        <v>114313</v>
      </c>
      <c r="H18" s="94">
        <f t="shared" si="2"/>
        <v>352083</v>
      </c>
      <c r="I18" s="94">
        <f t="shared" si="2"/>
        <v>466396</v>
      </c>
    </row>
    <row r="19" spans="2:9" ht="15.75">
      <c r="B19" s="323" t="s">
        <v>274</v>
      </c>
      <c r="C19" s="90" t="s">
        <v>215</v>
      </c>
      <c r="D19" s="17">
        <v>8393</v>
      </c>
      <c r="E19" s="17">
        <v>5400</v>
      </c>
      <c r="F19" s="15">
        <f aca="true" t="shared" si="3" ref="F19:F31">SUM(D19:E19)</f>
        <v>13793</v>
      </c>
      <c r="G19" s="17">
        <v>8393</v>
      </c>
      <c r="H19" s="17">
        <v>26321</v>
      </c>
      <c r="I19" s="15">
        <f aca="true" t="shared" si="4" ref="I19:I31">SUM(G19:H19)</f>
        <v>34714</v>
      </c>
    </row>
    <row r="20" spans="2:9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ht="15.75">
      <c r="B32" s="325" t="s">
        <v>283</v>
      </c>
      <c r="C32" s="93" t="s">
        <v>237</v>
      </c>
      <c r="D32" s="94">
        <f aca="true" t="shared" si="5" ref="D32:I32">SUM(D19,D20,D21,D26,D27,D28,D29,D30,D31)</f>
        <v>8393</v>
      </c>
      <c r="E32" s="94">
        <f t="shared" si="5"/>
        <v>5400</v>
      </c>
      <c r="F32" s="94">
        <f t="shared" si="5"/>
        <v>13793</v>
      </c>
      <c r="G32" s="94">
        <f t="shared" si="5"/>
        <v>8393</v>
      </c>
      <c r="H32" s="94">
        <f t="shared" si="5"/>
        <v>26321</v>
      </c>
      <c r="I32" s="94">
        <f t="shared" si="5"/>
        <v>34714</v>
      </c>
    </row>
    <row r="33" spans="2:9" ht="19.5">
      <c r="B33" s="325" t="s">
        <v>284</v>
      </c>
      <c r="C33" s="98" t="s">
        <v>197</v>
      </c>
      <c r="D33" s="99">
        <f aca="true" t="shared" si="6" ref="D33:I33">SUM(D18,D32)</f>
        <v>121871</v>
      </c>
      <c r="E33" s="99">
        <f t="shared" si="6"/>
        <v>378404</v>
      </c>
      <c r="F33" s="99">
        <f t="shared" si="6"/>
        <v>500275</v>
      </c>
      <c r="G33" s="99">
        <f t="shared" si="6"/>
        <v>122706</v>
      </c>
      <c r="H33" s="99">
        <f t="shared" si="6"/>
        <v>378404</v>
      </c>
      <c r="I33" s="99">
        <f t="shared" si="6"/>
        <v>501110</v>
      </c>
    </row>
    <row r="35" spans="4:9" ht="15.75">
      <c r="D35" s="821" t="s">
        <v>416</v>
      </c>
      <c r="E35" s="822"/>
      <c r="F35" s="823"/>
      <c r="G35" s="821" t="s">
        <v>477</v>
      </c>
      <c r="H35" s="822"/>
      <c r="I35" s="823"/>
    </row>
    <row r="36" spans="2:9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ht="15.75">
      <c r="B38" s="262" t="s">
        <v>255</v>
      </c>
      <c r="C38" s="100" t="s">
        <v>221</v>
      </c>
      <c r="D38" s="17">
        <v>35463</v>
      </c>
      <c r="E38" s="17">
        <v>129124</v>
      </c>
      <c r="F38" s="15">
        <f t="shared" si="7"/>
        <v>164587</v>
      </c>
      <c r="G38" s="17">
        <v>35463</v>
      </c>
      <c r="H38" s="17">
        <v>129124</v>
      </c>
      <c r="I38" s="15">
        <f t="shared" si="8"/>
        <v>164587</v>
      </c>
    </row>
    <row r="39" spans="2:9" ht="15.75">
      <c r="B39" s="262" t="s">
        <v>33</v>
      </c>
      <c r="C39" s="100" t="s">
        <v>222</v>
      </c>
      <c r="D39" s="17">
        <v>4251</v>
      </c>
      <c r="E39" s="17">
        <v>192911</v>
      </c>
      <c r="F39" s="15">
        <f t="shared" si="7"/>
        <v>197162</v>
      </c>
      <c r="G39" s="17">
        <v>4251</v>
      </c>
      <c r="H39" s="17">
        <v>192911</v>
      </c>
      <c r="I39" s="15">
        <f t="shared" si="8"/>
        <v>197162</v>
      </c>
    </row>
    <row r="40" spans="2:9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ht="32.25" customHeight="1">
      <c r="B45" s="262" t="s">
        <v>273</v>
      </c>
      <c r="C45" s="100" t="s">
        <v>225</v>
      </c>
      <c r="D45" s="17">
        <f>19714+5477</f>
        <v>25191</v>
      </c>
      <c r="E45" s="17">
        <v>5241</v>
      </c>
      <c r="F45" s="15">
        <f t="shared" si="7"/>
        <v>30432</v>
      </c>
      <c r="G45" s="17">
        <f>19714+5477+835</f>
        <v>26026</v>
      </c>
      <c r="H45" s="17">
        <v>5241</v>
      </c>
      <c r="I45" s="15">
        <f t="shared" si="8"/>
        <v>31267</v>
      </c>
    </row>
    <row r="46" spans="2:9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64905</v>
      </c>
      <c r="E47" s="108">
        <f>SUM(E37:E46)</f>
        <v>327276</v>
      </c>
      <c r="F47" s="108">
        <f t="shared" si="7"/>
        <v>392181</v>
      </c>
      <c r="G47" s="108">
        <f>SUM(G37:G46)</f>
        <v>65740</v>
      </c>
      <c r="H47" s="108">
        <f>SUM(H37:H46)</f>
        <v>327276</v>
      </c>
      <c r="I47" s="108">
        <f t="shared" si="8"/>
        <v>393016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-48573</v>
      </c>
      <c r="E48" s="110">
        <f>SUM(E47-E18)</f>
        <v>-45728</v>
      </c>
      <c r="F48" s="110">
        <f t="shared" si="7"/>
        <v>-94301</v>
      </c>
      <c r="G48" s="110">
        <f>SUM(G47-G18)</f>
        <v>-48573</v>
      </c>
      <c r="H48" s="110">
        <f>SUM(H47-H18)</f>
        <v>-24807</v>
      </c>
      <c r="I48" s="110">
        <f t="shared" si="8"/>
        <v>-73380</v>
      </c>
    </row>
    <row r="49" spans="1:9" s="114" customFormat="1" ht="15.75">
      <c r="A49" s="1"/>
      <c r="B49" s="262" t="s">
        <v>276</v>
      </c>
      <c r="C49" s="104" t="s">
        <v>202</v>
      </c>
      <c r="D49" s="112">
        <v>48573</v>
      </c>
      <c r="E49" s="112"/>
      <c r="F49" s="113">
        <f t="shared" si="7"/>
        <v>48573</v>
      </c>
      <c r="G49" s="112">
        <v>48573</v>
      </c>
      <c r="H49" s="112"/>
      <c r="I49" s="113">
        <f t="shared" si="8"/>
        <v>48573</v>
      </c>
    </row>
    <row r="50" spans="2:9" ht="15.75">
      <c r="B50" s="262" t="s">
        <v>277</v>
      </c>
      <c r="C50" s="8" t="s">
        <v>227</v>
      </c>
      <c r="D50" s="17"/>
      <c r="E50" s="17">
        <v>45728</v>
      </c>
      <c r="F50" s="15">
        <f t="shared" si="7"/>
        <v>45728</v>
      </c>
      <c r="G50" s="17"/>
      <c r="H50" s="17">
        <v>45728</v>
      </c>
      <c r="I50" s="15">
        <f t="shared" si="8"/>
        <v>45728</v>
      </c>
    </row>
    <row r="51" spans="2:9" ht="15.75">
      <c r="B51" s="262" t="s">
        <v>279</v>
      </c>
      <c r="C51" s="93" t="s">
        <v>238</v>
      </c>
      <c r="D51" s="94">
        <f aca="true" t="shared" si="9" ref="D51:I51">SUM(D47,D49,D50)</f>
        <v>113478</v>
      </c>
      <c r="E51" s="94">
        <f t="shared" si="9"/>
        <v>373004</v>
      </c>
      <c r="F51" s="94">
        <f t="shared" si="9"/>
        <v>486482</v>
      </c>
      <c r="G51" s="94">
        <f t="shared" si="9"/>
        <v>114313</v>
      </c>
      <c r="H51" s="94">
        <f t="shared" si="9"/>
        <v>373004</v>
      </c>
      <c r="I51" s="94">
        <f t="shared" si="9"/>
        <v>487317</v>
      </c>
    </row>
    <row r="52" spans="2:9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ht="15.75">
      <c r="B53" s="262" t="s">
        <v>281</v>
      </c>
      <c r="C53" s="100" t="s">
        <v>229</v>
      </c>
      <c r="D53" s="17">
        <v>8393</v>
      </c>
      <c r="E53" s="17">
        <v>5400</v>
      </c>
      <c r="F53" s="15">
        <f t="shared" si="10"/>
        <v>13793</v>
      </c>
      <c r="G53" s="17">
        <v>8393</v>
      </c>
      <c r="H53" s="17">
        <v>5400</v>
      </c>
      <c r="I53" s="15">
        <f t="shared" si="11"/>
        <v>13793</v>
      </c>
    </row>
    <row r="54" spans="2:9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8393</v>
      </c>
      <c r="E59" s="108">
        <f>SUM(E52:E58)</f>
        <v>5400</v>
      </c>
      <c r="F59" s="108">
        <f t="shared" si="10"/>
        <v>13793</v>
      </c>
      <c r="G59" s="108">
        <f>SUM(G52:G58)</f>
        <v>8393</v>
      </c>
      <c r="H59" s="108">
        <f>SUM(H52:H58)</f>
        <v>5400</v>
      </c>
      <c r="I59" s="108">
        <f t="shared" si="11"/>
        <v>13793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-20921</v>
      </c>
      <c r="I60" s="110">
        <f t="shared" si="11"/>
        <v>-20921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/>
      <c r="F61" s="113">
        <f t="shared" si="10"/>
        <v>0</v>
      </c>
      <c r="G61" s="112"/>
      <c r="H61" s="112"/>
      <c r="I61" s="113">
        <f t="shared" si="11"/>
        <v>0</v>
      </c>
    </row>
    <row r="62" spans="2:9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ht="15.75">
      <c r="B65" s="262" t="s">
        <v>291</v>
      </c>
      <c r="C65" s="93" t="s">
        <v>239</v>
      </c>
      <c r="D65" s="94">
        <f aca="true" t="shared" si="12" ref="D65:I65">SUM(D59,D61,D62,D63,D64)</f>
        <v>8393</v>
      </c>
      <c r="E65" s="94">
        <f t="shared" si="12"/>
        <v>5400</v>
      </c>
      <c r="F65" s="94">
        <f t="shared" si="12"/>
        <v>13793</v>
      </c>
      <c r="G65" s="94">
        <f t="shared" si="12"/>
        <v>8393</v>
      </c>
      <c r="H65" s="94">
        <f t="shared" si="12"/>
        <v>5400</v>
      </c>
      <c r="I65" s="94">
        <f t="shared" si="12"/>
        <v>13793</v>
      </c>
    </row>
    <row r="66" spans="2:9" ht="19.5">
      <c r="B66" s="262" t="s">
        <v>292</v>
      </c>
      <c r="C66" s="106" t="s">
        <v>207</v>
      </c>
      <c r="D66" s="99">
        <f aca="true" t="shared" si="13" ref="D66:I66">SUM(D51,D65)</f>
        <v>121871</v>
      </c>
      <c r="E66" s="99">
        <f t="shared" si="13"/>
        <v>378404</v>
      </c>
      <c r="F66" s="99">
        <f t="shared" si="13"/>
        <v>500275</v>
      </c>
      <c r="G66" s="99">
        <f t="shared" si="13"/>
        <v>122706</v>
      </c>
      <c r="H66" s="99">
        <f t="shared" si="13"/>
        <v>378404</v>
      </c>
      <c r="I66" s="99">
        <f t="shared" si="13"/>
        <v>501110</v>
      </c>
    </row>
    <row r="67" spans="7:9" ht="15.75">
      <c r="G67" s="16"/>
      <c r="H67" s="16"/>
      <c r="I67" s="16"/>
    </row>
    <row r="68" spans="3:10" ht="15.75">
      <c r="C68" s="429" t="s">
        <v>420</v>
      </c>
      <c r="D68" s="494">
        <v>21</v>
      </c>
      <c r="E68" s="494">
        <v>23</v>
      </c>
      <c r="F68" s="495">
        <f>SUM(D68:E68)</f>
        <v>44</v>
      </c>
      <c r="G68" s="494">
        <v>21</v>
      </c>
      <c r="H68" s="494">
        <v>23</v>
      </c>
      <c r="I68" s="495">
        <f>SUM(G68:H68)</f>
        <v>44</v>
      </c>
      <c r="J68" s="1" t="s">
        <v>438</v>
      </c>
    </row>
    <row r="69" spans="3:9" ht="15.75">
      <c r="C69" s="429" t="s">
        <v>421</v>
      </c>
      <c r="D69" s="494">
        <v>120</v>
      </c>
      <c r="E69" s="494"/>
      <c r="F69" s="495">
        <f>SUM(D69:E69)</f>
        <v>120</v>
      </c>
      <c r="G69" s="494">
        <v>120</v>
      </c>
      <c r="H69" s="494"/>
      <c r="I69" s="495">
        <f>SUM(G69:H69)</f>
        <v>120</v>
      </c>
    </row>
    <row r="71" spans="4:9" ht="15.75">
      <c r="D71" s="17">
        <f aca="true" t="shared" si="14" ref="D71:I71">+D66-D33</f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</row>
    <row r="73" ht="15.75">
      <c r="E73" s="16" t="s">
        <v>442</v>
      </c>
    </row>
  </sheetData>
  <mergeCells count="4">
    <mergeCell ref="D35:F35"/>
    <mergeCell ref="G35:I35"/>
    <mergeCell ref="D4:F4"/>
    <mergeCell ref="G4:I4"/>
  </mergeCells>
  <printOptions horizontalCentered="1" verticalCentered="1"/>
  <pageMargins left="0.61" right="0.41" top="0.54" bottom="0.55" header="0.3937007874015748" footer="0.24"/>
  <pageSetup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Polgármesteri Hivatal</cp:lastModifiedBy>
  <cp:lastPrinted>2013-07-17T08:01:43Z</cp:lastPrinted>
  <dcterms:created xsi:type="dcterms:W3CDTF">2013-01-25T08:48:40Z</dcterms:created>
  <dcterms:modified xsi:type="dcterms:W3CDTF">2013-09-15T19:23:03Z</dcterms:modified>
  <cp:category/>
  <cp:version/>
  <cp:contentType/>
  <cp:contentStatus/>
</cp:coreProperties>
</file>