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11.26. jkv. (közmeghallgatás ÚKÖ - NNÖÚ)\"/>
    </mc:Choice>
  </mc:AlternateContent>
  <xr:revisionPtr revIDLastSave="0" documentId="13_ncr:1_{07611E99-E0E7-43C8-BBE5-D030F0AC0C9B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Szennyvíz" sheetId="86" r:id="rId8"/>
    <sheet name="Közút" sheetId="81" r:id="rId9"/>
    <sheet name="Sport" sheetId="82" r:id="rId10"/>
    <sheet name="Közművelődés" sheetId="80" r:id="rId11"/>
    <sheet name="Támogatás" sheetId="79" r:id="rId12"/>
  </sheets>
  <externalReferences>
    <externalReference r:id="rId13"/>
  </externalReferences>
  <definedNames>
    <definedName name="_xlnm.Print_Area" localSheetId="2">Bevételek!$B$1:$AF$270</definedName>
    <definedName name="_xlnm.Print_Area" localSheetId="4">Igazgatás!$B$1:$X$284</definedName>
    <definedName name="_xlnm.Print_Area" localSheetId="3">Kiadások!$B$1:$AB$255</definedName>
    <definedName name="_xlnm.Print_Area" localSheetId="10">Közművelődés!$B$1:$Z$306</definedName>
    <definedName name="_xlnm.Print_Area" localSheetId="8">Közút!$B$1:$X$259</definedName>
    <definedName name="_xlnm.Print_Area" localSheetId="5">Községgazd!$B$1:$AA$270</definedName>
    <definedName name="_xlnm.Print_Area" localSheetId="0">Összesítő!$A$1:$T$25</definedName>
    <definedName name="_xlnm.Print_Area" localSheetId="9">Sport!$B$1:$X$257</definedName>
    <definedName name="_xlnm.Print_Area" localSheetId="11">Támogatás!$B$1:$AD$270</definedName>
    <definedName name="_xlnm.Print_Area" localSheetId="6">Vagyongazd!$B$1:$X$255</definedName>
  </definedNames>
  <calcPr calcId="181029"/>
</workbook>
</file>

<file path=xl/calcChain.xml><?xml version="1.0" encoding="utf-8"?>
<calcChain xmlns="http://schemas.openxmlformats.org/spreadsheetml/2006/main">
  <c r="P23" i="69" l="1"/>
  <c r="P6" i="69"/>
  <c r="M24" i="66"/>
  <c r="Z40" i="66" l="1"/>
  <c r="AA40" i="66"/>
  <c r="J135" i="66"/>
  <c r="J70" i="66"/>
  <c r="J59" i="66" s="1"/>
  <c r="J37" i="66"/>
  <c r="J24" i="66"/>
  <c r="J30" i="66"/>
  <c r="J29" i="66"/>
  <c r="J27" i="66"/>
  <c r="J26" i="66"/>
  <c r="J33" i="66"/>
  <c r="J175" i="68"/>
  <c r="J147" i="68"/>
  <c r="M150" i="66"/>
  <c r="J168" i="68"/>
  <c r="J131" i="68"/>
  <c r="K139" i="68"/>
  <c r="AF139" i="68" s="1"/>
  <c r="J116" i="68"/>
  <c r="J7" i="68"/>
  <c r="J136" i="68"/>
  <c r="J106" i="68"/>
  <c r="J21" i="68"/>
  <c r="AF140" i="68"/>
  <c r="AF141" i="68"/>
  <c r="AF143" i="68"/>
  <c r="AF145" i="68"/>
  <c r="AF158" i="68"/>
  <c r="AF160" i="68"/>
  <c r="AF163" i="68"/>
  <c r="J40" i="66"/>
  <c r="J6" i="68"/>
  <c r="J6" i="66"/>
  <c r="J5" i="66" s="1"/>
  <c r="J53" i="66"/>
  <c r="J147" i="66"/>
  <c r="I255" i="66"/>
  <c r="I129" i="68"/>
  <c r="H58" i="68"/>
  <c r="H94" i="68"/>
  <c r="I94" i="68"/>
  <c r="I270" i="68" s="1"/>
  <c r="I58" i="68"/>
  <c r="I6" i="68"/>
  <c r="I5" i="68" s="1"/>
  <c r="J129" i="68" l="1"/>
  <c r="J105" i="68"/>
  <c r="J94" i="68" s="1"/>
  <c r="J5" i="68"/>
  <c r="J84" i="68"/>
  <c r="J119" i="79" l="1"/>
  <c r="L119" i="79" s="1"/>
  <c r="F21" i="69" l="1"/>
  <c r="E21" i="69"/>
  <c r="E23" i="69" s="1"/>
  <c r="AD117" i="79" l="1"/>
  <c r="AC117" i="79"/>
  <c r="Y25" i="83" l="1"/>
  <c r="AD75" i="79" l="1"/>
  <c r="AB138" i="68"/>
  <c r="AD127" i="68"/>
  <c r="AE111" i="68"/>
  <c r="AE107" i="68"/>
  <c r="AE104" i="68"/>
  <c r="AE8" i="68"/>
  <c r="AA8" i="68"/>
  <c r="S211" i="80"/>
  <c r="X211" i="80"/>
  <c r="W205" i="80"/>
  <c r="X205" i="80"/>
  <c r="V205" i="80"/>
  <c r="X95" i="80"/>
  <c r="X93" i="80"/>
  <c r="X68" i="80"/>
  <c r="X67" i="80"/>
  <c r="X65" i="80"/>
  <c r="X64" i="80"/>
  <c r="Y56" i="80"/>
  <c r="Y39" i="80"/>
  <c r="Y38" i="80"/>
  <c r="X38" i="80"/>
  <c r="W42" i="82" l="1"/>
  <c r="X164" i="81"/>
  <c r="X159" i="81"/>
  <c r="U163" i="81"/>
  <c r="U158" i="81"/>
  <c r="Z67" i="83"/>
  <c r="AA66" i="83"/>
  <c r="AA65" i="83"/>
  <c r="Z52" i="83"/>
  <c r="Y45" i="83"/>
  <c r="Y44" i="83"/>
  <c r="Z37" i="83"/>
  <c r="X78" i="78" l="1"/>
  <c r="W66" i="78"/>
  <c r="X61" i="78"/>
  <c r="U55" i="78"/>
  <c r="X45" i="78"/>
  <c r="W36" i="78"/>
  <c r="X37" i="83" l="1"/>
  <c r="W78" i="78"/>
  <c r="W75" i="78"/>
  <c r="Y89" i="80"/>
  <c r="U55" i="80"/>
  <c r="J53" i="80"/>
  <c r="J52" i="80" s="1"/>
  <c r="L53" i="80"/>
  <c r="M53" i="80" s="1"/>
  <c r="M52" i="80" s="1"/>
  <c r="X52" i="80"/>
  <c r="Z52" i="80"/>
  <c r="Y52" i="80"/>
  <c r="W52" i="80"/>
  <c r="V52" i="80"/>
  <c r="U52" i="80"/>
  <c r="Q52" i="80"/>
  <c r="R52" i="80"/>
  <c r="S52" i="80"/>
  <c r="T52" i="80"/>
  <c r="P52" i="80"/>
  <c r="O52" i="80"/>
  <c r="U93" i="80"/>
  <c r="U56" i="80"/>
  <c r="V67" i="83"/>
  <c r="V37" i="83"/>
  <c r="S89" i="80"/>
  <c r="S78" i="78"/>
  <c r="R78" i="78"/>
  <c r="T93" i="80"/>
  <c r="S93" i="80"/>
  <c r="Q78" i="78"/>
  <c r="R75" i="78"/>
  <c r="S75" i="78"/>
  <c r="AB141" i="68"/>
  <c r="AC128" i="68" l="1"/>
  <c r="AD111" i="68"/>
  <c r="AB111" i="68"/>
  <c r="AE17" i="68"/>
  <c r="AE14" i="68"/>
  <c r="AD8" i="68"/>
  <c r="T8" i="68"/>
  <c r="T13" i="68"/>
  <c r="AE12" i="68"/>
  <c r="AE11" i="68"/>
  <c r="AC11" i="68"/>
  <c r="AD11" i="68"/>
  <c r="AB11" i="68"/>
  <c r="AA11" i="68"/>
  <c r="T10" i="68"/>
  <c r="T14" i="68"/>
  <c r="W12" i="68"/>
  <c r="W10" i="68"/>
  <c r="AE9" i="68"/>
  <c r="AC8" i="68"/>
  <c r="AB8" i="68"/>
  <c r="Z8" i="68"/>
  <c r="Y8" i="68"/>
  <c r="X8" i="68"/>
  <c r="W11" i="68"/>
  <c r="W9" i="68"/>
  <c r="W8" i="68"/>
  <c r="V9" i="68"/>
  <c r="U9" i="68"/>
  <c r="T11" i="68"/>
  <c r="T9" i="68"/>
  <c r="T17" i="68"/>
  <c r="AE13" i="68"/>
  <c r="AA13" i="68"/>
  <c r="AA10" i="68"/>
  <c r="X12" i="68"/>
  <c r="T12" i="68"/>
  <c r="Z12" i="68"/>
  <c r="Y12" i="68"/>
  <c r="F107" i="66"/>
  <c r="G107" i="66"/>
  <c r="H107" i="66"/>
  <c r="I107" i="66"/>
  <c r="L107" i="66"/>
  <c r="V150" i="66"/>
  <c r="Z115" i="79"/>
  <c r="Y95" i="80"/>
  <c r="W65" i="80"/>
  <c r="W64" i="80"/>
  <c r="X55" i="80"/>
  <c r="W38" i="80"/>
  <c r="X56" i="82"/>
  <c r="Y66" i="83"/>
  <c r="Y65" i="83"/>
  <c r="AA51" i="83"/>
  <c r="X52" i="83"/>
  <c r="X49" i="83"/>
  <c r="X45" i="83"/>
  <c r="U181" i="78"/>
  <c r="T181" i="78"/>
  <c r="R181" i="78"/>
  <c r="S181" i="78"/>
  <c r="U78" i="78"/>
  <c r="T7" i="68" l="1"/>
  <c r="U66" i="78"/>
  <c r="S52" i="78"/>
  <c r="W64" i="78"/>
  <c r="V49" i="78"/>
  <c r="V48" i="78"/>
  <c r="X40" i="78"/>
  <c r="U40" i="78"/>
  <c r="V40" i="78"/>
  <c r="W40" i="78"/>
  <c r="T40" i="78"/>
  <c r="J44" i="78"/>
  <c r="L44" i="78" s="1"/>
  <c r="V23" i="78"/>
  <c r="Y150" i="66" l="1"/>
  <c r="T150" i="66"/>
  <c r="L161" i="66"/>
  <c r="L158" i="66"/>
  <c r="L156" i="66"/>
  <c r="L150" i="66"/>
  <c r="AD163" i="68" l="1"/>
  <c r="X138" i="68"/>
  <c r="AC107" i="68"/>
  <c r="AC111" i="68"/>
  <c r="T128" i="68"/>
  <c r="T127" i="68"/>
  <c r="AB75" i="79" l="1"/>
  <c r="S205" i="80"/>
  <c r="Y93" i="80"/>
  <c r="Y92" i="80"/>
  <c r="Y76" i="80"/>
  <c r="Y68" i="80"/>
  <c r="Y65" i="80"/>
  <c r="Y67" i="80"/>
  <c r="Y64" i="80"/>
  <c r="I253" i="86" l="1"/>
  <c r="K253" i="86" s="1"/>
  <c r="I252" i="86"/>
  <c r="K252" i="86" s="1"/>
  <c r="I251" i="86"/>
  <c r="K251" i="86" s="1"/>
  <c r="K250" i="86"/>
  <c r="I250" i="86"/>
  <c r="I249" i="86"/>
  <c r="K249" i="86" s="1"/>
  <c r="I248" i="86"/>
  <c r="K248" i="86" s="1"/>
  <c r="I247" i="86"/>
  <c r="K247" i="86" s="1"/>
  <c r="W246" i="86"/>
  <c r="V246" i="86"/>
  <c r="U246" i="86"/>
  <c r="T246" i="86"/>
  <c r="S246" i="86"/>
  <c r="R246" i="86"/>
  <c r="Q246" i="86"/>
  <c r="P246" i="86"/>
  <c r="O246" i="86"/>
  <c r="N246" i="86"/>
  <c r="M246" i="86"/>
  <c r="L246" i="86"/>
  <c r="J246" i="86"/>
  <c r="I245" i="86"/>
  <c r="K245" i="86" s="1"/>
  <c r="I244" i="86"/>
  <c r="K244" i="86" s="1"/>
  <c r="W243" i="86"/>
  <c r="V243" i="86"/>
  <c r="U243" i="86"/>
  <c r="T243" i="86"/>
  <c r="S243" i="86"/>
  <c r="R243" i="86"/>
  <c r="Q243" i="86"/>
  <c r="P243" i="86"/>
  <c r="O243" i="86"/>
  <c r="N243" i="86"/>
  <c r="M243" i="86"/>
  <c r="L243" i="86"/>
  <c r="J243" i="86"/>
  <c r="I242" i="86"/>
  <c r="K242" i="86" s="1"/>
  <c r="K241" i="86"/>
  <c r="I241" i="86"/>
  <c r="I240" i="86"/>
  <c r="K240" i="86" s="1"/>
  <c r="I239" i="86"/>
  <c r="K239" i="86" s="1"/>
  <c r="I238" i="86"/>
  <c r="K238" i="86" s="1"/>
  <c r="I237" i="86"/>
  <c r="K237" i="86" s="1"/>
  <c r="I236" i="86"/>
  <c r="K236" i="86" s="1"/>
  <c r="I235" i="86"/>
  <c r="K235" i="86" s="1"/>
  <c r="I234" i="86"/>
  <c r="K234" i="86" s="1"/>
  <c r="I233" i="86"/>
  <c r="K233" i="86" s="1"/>
  <c r="I232" i="86"/>
  <c r="K232" i="86" s="1"/>
  <c r="I231" i="86"/>
  <c r="K231" i="86" s="1"/>
  <c r="W230" i="86"/>
  <c r="V230" i="86"/>
  <c r="U230" i="86"/>
  <c r="T230" i="86"/>
  <c r="S230" i="86"/>
  <c r="R230" i="86"/>
  <c r="Q230" i="86"/>
  <c r="P230" i="86"/>
  <c r="O230" i="86"/>
  <c r="N230" i="86"/>
  <c r="M230" i="86"/>
  <c r="L230" i="86"/>
  <c r="J230" i="86"/>
  <c r="I229" i="86"/>
  <c r="K229" i="86" s="1"/>
  <c r="I228" i="86"/>
  <c r="K228" i="86" s="1"/>
  <c r="I227" i="86"/>
  <c r="W226" i="86"/>
  <c r="W225" i="86" s="1"/>
  <c r="W224" i="86" s="1"/>
  <c r="V226" i="86"/>
  <c r="U226" i="86"/>
  <c r="U225" i="86" s="1"/>
  <c r="U224" i="86" s="1"/>
  <c r="T226" i="86"/>
  <c r="S226" i="86"/>
  <c r="R226" i="86"/>
  <c r="Q226" i="86"/>
  <c r="Q225" i="86" s="1"/>
  <c r="Q224" i="86" s="1"/>
  <c r="P226" i="86"/>
  <c r="O226" i="86"/>
  <c r="N226" i="86"/>
  <c r="M226" i="86"/>
  <c r="M225" i="86" s="1"/>
  <c r="M224" i="86" s="1"/>
  <c r="L226" i="86"/>
  <c r="J226" i="86"/>
  <c r="V225" i="86"/>
  <c r="V224" i="86" s="1"/>
  <c r="N225" i="86"/>
  <c r="N224" i="86" s="1"/>
  <c r="I223" i="86"/>
  <c r="K223" i="86" s="1"/>
  <c r="I222" i="86"/>
  <c r="K222" i="86" s="1"/>
  <c r="I221" i="86"/>
  <c r="K221" i="86" s="1"/>
  <c r="I220" i="86"/>
  <c r="K220" i="86" s="1"/>
  <c r="I219" i="86"/>
  <c r="K219" i="86" s="1"/>
  <c r="I218" i="86"/>
  <c r="K218" i="86" s="1"/>
  <c r="I217" i="86"/>
  <c r="K217" i="86" s="1"/>
  <c r="I216" i="86"/>
  <c r="K216" i="86" s="1"/>
  <c r="I215" i="86"/>
  <c r="K215" i="86" s="1"/>
  <c r="I214" i="86"/>
  <c r="K214" i="86" s="1"/>
  <c r="W213" i="86"/>
  <c r="V213" i="86"/>
  <c r="U213" i="86"/>
  <c r="T213" i="86"/>
  <c r="S213" i="86"/>
  <c r="R213" i="86"/>
  <c r="Q213" i="86"/>
  <c r="P213" i="86"/>
  <c r="O213" i="86"/>
  <c r="N213" i="86"/>
  <c r="M213" i="86"/>
  <c r="L213" i="86"/>
  <c r="J213" i="86"/>
  <c r="I213" i="86"/>
  <c r="I212" i="86"/>
  <c r="K212" i="86" s="1"/>
  <c r="I211" i="86"/>
  <c r="K211" i="86" s="1"/>
  <c r="I210" i="86"/>
  <c r="K210" i="86" s="1"/>
  <c r="I209" i="86"/>
  <c r="K209" i="86" s="1"/>
  <c r="I208" i="86"/>
  <c r="K208" i="86" s="1"/>
  <c r="I207" i="86"/>
  <c r="K207" i="86" s="1"/>
  <c r="K206" i="86"/>
  <c r="I206" i="86"/>
  <c r="I205" i="86"/>
  <c r="K205" i="86" s="1"/>
  <c r="I204" i="86"/>
  <c r="K204" i="86" s="1"/>
  <c r="I203" i="86"/>
  <c r="K203" i="86" s="1"/>
  <c r="I202" i="86"/>
  <c r="K202" i="86" s="1"/>
  <c r="I201" i="86"/>
  <c r="I200" i="86"/>
  <c r="K200" i="86" s="1"/>
  <c r="W199" i="86"/>
  <c r="V199" i="86"/>
  <c r="U199" i="86"/>
  <c r="T199" i="86"/>
  <c r="S199" i="86"/>
  <c r="R199" i="86"/>
  <c r="Q199" i="86"/>
  <c r="P199" i="86"/>
  <c r="O199" i="86"/>
  <c r="N199" i="86"/>
  <c r="M199" i="86"/>
  <c r="L199" i="86"/>
  <c r="J199" i="86"/>
  <c r="I198" i="86"/>
  <c r="K198" i="86" s="1"/>
  <c r="K197" i="86"/>
  <c r="I197" i="86"/>
  <c r="W196" i="86"/>
  <c r="V196" i="86"/>
  <c r="U196" i="86"/>
  <c r="T196" i="86"/>
  <c r="S196" i="86"/>
  <c r="R196" i="86"/>
  <c r="Q196" i="86"/>
  <c r="P196" i="86"/>
  <c r="O196" i="86"/>
  <c r="N196" i="86"/>
  <c r="M196" i="86"/>
  <c r="L196" i="86"/>
  <c r="J196" i="86"/>
  <c r="I196" i="86"/>
  <c r="I195" i="86"/>
  <c r="K195" i="86" s="1"/>
  <c r="I194" i="86"/>
  <c r="K194" i="86" s="1"/>
  <c r="I193" i="86"/>
  <c r="K193" i="86" s="1"/>
  <c r="I192" i="86"/>
  <c r="K192" i="86" s="1"/>
  <c r="I191" i="86"/>
  <c r="K191" i="86" s="1"/>
  <c r="I190" i="86"/>
  <c r="K190" i="86" s="1"/>
  <c r="I189" i="86"/>
  <c r="K189" i="86" s="1"/>
  <c r="I188" i="86"/>
  <c r="K188" i="86" s="1"/>
  <c r="I187" i="86"/>
  <c r="K187" i="86" s="1"/>
  <c r="I186" i="86"/>
  <c r="W185" i="86"/>
  <c r="V185" i="86"/>
  <c r="U185" i="86"/>
  <c r="T185" i="86"/>
  <c r="S185" i="86"/>
  <c r="R185" i="86"/>
  <c r="Q185" i="86"/>
  <c r="P185" i="86"/>
  <c r="O185" i="86"/>
  <c r="N185" i="86"/>
  <c r="M185" i="86"/>
  <c r="L185" i="86"/>
  <c r="J185" i="86"/>
  <c r="I184" i="86"/>
  <c r="K184" i="86" s="1"/>
  <c r="I183" i="86"/>
  <c r="K183" i="86" s="1"/>
  <c r="I182" i="86"/>
  <c r="K182" i="86" s="1"/>
  <c r="I181" i="86"/>
  <c r="K181" i="86" s="1"/>
  <c r="I180" i="86"/>
  <c r="K180" i="86" s="1"/>
  <c r="I179" i="86"/>
  <c r="K179" i="86" s="1"/>
  <c r="I178" i="86"/>
  <c r="K178" i="86" s="1"/>
  <c r="I177" i="86"/>
  <c r="K177" i="86" s="1"/>
  <c r="I176" i="86"/>
  <c r="K176" i="86" s="1"/>
  <c r="I175" i="86"/>
  <c r="K175" i="86" s="1"/>
  <c r="W174" i="86"/>
  <c r="V174" i="86"/>
  <c r="U174" i="86"/>
  <c r="T174" i="86"/>
  <c r="S174" i="86"/>
  <c r="R174" i="86"/>
  <c r="Q174" i="86"/>
  <c r="P174" i="86"/>
  <c r="O174" i="86"/>
  <c r="N174" i="86"/>
  <c r="M174" i="86"/>
  <c r="L174" i="86"/>
  <c r="J174" i="86"/>
  <c r="I173" i="86"/>
  <c r="K173" i="86" s="1"/>
  <c r="I172" i="86"/>
  <c r="K172" i="86" s="1"/>
  <c r="I171" i="86"/>
  <c r="K171" i="86" s="1"/>
  <c r="I170" i="86"/>
  <c r="K170" i="86" s="1"/>
  <c r="I169" i="86"/>
  <c r="K169" i="86" s="1"/>
  <c r="I168" i="86"/>
  <c r="K168" i="86" s="1"/>
  <c r="I167" i="86"/>
  <c r="K167" i="86" s="1"/>
  <c r="I166" i="86"/>
  <c r="K166" i="86" s="1"/>
  <c r="I165" i="86"/>
  <c r="I164" i="86"/>
  <c r="K164" i="86" s="1"/>
  <c r="W163" i="86"/>
  <c r="V163" i="86"/>
  <c r="U163" i="86"/>
  <c r="T163" i="86"/>
  <c r="S163" i="86"/>
  <c r="R163" i="86"/>
  <c r="Q163" i="86"/>
  <c r="P163" i="86"/>
  <c r="O163" i="86"/>
  <c r="N163" i="86"/>
  <c r="M163" i="86"/>
  <c r="L163" i="86"/>
  <c r="J163" i="86"/>
  <c r="I162" i="86"/>
  <c r="K162" i="86" s="1"/>
  <c r="I160" i="86"/>
  <c r="K160" i="86" s="1"/>
  <c r="I159" i="86"/>
  <c r="K159" i="86" s="1"/>
  <c r="I158" i="86"/>
  <c r="K158" i="86" s="1"/>
  <c r="I157" i="86"/>
  <c r="K157" i="86" s="1"/>
  <c r="W156" i="86"/>
  <c r="V156" i="86"/>
  <c r="U156" i="86"/>
  <c r="T156" i="86"/>
  <c r="S156" i="86"/>
  <c r="R156" i="86"/>
  <c r="Q156" i="86"/>
  <c r="P156" i="86"/>
  <c r="O156" i="86"/>
  <c r="N156" i="86"/>
  <c r="M156" i="86"/>
  <c r="L156" i="86"/>
  <c r="J156" i="86"/>
  <c r="Q155" i="86"/>
  <c r="S156" i="66" s="1"/>
  <c r="I155" i="86"/>
  <c r="K155" i="86" s="1"/>
  <c r="I154" i="86"/>
  <c r="K154" i="86" s="1"/>
  <c r="I153" i="86"/>
  <c r="K153" i="86" s="1"/>
  <c r="I152" i="86"/>
  <c r="K152" i="86" s="1"/>
  <c r="I151" i="86"/>
  <c r="K151" i="86" s="1"/>
  <c r="I150" i="86"/>
  <c r="K150" i="86" s="1"/>
  <c r="Q149" i="86"/>
  <c r="S150" i="66" s="1"/>
  <c r="I149" i="86"/>
  <c r="W148" i="86"/>
  <c r="W146" i="86" s="1"/>
  <c r="V148" i="86"/>
  <c r="V146" i="86" s="1"/>
  <c r="U148" i="86"/>
  <c r="U146" i="86" s="1"/>
  <c r="T148" i="86"/>
  <c r="T146" i="86" s="1"/>
  <c r="S148" i="86"/>
  <c r="S146" i="86" s="1"/>
  <c r="R148" i="86"/>
  <c r="Q148" i="86"/>
  <c r="P148" i="86"/>
  <c r="P146" i="86" s="1"/>
  <c r="O148" i="86"/>
  <c r="O146" i="86" s="1"/>
  <c r="N148" i="86"/>
  <c r="N146" i="86" s="1"/>
  <c r="M148" i="86"/>
  <c r="M146" i="86" s="1"/>
  <c r="L148" i="86"/>
  <c r="L146" i="86" s="1"/>
  <c r="J148" i="86"/>
  <c r="J146" i="86" s="1"/>
  <c r="I147" i="86"/>
  <c r="K147" i="86" s="1"/>
  <c r="I144" i="86"/>
  <c r="K144" i="86" s="1"/>
  <c r="I143" i="86"/>
  <c r="K143" i="86" s="1"/>
  <c r="I142" i="86"/>
  <c r="K142" i="86" s="1"/>
  <c r="I141" i="86"/>
  <c r="K141" i="86" s="1"/>
  <c r="I140" i="86"/>
  <c r="K140" i="86" s="1"/>
  <c r="I139" i="86"/>
  <c r="K139" i="86" s="1"/>
  <c r="I138" i="86"/>
  <c r="K138" i="86" s="1"/>
  <c r="I137" i="86"/>
  <c r="K137" i="86" s="1"/>
  <c r="I136" i="86"/>
  <c r="K136" i="86" s="1"/>
  <c r="I135" i="86"/>
  <c r="K135" i="86" s="1"/>
  <c r="W134" i="86"/>
  <c r="V134" i="86"/>
  <c r="U134" i="86"/>
  <c r="T134" i="86"/>
  <c r="S134" i="86"/>
  <c r="R134" i="86"/>
  <c r="Q134" i="86"/>
  <c r="P134" i="86"/>
  <c r="O134" i="86"/>
  <c r="N134" i="86"/>
  <c r="M134" i="86"/>
  <c r="L134" i="86"/>
  <c r="J134" i="86"/>
  <c r="I133" i="86"/>
  <c r="K133" i="86" s="1"/>
  <c r="I132" i="86"/>
  <c r="K132" i="86" s="1"/>
  <c r="I131" i="86"/>
  <c r="K131" i="86" s="1"/>
  <c r="I130" i="86"/>
  <c r="K130" i="86" s="1"/>
  <c r="I129" i="86"/>
  <c r="K129" i="86" s="1"/>
  <c r="I128" i="86"/>
  <c r="K128" i="86" s="1"/>
  <c r="I127" i="86"/>
  <c r="K127" i="86" s="1"/>
  <c r="I126" i="86"/>
  <c r="K126" i="86" s="1"/>
  <c r="I125" i="86"/>
  <c r="K125" i="86" s="1"/>
  <c r="I124" i="86"/>
  <c r="K124" i="86" s="1"/>
  <c r="I123" i="86"/>
  <c r="K123" i="86" s="1"/>
  <c r="I122" i="86"/>
  <c r="K122" i="86" s="1"/>
  <c r="I121" i="86"/>
  <c r="K121" i="86" s="1"/>
  <c r="I120" i="86"/>
  <c r="K120" i="86" s="1"/>
  <c r="W119" i="86"/>
  <c r="V119" i="86"/>
  <c r="U119" i="86"/>
  <c r="T119" i="86"/>
  <c r="S119" i="86"/>
  <c r="R119" i="86"/>
  <c r="Q119" i="86"/>
  <c r="P119" i="86"/>
  <c r="O119" i="86"/>
  <c r="N119" i="86"/>
  <c r="M119" i="86"/>
  <c r="L119" i="86"/>
  <c r="J119" i="86"/>
  <c r="I118" i="86"/>
  <c r="K118" i="86" s="1"/>
  <c r="I117" i="86"/>
  <c r="K117" i="86" s="1"/>
  <c r="W116" i="86"/>
  <c r="V116" i="86"/>
  <c r="U116" i="86"/>
  <c r="T116" i="86"/>
  <c r="S116" i="86"/>
  <c r="R116" i="86"/>
  <c r="Q116" i="86"/>
  <c r="P116" i="86"/>
  <c r="O116" i="86"/>
  <c r="N116" i="86"/>
  <c r="M116" i="86"/>
  <c r="L116" i="86"/>
  <c r="J116" i="86"/>
  <c r="I115" i="86"/>
  <c r="K115" i="86" s="1"/>
  <c r="I114" i="86"/>
  <c r="K114" i="86" s="1"/>
  <c r="I113" i="86"/>
  <c r="K113" i="86" s="1"/>
  <c r="I112" i="86"/>
  <c r="K112" i="86" s="1"/>
  <c r="I111" i="86"/>
  <c r="K111" i="86" s="1"/>
  <c r="I110" i="86"/>
  <c r="K110" i="86" s="1"/>
  <c r="I109" i="86"/>
  <c r="K109" i="86" s="1"/>
  <c r="I108" i="86"/>
  <c r="K108" i="86" s="1"/>
  <c r="I107" i="86"/>
  <c r="K107" i="86" s="1"/>
  <c r="I106" i="86"/>
  <c r="W105" i="86"/>
  <c r="V105" i="86"/>
  <c r="U105" i="86"/>
  <c r="T105" i="86"/>
  <c r="S105" i="86"/>
  <c r="R105" i="86"/>
  <c r="Q105" i="86"/>
  <c r="P105" i="86"/>
  <c r="O105" i="86"/>
  <c r="N105" i="86"/>
  <c r="M105" i="86"/>
  <c r="L105" i="86"/>
  <c r="J105" i="86"/>
  <c r="I104" i="86"/>
  <c r="K104" i="86" s="1"/>
  <c r="I103" i="86"/>
  <c r="K103" i="86" s="1"/>
  <c r="I102" i="86"/>
  <c r="K102" i="86" s="1"/>
  <c r="I101" i="86"/>
  <c r="K101" i="86" s="1"/>
  <c r="I100" i="86"/>
  <c r="K100" i="86" s="1"/>
  <c r="I99" i="86"/>
  <c r="K99" i="86" s="1"/>
  <c r="I98" i="86"/>
  <c r="K98" i="86" s="1"/>
  <c r="I97" i="86"/>
  <c r="K97" i="86" s="1"/>
  <c r="I96" i="86"/>
  <c r="K96" i="86" s="1"/>
  <c r="I95" i="86"/>
  <c r="K95" i="86" s="1"/>
  <c r="W94" i="86"/>
  <c r="V94" i="86"/>
  <c r="U94" i="86"/>
  <c r="T94" i="86"/>
  <c r="S94" i="86"/>
  <c r="R94" i="86"/>
  <c r="Q94" i="86"/>
  <c r="P94" i="86"/>
  <c r="O94" i="86"/>
  <c r="N94" i="86"/>
  <c r="M94" i="86"/>
  <c r="L94" i="86"/>
  <c r="J94" i="86"/>
  <c r="I93" i="86"/>
  <c r="K93" i="86" s="1"/>
  <c r="I92" i="86"/>
  <c r="K92" i="86" s="1"/>
  <c r="I91" i="86"/>
  <c r="K91" i="86" s="1"/>
  <c r="I90" i="86"/>
  <c r="K90" i="86" s="1"/>
  <c r="I89" i="86"/>
  <c r="K89" i="86" s="1"/>
  <c r="I88" i="86"/>
  <c r="K88" i="86" s="1"/>
  <c r="I87" i="86"/>
  <c r="K87" i="86" s="1"/>
  <c r="I86" i="86"/>
  <c r="K86" i="86" s="1"/>
  <c r="I85" i="86"/>
  <c r="I84" i="86"/>
  <c r="K84" i="86" s="1"/>
  <c r="W83" i="86"/>
  <c r="V83" i="86"/>
  <c r="U83" i="86"/>
  <c r="T83" i="86"/>
  <c r="S83" i="86"/>
  <c r="R83" i="86"/>
  <c r="Q83" i="86"/>
  <c r="P83" i="86"/>
  <c r="O83" i="86"/>
  <c r="N83" i="86"/>
  <c r="M83" i="86"/>
  <c r="L83" i="86"/>
  <c r="J83" i="86"/>
  <c r="I82" i="86"/>
  <c r="K82" i="86" s="1"/>
  <c r="I81" i="86"/>
  <c r="K81" i="86" s="1"/>
  <c r="I80" i="86"/>
  <c r="K80" i="86" s="1"/>
  <c r="I79" i="86"/>
  <c r="K79" i="86" s="1"/>
  <c r="W78" i="86"/>
  <c r="V78" i="86"/>
  <c r="U78" i="86"/>
  <c r="T78" i="86"/>
  <c r="S78" i="86"/>
  <c r="R78" i="86"/>
  <c r="Q78" i="86"/>
  <c r="P78" i="86"/>
  <c r="O78" i="86"/>
  <c r="N78" i="86"/>
  <c r="M78" i="86"/>
  <c r="L78" i="86"/>
  <c r="J78" i="86"/>
  <c r="I78" i="86"/>
  <c r="I77" i="86"/>
  <c r="K77" i="86" s="1"/>
  <c r="I76" i="86"/>
  <c r="W75" i="86"/>
  <c r="V75" i="86"/>
  <c r="U75" i="86"/>
  <c r="T75" i="86"/>
  <c r="S75" i="86"/>
  <c r="R75" i="86"/>
  <c r="Q75" i="86"/>
  <c r="P75" i="86"/>
  <c r="O75" i="86"/>
  <c r="N75" i="86"/>
  <c r="M75" i="86"/>
  <c r="L75" i="86"/>
  <c r="J75" i="86"/>
  <c r="I73" i="86"/>
  <c r="K73" i="86" s="1"/>
  <c r="I72" i="86"/>
  <c r="K72" i="86" s="1"/>
  <c r="I71" i="86"/>
  <c r="I70" i="86"/>
  <c r="K70" i="86" s="1"/>
  <c r="W69" i="86"/>
  <c r="V69" i="86"/>
  <c r="U69" i="86"/>
  <c r="T69" i="86"/>
  <c r="S69" i="86"/>
  <c r="R69" i="86"/>
  <c r="Q69" i="86"/>
  <c r="P69" i="86"/>
  <c r="O69" i="86"/>
  <c r="N69" i="86"/>
  <c r="M69" i="86"/>
  <c r="L69" i="86"/>
  <c r="J69" i="86"/>
  <c r="J58" i="86" s="1"/>
  <c r="I68" i="86"/>
  <c r="K68" i="86" s="1"/>
  <c r="I67" i="86"/>
  <c r="I66" i="86"/>
  <c r="K66" i="86" s="1"/>
  <c r="W65" i="86"/>
  <c r="V65" i="86"/>
  <c r="V58" i="86" s="1"/>
  <c r="U65" i="86"/>
  <c r="U58" i="86" s="1"/>
  <c r="T65" i="86"/>
  <c r="T58" i="86" s="1"/>
  <c r="S65" i="86"/>
  <c r="R65" i="86"/>
  <c r="R58" i="86" s="1"/>
  <c r="Q65" i="86"/>
  <c r="P65" i="86"/>
  <c r="O65" i="86"/>
  <c r="N65" i="86"/>
  <c r="N58" i="86" s="1"/>
  <c r="M65" i="86"/>
  <c r="M58" i="86" s="1"/>
  <c r="L65" i="86"/>
  <c r="L58" i="86" s="1"/>
  <c r="J65" i="86"/>
  <c r="I64" i="86"/>
  <c r="K64" i="86" s="1"/>
  <c r="I63" i="86"/>
  <c r="K63" i="86" s="1"/>
  <c r="I62" i="86"/>
  <c r="K62" i="86" s="1"/>
  <c r="I61" i="86"/>
  <c r="K61" i="86" s="1"/>
  <c r="I60" i="86"/>
  <c r="I59" i="86"/>
  <c r="K59" i="86" s="1"/>
  <c r="Q58" i="86"/>
  <c r="P58" i="86"/>
  <c r="I57" i="86"/>
  <c r="K57" i="86" s="1"/>
  <c r="I56" i="86"/>
  <c r="K56" i="86" s="1"/>
  <c r="I55" i="86"/>
  <c r="K55" i="86" s="1"/>
  <c r="I54" i="86"/>
  <c r="K54" i="86" s="1"/>
  <c r="I53" i="86"/>
  <c r="K53" i="86" s="1"/>
  <c r="W52" i="86"/>
  <c r="V52" i="86"/>
  <c r="U52" i="86"/>
  <c r="T52" i="86"/>
  <c r="S52" i="86"/>
  <c r="R52" i="86"/>
  <c r="Q52" i="86"/>
  <c r="P52" i="86"/>
  <c r="O52" i="86"/>
  <c r="N52" i="86"/>
  <c r="M52" i="86"/>
  <c r="L52" i="86"/>
  <c r="J52" i="86"/>
  <c r="I51" i="86"/>
  <c r="K51" i="86" s="1"/>
  <c r="I50" i="86"/>
  <c r="K50" i="86" s="1"/>
  <c r="W49" i="86"/>
  <c r="V49" i="86"/>
  <c r="U49" i="86"/>
  <c r="T49" i="86"/>
  <c r="S49" i="86"/>
  <c r="R49" i="86"/>
  <c r="Q49" i="86"/>
  <c r="P49" i="86"/>
  <c r="O49" i="86"/>
  <c r="N49" i="86"/>
  <c r="M49" i="86"/>
  <c r="L49" i="86"/>
  <c r="J49" i="86"/>
  <c r="I48" i="86"/>
  <c r="K48" i="86" s="1"/>
  <c r="I47" i="86"/>
  <c r="K47" i="86" s="1"/>
  <c r="I46" i="86"/>
  <c r="K46" i="86" s="1"/>
  <c r="I45" i="86"/>
  <c r="K45" i="86" s="1"/>
  <c r="W44" i="86"/>
  <c r="W39" i="86" s="1"/>
  <c r="V44" i="86"/>
  <c r="U44" i="86"/>
  <c r="U39" i="86" s="1"/>
  <c r="T44" i="86"/>
  <c r="T39" i="86" s="1"/>
  <c r="S44" i="86"/>
  <c r="S39" i="86" s="1"/>
  <c r="R44" i="86"/>
  <c r="R39" i="86" s="1"/>
  <c r="Q44" i="86"/>
  <c r="Q39" i="86" s="1"/>
  <c r="P44" i="86"/>
  <c r="P39" i="86" s="1"/>
  <c r="O44" i="86"/>
  <c r="O39" i="86" s="1"/>
  <c r="N44" i="86"/>
  <c r="M44" i="86"/>
  <c r="M39" i="86" s="1"/>
  <c r="L44" i="86"/>
  <c r="J44" i="86"/>
  <c r="I43" i="86"/>
  <c r="K43" i="86" s="1"/>
  <c r="I42" i="86"/>
  <c r="K42" i="86" s="1"/>
  <c r="I41" i="86"/>
  <c r="I40" i="86"/>
  <c r="K40" i="86" s="1"/>
  <c r="V39" i="86"/>
  <c r="N39" i="86"/>
  <c r="J39" i="86"/>
  <c r="I38" i="86"/>
  <c r="K38" i="86" s="1"/>
  <c r="I37" i="86"/>
  <c r="I36" i="86" s="1"/>
  <c r="K36" i="86" s="1"/>
  <c r="W36" i="86"/>
  <c r="V36" i="86"/>
  <c r="U36" i="86"/>
  <c r="T36" i="86"/>
  <c r="S36" i="86"/>
  <c r="R36" i="86"/>
  <c r="Q36" i="86"/>
  <c r="P36" i="86"/>
  <c r="O36" i="86"/>
  <c r="N36" i="86"/>
  <c r="M36" i="86"/>
  <c r="L36" i="86"/>
  <c r="J36" i="86"/>
  <c r="I35" i="86"/>
  <c r="K35" i="86" s="1"/>
  <c r="I34" i="86"/>
  <c r="I33" i="86"/>
  <c r="K33" i="86" s="1"/>
  <c r="W32" i="86"/>
  <c r="V32" i="86"/>
  <c r="U32" i="86"/>
  <c r="T32" i="86"/>
  <c r="S32" i="86"/>
  <c r="R32" i="86"/>
  <c r="Q32" i="86"/>
  <c r="P32" i="86"/>
  <c r="O32" i="86"/>
  <c r="N32" i="86"/>
  <c r="M32" i="86"/>
  <c r="L32" i="86"/>
  <c r="J32" i="86"/>
  <c r="I30" i="86"/>
  <c r="K30" i="86" s="1"/>
  <c r="I29" i="86"/>
  <c r="K29" i="86" s="1"/>
  <c r="I28" i="86"/>
  <c r="K28" i="86" s="1"/>
  <c r="I27" i="86"/>
  <c r="K27" i="86" s="1"/>
  <c r="I26" i="86"/>
  <c r="K26" i="86" s="1"/>
  <c r="I25" i="86"/>
  <c r="I24" i="86"/>
  <c r="K24" i="86" s="1"/>
  <c r="W23" i="86"/>
  <c r="V23" i="86"/>
  <c r="U23" i="86"/>
  <c r="T23" i="86"/>
  <c r="S23" i="86"/>
  <c r="R23" i="86"/>
  <c r="Q23" i="86"/>
  <c r="P23" i="86"/>
  <c r="O23" i="86"/>
  <c r="N23" i="86"/>
  <c r="M23" i="86"/>
  <c r="L23" i="86"/>
  <c r="J23" i="86"/>
  <c r="I22" i="86"/>
  <c r="K22" i="86" s="1"/>
  <c r="I21" i="86"/>
  <c r="K21" i="86" s="1"/>
  <c r="I20" i="86"/>
  <c r="K20" i="86" s="1"/>
  <c r="W19" i="86"/>
  <c r="V19" i="86"/>
  <c r="V4" i="86" s="1"/>
  <c r="U19" i="86"/>
  <c r="T19" i="86"/>
  <c r="S19" i="86"/>
  <c r="R19" i="86"/>
  <c r="Q19" i="86"/>
  <c r="P19" i="86"/>
  <c r="O19" i="86"/>
  <c r="N19" i="86"/>
  <c r="N4" i="86" s="1"/>
  <c r="M19" i="86"/>
  <c r="L19" i="86"/>
  <c r="J19" i="86"/>
  <c r="I18" i="86"/>
  <c r="K18" i="86" s="1"/>
  <c r="I17" i="86"/>
  <c r="K17" i="86" s="1"/>
  <c r="I16" i="86"/>
  <c r="K16" i="86" s="1"/>
  <c r="I15" i="86"/>
  <c r="K15" i="86" s="1"/>
  <c r="I14" i="86"/>
  <c r="K14" i="86" s="1"/>
  <c r="I13" i="86"/>
  <c r="K13" i="86" s="1"/>
  <c r="I12" i="86"/>
  <c r="K12" i="86" s="1"/>
  <c r="I11" i="86"/>
  <c r="K11" i="86" s="1"/>
  <c r="I10" i="86"/>
  <c r="K10" i="86" s="1"/>
  <c r="I9" i="86"/>
  <c r="K9" i="86" s="1"/>
  <c r="I8" i="86"/>
  <c r="K8" i="86" s="1"/>
  <c r="I7" i="86"/>
  <c r="K7" i="86" s="1"/>
  <c r="I6" i="86"/>
  <c r="W5" i="86"/>
  <c r="V5" i="86"/>
  <c r="U5" i="86"/>
  <c r="T5" i="86"/>
  <c r="S5" i="86"/>
  <c r="R5" i="86"/>
  <c r="Q5" i="86"/>
  <c r="P5" i="86"/>
  <c r="O5" i="86"/>
  <c r="N5" i="86"/>
  <c r="M5" i="86"/>
  <c r="L5" i="86"/>
  <c r="J5" i="86"/>
  <c r="O4" i="86"/>
  <c r="O74" i="86" l="1"/>
  <c r="I94" i="86"/>
  <c r="K94" i="86" s="1"/>
  <c r="J225" i="86"/>
  <c r="J224" i="86" s="1"/>
  <c r="K37" i="86"/>
  <c r="Q31" i="86"/>
  <c r="I65" i="86"/>
  <c r="K65" i="86" s="1"/>
  <c r="Q146" i="86"/>
  <c r="W161" i="86"/>
  <c r="J4" i="86"/>
  <c r="S4" i="86"/>
  <c r="S254" i="86" s="1"/>
  <c r="W4" i="86"/>
  <c r="I116" i="86"/>
  <c r="K116" i="86" s="1"/>
  <c r="R225" i="86"/>
  <c r="R224" i="86" s="1"/>
  <c r="R146" i="86"/>
  <c r="K149" i="86"/>
  <c r="I148" i="86"/>
  <c r="L4" i="86"/>
  <c r="P4" i="86"/>
  <c r="T4" i="86"/>
  <c r="M4" i="86"/>
  <c r="Q4" i="86"/>
  <c r="U4" i="86"/>
  <c r="R4" i="86"/>
  <c r="I174" i="86"/>
  <c r="K174" i="86" s="1"/>
  <c r="K213" i="86"/>
  <c r="O225" i="86"/>
  <c r="O224" i="86" s="1"/>
  <c r="S225" i="86"/>
  <c r="S224" i="86" s="1"/>
  <c r="I246" i="86"/>
  <c r="K246" i="86" s="1"/>
  <c r="J161" i="86"/>
  <c r="L161" i="86"/>
  <c r="P161" i="86"/>
  <c r="T161" i="86"/>
  <c r="O161" i="86"/>
  <c r="S161" i="86"/>
  <c r="K196" i="86"/>
  <c r="L225" i="86"/>
  <c r="L224" i="86" s="1"/>
  <c r="P225" i="86"/>
  <c r="P224" i="86" s="1"/>
  <c r="T225" i="86"/>
  <c r="T224" i="86" s="1"/>
  <c r="I230" i="86"/>
  <c r="K230" i="86" s="1"/>
  <c r="K78" i="86"/>
  <c r="I134" i="86"/>
  <c r="K134" i="86" s="1"/>
  <c r="N74" i="86"/>
  <c r="R74" i="86"/>
  <c r="V74" i="86"/>
  <c r="S74" i="86"/>
  <c r="W74" i="86"/>
  <c r="O58" i="86"/>
  <c r="S58" i="86"/>
  <c r="W58" i="86"/>
  <c r="K67" i="86"/>
  <c r="I52" i="86"/>
  <c r="K52" i="86" s="1"/>
  <c r="U31" i="86"/>
  <c r="M31" i="86"/>
  <c r="J31" i="86"/>
  <c r="O31" i="86"/>
  <c r="S31" i="86"/>
  <c r="W31" i="86"/>
  <c r="I44" i="86"/>
  <c r="K44" i="86" s="1"/>
  <c r="I49" i="86"/>
  <c r="K49" i="86" s="1"/>
  <c r="N31" i="86"/>
  <c r="R31" i="86"/>
  <c r="V31" i="86"/>
  <c r="I32" i="86"/>
  <c r="P31" i="86"/>
  <c r="T31" i="86"/>
  <c r="I23" i="86"/>
  <c r="K23" i="86" s="1"/>
  <c r="I5" i="86"/>
  <c r="K5" i="86" s="1"/>
  <c r="K106" i="86"/>
  <c r="I105" i="86"/>
  <c r="K105" i="86" s="1"/>
  <c r="K6" i="86"/>
  <c r="K34" i="86"/>
  <c r="K41" i="86"/>
  <c r="P74" i="86"/>
  <c r="K76" i="86"/>
  <c r="I75" i="86"/>
  <c r="I199" i="86"/>
  <c r="K199" i="86" s="1"/>
  <c r="K201" i="86"/>
  <c r="K25" i="86"/>
  <c r="I69" i="86"/>
  <c r="K69" i="86" s="1"/>
  <c r="K71" i="86"/>
  <c r="L74" i="86"/>
  <c r="T74" i="86"/>
  <c r="I163" i="86"/>
  <c r="K165" i="86"/>
  <c r="I19" i="86"/>
  <c r="K19" i="86" s="1"/>
  <c r="L39" i="86"/>
  <c r="L31" i="86" s="1"/>
  <c r="M74" i="86"/>
  <c r="Q74" i="86"/>
  <c r="U74" i="86"/>
  <c r="N161" i="86"/>
  <c r="R161" i="86"/>
  <c r="V161" i="86"/>
  <c r="K186" i="86"/>
  <c r="I185" i="86"/>
  <c r="K185" i="86" s="1"/>
  <c r="J74" i="86"/>
  <c r="N254" i="86"/>
  <c r="K60" i="86"/>
  <c r="I83" i="86"/>
  <c r="K83" i="86" s="1"/>
  <c r="K85" i="86"/>
  <c r="M161" i="86"/>
  <c r="Q161" i="86"/>
  <c r="U161" i="86"/>
  <c r="K227" i="86"/>
  <c r="I226" i="86"/>
  <c r="I243" i="86"/>
  <c r="K243" i="86" s="1"/>
  <c r="I119" i="86"/>
  <c r="K119" i="86" s="1"/>
  <c r="I146" i="86"/>
  <c r="K146" i="86" s="1"/>
  <c r="I156" i="86"/>
  <c r="K156" i="86" s="1"/>
  <c r="J73" i="83"/>
  <c r="L73" i="83" s="1"/>
  <c r="O73" i="83" s="1"/>
  <c r="O71" i="83" s="1"/>
  <c r="J72" i="83"/>
  <c r="L72" i="83" s="1"/>
  <c r="N72" i="83" s="1"/>
  <c r="N71" i="83" s="1"/>
  <c r="AA71" i="83"/>
  <c r="X71" i="83"/>
  <c r="Y71" i="83"/>
  <c r="Z71" i="83"/>
  <c r="W71" i="83"/>
  <c r="V71" i="83"/>
  <c r="P71" i="83"/>
  <c r="Q71" i="83"/>
  <c r="R71" i="83"/>
  <c r="S71" i="83"/>
  <c r="T71" i="83"/>
  <c r="U71" i="83"/>
  <c r="J254" i="86" l="1"/>
  <c r="O254" i="86"/>
  <c r="U254" i="86"/>
  <c r="W254" i="86"/>
  <c r="K148" i="86"/>
  <c r="P254" i="86"/>
  <c r="M254" i="86"/>
  <c r="Q254" i="86"/>
  <c r="V254" i="86"/>
  <c r="L254" i="86"/>
  <c r="T254" i="86"/>
  <c r="R254" i="86"/>
  <c r="I58" i="86"/>
  <c r="K58" i="86" s="1"/>
  <c r="I39" i="86"/>
  <c r="K39" i="86" s="1"/>
  <c r="K32" i="86"/>
  <c r="K226" i="86"/>
  <c r="I225" i="86"/>
  <c r="I161" i="86"/>
  <c r="K161" i="86" s="1"/>
  <c r="N9" i="39" s="1"/>
  <c r="K163" i="86"/>
  <c r="I4" i="86"/>
  <c r="K75" i="86"/>
  <c r="I74" i="86"/>
  <c r="K74" i="86" s="1"/>
  <c r="F17" i="69"/>
  <c r="F13" i="69"/>
  <c r="F12" i="69"/>
  <c r="F11" i="69"/>
  <c r="F9" i="69"/>
  <c r="F7" i="69"/>
  <c r="F6" i="69"/>
  <c r="F5" i="69"/>
  <c r="F10" i="69" l="1"/>
  <c r="F14" i="69"/>
  <c r="I31" i="86"/>
  <c r="K31" i="86" s="1"/>
  <c r="I224" i="86"/>
  <c r="K224" i="86" s="1"/>
  <c r="K225" i="86"/>
  <c r="K4" i="86"/>
  <c r="N8" i="39" s="1"/>
  <c r="N11" i="39" s="1"/>
  <c r="N12" i="39" s="1"/>
  <c r="Y86" i="68"/>
  <c r="J86" i="68" s="1"/>
  <c r="I254" i="86" l="1"/>
  <c r="K254" i="86" s="1"/>
  <c r="F15" i="69"/>
  <c r="F18" i="69" s="1"/>
  <c r="F23" i="69"/>
  <c r="S199" i="80"/>
  <c r="S194" i="80"/>
  <c r="Z39" i="80" l="1"/>
  <c r="L80" i="66" l="1"/>
  <c r="AB128" i="68"/>
  <c r="AB127" i="68"/>
  <c r="R211" i="80"/>
  <c r="R205" i="80"/>
  <c r="X71" i="80" l="1"/>
  <c r="X70" i="80"/>
  <c r="V43" i="82"/>
  <c r="P181" i="78" l="1"/>
  <c r="N10" i="69" l="1"/>
  <c r="N15" i="69" s="1"/>
  <c r="N23" i="69" s="1"/>
  <c r="E17" i="69"/>
  <c r="E18" i="69" s="1"/>
  <c r="E10" i="69"/>
  <c r="Q211" i="80" l="1"/>
  <c r="Q205" i="80"/>
  <c r="AB85" i="68"/>
  <c r="J85" i="68" s="1"/>
  <c r="Q209" i="80" l="1"/>
  <c r="Q203" i="80"/>
  <c r="R209" i="80"/>
  <c r="S209" i="80"/>
  <c r="T209" i="80"/>
  <c r="U209" i="80"/>
  <c r="P209" i="80"/>
  <c r="J46" i="84"/>
  <c r="J47" i="84"/>
  <c r="J48" i="84"/>
  <c r="J49" i="84"/>
  <c r="J51" i="84"/>
  <c r="J52" i="84"/>
  <c r="J54" i="84"/>
  <c r="J55" i="84"/>
  <c r="J56" i="84"/>
  <c r="J57" i="84"/>
  <c r="J58" i="84"/>
  <c r="P203" i="80"/>
  <c r="J88" i="80"/>
  <c r="L88" i="80" s="1"/>
  <c r="M88" i="80" s="1"/>
  <c r="M87" i="80" s="1"/>
  <c r="J89" i="80"/>
  <c r="L89" i="80" s="1"/>
  <c r="N89" i="80" s="1"/>
  <c r="N87" i="80" s="1"/>
  <c r="Y87" i="80"/>
  <c r="Z87" i="80"/>
  <c r="X87" i="80"/>
  <c r="V87" i="80"/>
  <c r="W87" i="80"/>
  <c r="S87" i="80"/>
  <c r="T87" i="80"/>
  <c r="U87" i="80"/>
  <c r="P87" i="80"/>
  <c r="Q87" i="80"/>
  <c r="R87" i="80"/>
  <c r="O87" i="80"/>
  <c r="O80" i="80"/>
  <c r="J78" i="80"/>
  <c r="J79" i="80"/>
  <c r="J80" i="80"/>
  <c r="J81" i="80"/>
  <c r="L81" i="80" s="1"/>
  <c r="N81" i="80" s="1"/>
  <c r="M23" i="69" l="1"/>
  <c r="J44" i="84" l="1"/>
  <c r="L14" i="69"/>
  <c r="L10" i="69"/>
  <c r="C21" i="69"/>
  <c r="C17" i="69"/>
  <c r="C13" i="69"/>
  <c r="C12" i="69"/>
  <c r="C14" i="69" s="1"/>
  <c r="C9" i="69"/>
  <c r="C7" i="69"/>
  <c r="C6" i="69"/>
  <c r="C11" i="39"/>
  <c r="C7" i="39"/>
  <c r="C10" i="69" l="1"/>
  <c r="C15" i="69" s="1"/>
  <c r="C23" i="69" s="1"/>
  <c r="L15" i="69"/>
  <c r="C12" i="39"/>
  <c r="L23" i="69" l="1"/>
  <c r="C18" i="69"/>
  <c r="V209" i="80" l="1"/>
  <c r="U161" i="66" s="1"/>
  <c r="S203" i="80"/>
  <c r="Q181" i="78"/>
  <c r="T177" i="78"/>
  <c r="U177" i="78"/>
  <c r="T203" i="80"/>
  <c r="K17" i="68" l="1"/>
  <c r="O17" i="68" l="1"/>
  <c r="AF17" i="68"/>
  <c r="T252" i="68"/>
  <c r="J160" i="81" l="1"/>
  <c r="J173" i="78"/>
  <c r="J174" i="78"/>
  <c r="J172" i="78"/>
  <c r="L56" i="66" l="1"/>
  <c r="L57" i="66"/>
  <c r="L55" i="66"/>
  <c r="L230" i="66"/>
  <c r="R203" i="80"/>
  <c r="L173" i="78"/>
  <c r="J150" i="84"/>
  <c r="O211" i="80"/>
  <c r="O205" i="80"/>
  <c r="L174" i="78"/>
  <c r="K22" i="78" l="1"/>
  <c r="V21" i="78"/>
  <c r="W21" i="78"/>
  <c r="X21" i="78"/>
  <c r="K252" i="68" l="1"/>
  <c r="AF252" i="68" s="1"/>
  <c r="U203" i="80"/>
  <c r="V203" i="80" l="1"/>
  <c r="U158" i="66" s="1"/>
  <c r="O209" i="80"/>
  <c r="O203" i="80"/>
  <c r="Y5" i="39" l="1"/>
  <c r="Y4" i="39"/>
  <c r="Y3" i="39"/>
  <c r="L160" i="81" l="1"/>
  <c r="J165" i="81"/>
  <c r="L165" i="81" s="1"/>
  <c r="J164" i="81"/>
  <c r="L164" i="81" s="1"/>
  <c r="J159" i="81"/>
  <c r="L159" i="81" s="1"/>
  <c r="X163" i="81"/>
  <c r="X158" i="81"/>
  <c r="AB118" i="79"/>
  <c r="AC118" i="79"/>
  <c r="AD118" i="79"/>
  <c r="S118" i="79"/>
  <c r="AB83" i="68" l="1"/>
  <c r="K84" i="68" l="1"/>
  <c r="L228" i="66"/>
  <c r="L229" i="66"/>
  <c r="L232" i="66"/>
  <c r="L233" i="66"/>
  <c r="L234" i="66"/>
  <c r="L235" i="66"/>
  <c r="L236" i="66"/>
  <c r="L237" i="66"/>
  <c r="L238" i="66"/>
  <c r="L239" i="66"/>
  <c r="L163" i="66"/>
  <c r="L165" i="66"/>
  <c r="L166" i="66"/>
  <c r="L167" i="66"/>
  <c r="L168" i="66"/>
  <c r="L169" i="66"/>
  <c r="L170" i="66"/>
  <c r="L171" i="66"/>
  <c r="L172" i="66"/>
  <c r="L173" i="66"/>
  <c r="L174" i="66"/>
  <c r="L176" i="66"/>
  <c r="L177" i="66"/>
  <c r="L178" i="66"/>
  <c r="L179" i="66"/>
  <c r="L180" i="66"/>
  <c r="L181" i="66"/>
  <c r="L182" i="66"/>
  <c r="L183" i="66"/>
  <c r="L184" i="66"/>
  <c r="L185" i="66"/>
  <c r="L187" i="66"/>
  <c r="L188" i="66"/>
  <c r="L189" i="66"/>
  <c r="L190" i="66"/>
  <c r="L191" i="66"/>
  <c r="L192" i="66"/>
  <c r="L193" i="66"/>
  <c r="L194" i="66"/>
  <c r="L195" i="66"/>
  <c r="L196" i="66"/>
  <c r="L198" i="66"/>
  <c r="L199" i="66"/>
  <c r="L201" i="66"/>
  <c r="L202" i="66"/>
  <c r="L203" i="66"/>
  <c r="L204" i="66"/>
  <c r="L205" i="66"/>
  <c r="L206" i="66"/>
  <c r="L207" i="66"/>
  <c r="L208" i="66"/>
  <c r="L209" i="66"/>
  <c r="L210" i="66"/>
  <c r="L211" i="66"/>
  <c r="L212" i="66"/>
  <c r="L213" i="66"/>
  <c r="L215" i="66"/>
  <c r="L216" i="66"/>
  <c r="L217" i="66"/>
  <c r="L159" i="66"/>
  <c r="L160" i="66"/>
  <c r="L148" i="66"/>
  <c r="L151" i="66"/>
  <c r="L152" i="66"/>
  <c r="L153" i="66"/>
  <c r="L154" i="66"/>
  <c r="L155" i="66"/>
  <c r="L136" i="66"/>
  <c r="L137" i="66"/>
  <c r="L77" i="66"/>
  <c r="L78" i="66"/>
  <c r="L81" i="66"/>
  <c r="L82" i="66"/>
  <c r="L83" i="66"/>
  <c r="L85" i="66"/>
  <c r="L86" i="66"/>
  <c r="L87" i="66"/>
  <c r="L88" i="66"/>
  <c r="L89" i="66"/>
  <c r="L90" i="66"/>
  <c r="L91" i="66"/>
  <c r="L92" i="66"/>
  <c r="L93" i="66"/>
  <c r="L94" i="66"/>
  <c r="L96" i="66"/>
  <c r="L97" i="66"/>
  <c r="L98" i="66"/>
  <c r="L99" i="66"/>
  <c r="L100" i="66"/>
  <c r="L101" i="66"/>
  <c r="L102" i="66"/>
  <c r="L103" i="66"/>
  <c r="L104" i="66"/>
  <c r="L105" i="66"/>
  <c r="L108" i="66"/>
  <c r="L109" i="66"/>
  <c r="L110" i="66"/>
  <c r="L111" i="66"/>
  <c r="L112" i="66"/>
  <c r="L72" i="66"/>
  <c r="L73" i="66"/>
  <c r="L74" i="66"/>
  <c r="L60" i="66"/>
  <c r="L61" i="66"/>
  <c r="L62" i="66"/>
  <c r="L63" i="66"/>
  <c r="L64" i="66"/>
  <c r="L65" i="66"/>
  <c r="L67" i="66"/>
  <c r="L68" i="66"/>
  <c r="L42" i="66"/>
  <c r="L46" i="66"/>
  <c r="L47" i="66"/>
  <c r="L39" i="66"/>
  <c r="L34" i="66"/>
  <c r="L21" i="66"/>
  <c r="L23" i="66"/>
  <c r="L19" i="66"/>
  <c r="L11" i="66"/>
  <c r="L12" i="66"/>
  <c r="L15" i="66"/>
  <c r="L16" i="66"/>
  <c r="L17" i="66"/>
  <c r="L18" i="66"/>
  <c r="L26" i="66"/>
  <c r="L27" i="66"/>
  <c r="L29" i="66"/>
  <c r="L30" i="66"/>
  <c r="L36" i="66"/>
  <c r="L51" i="66"/>
  <c r="L69" i="66"/>
  <c r="L115" i="66"/>
  <c r="L116" i="66"/>
  <c r="L118" i="66"/>
  <c r="L119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9" i="66"/>
  <c r="L140" i="66"/>
  <c r="L141" i="66"/>
  <c r="L142" i="66"/>
  <c r="L143" i="66"/>
  <c r="L144" i="66"/>
  <c r="L145" i="66"/>
  <c r="L218" i="66"/>
  <c r="L219" i="66"/>
  <c r="L220" i="66"/>
  <c r="L221" i="66"/>
  <c r="L222" i="66"/>
  <c r="L223" i="66"/>
  <c r="L224" i="66"/>
  <c r="L240" i="66"/>
  <c r="L241" i="66"/>
  <c r="L242" i="66"/>
  <c r="L243" i="66"/>
  <c r="L245" i="66"/>
  <c r="L246" i="66"/>
  <c r="L248" i="66"/>
  <c r="L249" i="66"/>
  <c r="L250" i="66"/>
  <c r="L251" i="66"/>
  <c r="L252" i="66"/>
  <c r="L253" i="66"/>
  <c r="L254" i="66"/>
  <c r="O84" i="68" l="1"/>
  <c r="AF84" i="68"/>
  <c r="AE7" i="68"/>
  <c r="V14" i="68"/>
  <c r="V7" i="68" s="1"/>
  <c r="W14" i="68"/>
  <c r="W7" i="68" s="1"/>
  <c r="X14" i="68"/>
  <c r="X7" i="68" s="1"/>
  <c r="Y14" i="68"/>
  <c r="Y7" i="68" s="1"/>
  <c r="Z14" i="68"/>
  <c r="Z7" i="68" s="1"/>
  <c r="AA14" i="68"/>
  <c r="AA7" i="68" s="1"/>
  <c r="AB14" i="68"/>
  <c r="AB7" i="68" s="1"/>
  <c r="AC14" i="68"/>
  <c r="AC7" i="68" s="1"/>
  <c r="AD14" i="68"/>
  <c r="AD7" i="68" s="1"/>
  <c r="U14" i="68"/>
  <c r="U7" i="68" s="1"/>
  <c r="Z38" i="80" l="1"/>
  <c r="X39" i="80"/>
  <c r="W39" i="80"/>
  <c r="S39" i="80"/>
  <c r="T39" i="80"/>
  <c r="U39" i="80"/>
  <c r="R39" i="80"/>
  <c r="P39" i="80"/>
  <c r="O9" i="80"/>
  <c r="O8" i="80"/>
  <c r="K28" i="78"/>
  <c r="P25" i="83"/>
  <c r="AA25" i="83" l="1"/>
  <c r="P49" i="83"/>
  <c r="S25" i="83" l="1"/>
  <c r="R25" i="83"/>
  <c r="T25" i="83"/>
  <c r="U25" i="83"/>
  <c r="V25" i="83"/>
  <c r="X25" i="83"/>
  <c r="Z25" i="83"/>
  <c r="Q25" i="83"/>
  <c r="AB117" i="79" l="1"/>
  <c r="AB115" i="79" s="1"/>
  <c r="S117" i="79"/>
  <c r="J76" i="79" l="1"/>
  <c r="L76" i="79" l="1"/>
  <c r="R76" i="79" l="1"/>
  <c r="Y209" i="80"/>
  <c r="X161" i="66" s="1"/>
  <c r="Z56" i="80"/>
  <c r="K157" i="84" l="1"/>
  <c r="K247" i="84"/>
  <c r="K244" i="84"/>
  <c r="K231" i="84"/>
  <c r="K227" i="84"/>
  <c r="K214" i="84"/>
  <c r="K200" i="84"/>
  <c r="K197" i="84"/>
  <c r="K186" i="84"/>
  <c r="K175" i="84"/>
  <c r="K164" i="84"/>
  <c r="K149" i="84"/>
  <c r="K147" i="84" s="1"/>
  <c r="K135" i="84"/>
  <c r="K120" i="84"/>
  <c r="K117" i="84"/>
  <c r="K106" i="84"/>
  <c r="K95" i="84"/>
  <c r="K84" i="84"/>
  <c r="K79" i="84"/>
  <c r="K76" i="84"/>
  <c r="K70" i="84"/>
  <c r="K66" i="84"/>
  <c r="K53" i="84"/>
  <c r="K50" i="84"/>
  <c r="K45" i="84"/>
  <c r="K40" i="84" s="1"/>
  <c r="K37" i="84"/>
  <c r="K33" i="84"/>
  <c r="K24" i="84"/>
  <c r="K20" i="84"/>
  <c r="K6" i="84"/>
  <c r="K5" i="84" s="1"/>
  <c r="J146" i="84"/>
  <c r="L146" i="84" s="1"/>
  <c r="J158" i="84"/>
  <c r="L158" i="84" s="1"/>
  <c r="J254" i="84"/>
  <c r="L254" i="84" s="1"/>
  <c r="J253" i="84"/>
  <c r="L253" i="84" s="1"/>
  <c r="J252" i="84"/>
  <c r="L252" i="84" s="1"/>
  <c r="J251" i="84"/>
  <c r="L251" i="84" s="1"/>
  <c r="J250" i="84"/>
  <c r="L250" i="84" s="1"/>
  <c r="J249" i="84"/>
  <c r="L249" i="84" s="1"/>
  <c r="J248" i="84"/>
  <c r="L248" i="84" s="1"/>
  <c r="J246" i="84"/>
  <c r="L246" i="84" s="1"/>
  <c r="J245" i="84"/>
  <c r="J243" i="84"/>
  <c r="L243" i="84" s="1"/>
  <c r="J242" i="84"/>
  <c r="L242" i="84" s="1"/>
  <c r="J241" i="84"/>
  <c r="L241" i="84" s="1"/>
  <c r="J240" i="84"/>
  <c r="L240" i="84" s="1"/>
  <c r="J239" i="84"/>
  <c r="L239" i="84" s="1"/>
  <c r="J238" i="84"/>
  <c r="L238" i="84" s="1"/>
  <c r="J237" i="84"/>
  <c r="L237" i="84" s="1"/>
  <c r="J236" i="84"/>
  <c r="L236" i="84" s="1"/>
  <c r="J235" i="84"/>
  <c r="L235" i="84" s="1"/>
  <c r="J234" i="84"/>
  <c r="L234" i="84" s="1"/>
  <c r="J233" i="84"/>
  <c r="L233" i="84" s="1"/>
  <c r="J232" i="84"/>
  <c r="L232" i="84" s="1"/>
  <c r="J230" i="84"/>
  <c r="L230" i="84" s="1"/>
  <c r="J229" i="84"/>
  <c r="L229" i="84" s="1"/>
  <c r="J228" i="84"/>
  <c r="L228" i="84" s="1"/>
  <c r="J224" i="84"/>
  <c r="L224" i="84" s="1"/>
  <c r="J223" i="84"/>
  <c r="L223" i="84" s="1"/>
  <c r="J222" i="84"/>
  <c r="L222" i="84" s="1"/>
  <c r="J221" i="84"/>
  <c r="L221" i="84" s="1"/>
  <c r="J220" i="84"/>
  <c r="L220" i="84" s="1"/>
  <c r="J219" i="84"/>
  <c r="L219" i="84" s="1"/>
  <c r="J218" i="84"/>
  <c r="L218" i="84" s="1"/>
  <c r="J217" i="84"/>
  <c r="L217" i="84" s="1"/>
  <c r="J216" i="84"/>
  <c r="L216" i="84" s="1"/>
  <c r="J215" i="84"/>
  <c r="L215" i="84" s="1"/>
  <c r="J213" i="84"/>
  <c r="L213" i="84" s="1"/>
  <c r="J212" i="84"/>
  <c r="L212" i="84" s="1"/>
  <c r="J211" i="84"/>
  <c r="L211" i="84" s="1"/>
  <c r="J210" i="84"/>
  <c r="L210" i="84" s="1"/>
  <c r="J209" i="84"/>
  <c r="L209" i="84" s="1"/>
  <c r="J208" i="84"/>
  <c r="L208" i="84" s="1"/>
  <c r="J207" i="84"/>
  <c r="L207" i="84" s="1"/>
  <c r="J206" i="84"/>
  <c r="L206" i="84" s="1"/>
  <c r="J205" i="84"/>
  <c r="L205" i="84" s="1"/>
  <c r="J204" i="84"/>
  <c r="L204" i="84" s="1"/>
  <c r="J203" i="84"/>
  <c r="L203" i="84" s="1"/>
  <c r="J202" i="84"/>
  <c r="L202" i="84" s="1"/>
  <c r="J201" i="84"/>
  <c r="J199" i="84"/>
  <c r="L199" i="84" s="1"/>
  <c r="J198" i="84"/>
  <c r="J196" i="84"/>
  <c r="L196" i="84" s="1"/>
  <c r="J195" i="84"/>
  <c r="L195" i="84" s="1"/>
  <c r="J194" i="84"/>
  <c r="L194" i="84" s="1"/>
  <c r="J193" i="84"/>
  <c r="L193" i="84" s="1"/>
  <c r="J192" i="84"/>
  <c r="L192" i="84" s="1"/>
  <c r="J191" i="84"/>
  <c r="L191" i="84" s="1"/>
  <c r="J190" i="84"/>
  <c r="L190" i="84" s="1"/>
  <c r="J189" i="84"/>
  <c r="L189" i="84" s="1"/>
  <c r="J188" i="84"/>
  <c r="J187" i="84"/>
  <c r="L187" i="84" s="1"/>
  <c r="J185" i="84"/>
  <c r="L185" i="84" s="1"/>
  <c r="J184" i="84"/>
  <c r="L184" i="84" s="1"/>
  <c r="J183" i="84"/>
  <c r="L183" i="84" s="1"/>
  <c r="J182" i="84"/>
  <c r="L182" i="84" s="1"/>
  <c r="J181" i="84"/>
  <c r="L181" i="84" s="1"/>
  <c r="J180" i="84"/>
  <c r="L180" i="84" s="1"/>
  <c r="J179" i="84"/>
  <c r="L179" i="84" s="1"/>
  <c r="J178" i="84"/>
  <c r="L178" i="84" s="1"/>
  <c r="J177" i="84"/>
  <c r="L177" i="84" s="1"/>
  <c r="J176" i="84"/>
  <c r="J174" i="84"/>
  <c r="L174" i="84" s="1"/>
  <c r="J173" i="84"/>
  <c r="L173" i="84" s="1"/>
  <c r="J172" i="84"/>
  <c r="L172" i="84" s="1"/>
  <c r="J171" i="84"/>
  <c r="L171" i="84" s="1"/>
  <c r="J170" i="84"/>
  <c r="L170" i="84" s="1"/>
  <c r="J169" i="84"/>
  <c r="L169" i="84" s="1"/>
  <c r="J168" i="84"/>
  <c r="L168" i="84" s="1"/>
  <c r="J167" i="84"/>
  <c r="L167" i="84" s="1"/>
  <c r="J166" i="84"/>
  <c r="L166" i="84" s="1"/>
  <c r="J165" i="84"/>
  <c r="L165" i="84" s="1"/>
  <c r="J163" i="84"/>
  <c r="L163" i="84" s="1"/>
  <c r="J161" i="84"/>
  <c r="L161" i="84" s="1"/>
  <c r="J160" i="84"/>
  <c r="L160" i="84" s="1"/>
  <c r="J159" i="84"/>
  <c r="L159" i="84" s="1"/>
  <c r="J156" i="84"/>
  <c r="L156" i="84" s="1"/>
  <c r="J155" i="84"/>
  <c r="L155" i="84" s="1"/>
  <c r="J154" i="84"/>
  <c r="L154" i="84" s="1"/>
  <c r="J153" i="84"/>
  <c r="L153" i="84" s="1"/>
  <c r="J152" i="84"/>
  <c r="L152" i="84" s="1"/>
  <c r="J151" i="84"/>
  <c r="L151" i="84" s="1"/>
  <c r="J148" i="84"/>
  <c r="L148" i="84" s="1"/>
  <c r="J145" i="84"/>
  <c r="L145" i="84" s="1"/>
  <c r="J144" i="84"/>
  <c r="L144" i="84" s="1"/>
  <c r="J143" i="84"/>
  <c r="L143" i="84" s="1"/>
  <c r="J142" i="84"/>
  <c r="L142" i="84" s="1"/>
  <c r="J141" i="84"/>
  <c r="L141" i="84" s="1"/>
  <c r="J140" i="84"/>
  <c r="L140" i="84" s="1"/>
  <c r="J139" i="84"/>
  <c r="L139" i="84" s="1"/>
  <c r="J138" i="84"/>
  <c r="L138" i="84" s="1"/>
  <c r="J137" i="84"/>
  <c r="L137" i="84" s="1"/>
  <c r="J136" i="84"/>
  <c r="L136" i="84" s="1"/>
  <c r="J134" i="84"/>
  <c r="L134" i="84" s="1"/>
  <c r="J133" i="84"/>
  <c r="L133" i="84" s="1"/>
  <c r="J132" i="84"/>
  <c r="L132" i="84" s="1"/>
  <c r="J131" i="84"/>
  <c r="L131" i="84" s="1"/>
  <c r="J130" i="84"/>
  <c r="L130" i="84" s="1"/>
  <c r="J129" i="84"/>
  <c r="L129" i="84" s="1"/>
  <c r="J128" i="84"/>
  <c r="L128" i="84" s="1"/>
  <c r="J127" i="84"/>
  <c r="L127" i="84" s="1"/>
  <c r="J126" i="84"/>
  <c r="L126" i="84" s="1"/>
  <c r="J125" i="84"/>
  <c r="L125" i="84" s="1"/>
  <c r="J124" i="84"/>
  <c r="L124" i="84" s="1"/>
  <c r="J123" i="84"/>
  <c r="L123" i="84" s="1"/>
  <c r="J122" i="84"/>
  <c r="L122" i="84" s="1"/>
  <c r="J121" i="84"/>
  <c r="J119" i="84"/>
  <c r="L119" i="84" s="1"/>
  <c r="J118" i="84"/>
  <c r="J116" i="84"/>
  <c r="L116" i="84" s="1"/>
  <c r="J115" i="84"/>
  <c r="L115" i="84" s="1"/>
  <c r="J114" i="84"/>
  <c r="L114" i="84" s="1"/>
  <c r="J113" i="84"/>
  <c r="L113" i="84" s="1"/>
  <c r="J112" i="84"/>
  <c r="L112" i="84" s="1"/>
  <c r="J111" i="84"/>
  <c r="L111" i="84" s="1"/>
  <c r="J110" i="84"/>
  <c r="L110" i="84" s="1"/>
  <c r="J109" i="84"/>
  <c r="L109" i="84" s="1"/>
  <c r="J108" i="84"/>
  <c r="J107" i="84"/>
  <c r="L107" i="84" s="1"/>
  <c r="J105" i="84"/>
  <c r="L105" i="84" s="1"/>
  <c r="J104" i="84"/>
  <c r="L104" i="84" s="1"/>
  <c r="J103" i="84"/>
  <c r="L103" i="84" s="1"/>
  <c r="J102" i="84"/>
  <c r="L102" i="84" s="1"/>
  <c r="J101" i="84"/>
  <c r="L101" i="84" s="1"/>
  <c r="J100" i="84"/>
  <c r="L100" i="84" s="1"/>
  <c r="J99" i="84"/>
  <c r="L99" i="84" s="1"/>
  <c r="J98" i="84"/>
  <c r="L98" i="84" s="1"/>
  <c r="J97" i="84"/>
  <c r="L97" i="84" s="1"/>
  <c r="J96" i="84"/>
  <c r="J94" i="84"/>
  <c r="L94" i="84" s="1"/>
  <c r="J93" i="84"/>
  <c r="L93" i="84" s="1"/>
  <c r="J92" i="84"/>
  <c r="L92" i="84" s="1"/>
  <c r="J91" i="84"/>
  <c r="L91" i="84" s="1"/>
  <c r="J90" i="84"/>
  <c r="L90" i="84" s="1"/>
  <c r="J89" i="84"/>
  <c r="L89" i="84" s="1"/>
  <c r="J88" i="84"/>
  <c r="L88" i="84" s="1"/>
  <c r="J87" i="84"/>
  <c r="J86" i="84"/>
  <c r="L86" i="84" s="1"/>
  <c r="J85" i="84"/>
  <c r="L85" i="84" s="1"/>
  <c r="J83" i="84"/>
  <c r="L83" i="84" s="1"/>
  <c r="J82" i="84"/>
  <c r="L82" i="84" s="1"/>
  <c r="J81" i="84"/>
  <c r="L81" i="84" s="1"/>
  <c r="J80" i="84"/>
  <c r="J78" i="84"/>
  <c r="J77" i="84"/>
  <c r="L77" i="84" s="1"/>
  <c r="J74" i="84"/>
  <c r="L74" i="84" s="1"/>
  <c r="J73" i="84"/>
  <c r="L73" i="84" s="1"/>
  <c r="J72" i="84"/>
  <c r="L72" i="84" s="1"/>
  <c r="J71" i="84"/>
  <c r="L71" i="84" s="1"/>
  <c r="J69" i="84"/>
  <c r="L69" i="84" s="1"/>
  <c r="J68" i="84"/>
  <c r="L68" i="84" s="1"/>
  <c r="J67" i="84"/>
  <c r="J65" i="84"/>
  <c r="L65" i="84" s="1"/>
  <c r="J64" i="84"/>
  <c r="L64" i="84" s="1"/>
  <c r="J63" i="84"/>
  <c r="L63" i="84" s="1"/>
  <c r="J62" i="84"/>
  <c r="L62" i="84" s="1"/>
  <c r="J61" i="84"/>
  <c r="L61" i="84" s="1"/>
  <c r="J60" i="84"/>
  <c r="L60" i="84" s="1"/>
  <c r="L58" i="84"/>
  <c r="L57" i="84"/>
  <c r="L56" i="84"/>
  <c r="L55" i="84"/>
  <c r="L54" i="84"/>
  <c r="L52" i="84"/>
  <c r="L51" i="84"/>
  <c r="L49" i="84"/>
  <c r="L48" i="84"/>
  <c r="L47" i="84"/>
  <c r="L46" i="84"/>
  <c r="L44" i="84"/>
  <c r="J43" i="84"/>
  <c r="L43" i="84" s="1"/>
  <c r="J42" i="84"/>
  <c r="L42" i="84" s="1"/>
  <c r="J41" i="84"/>
  <c r="L41" i="84" s="1"/>
  <c r="J39" i="84"/>
  <c r="L39" i="84" s="1"/>
  <c r="J38" i="84"/>
  <c r="J36" i="84"/>
  <c r="L36" i="84" s="1"/>
  <c r="J35" i="84"/>
  <c r="L35" i="84" s="1"/>
  <c r="J34" i="84"/>
  <c r="L34" i="84" s="1"/>
  <c r="J31" i="84"/>
  <c r="L31" i="84" s="1"/>
  <c r="J30" i="84"/>
  <c r="L30" i="84" s="1"/>
  <c r="J29" i="84"/>
  <c r="L29" i="84" s="1"/>
  <c r="J28" i="84"/>
  <c r="L28" i="84" s="1"/>
  <c r="J27" i="84"/>
  <c r="L27" i="84" s="1"/>
  <c r="J26" i="84"/>
  <c r="J25" i="84"/>
  <c r="L25" i="84" s="1"/>
  <c r="J23" i="84"/>
  <c r="L23" i="84" s="1"/>
  <c r="J22" i="84"/>
  <c r="J21" i="84"/>
  <c r="L21" i="84" s="1"/>
  <c r="J19" i="84"/>
  <c r="L19" i="84" s="1"/>
  <c r="J18" i="84"/>
  <c r="L18" i="84" s="1"/>
  <c r="J17" i="84"/>
  <c r="L17" i="84" s="1"/>
  <c r="J16" i="84"/>
  <c r="L16" i="84" s="1"/>
  <c r="J15" i="84"/>
  <c r="L15" i="84" s="1"/>
  <c r="J14" i="84"/>
  <c r="L14" i="84" s="1"/>
  <c r="J13" i="84"/>
  <c r="L13" i="84" s="1"/>
  <c r="J12" i="84"/>
  <c r="L12" i="84" s="1"/>
  <c r="J11" i="84"/>
  <c r="L11" i="84" s="1"/>
  <c r="J10" i="84"/>
  <c r="L10" i="84" s="1"/>
  <c r="J9" i="84"/>
  <c r="L9" i="84" s="1"/>
  <c r="J8" i="84"/>
  <c r="L8" i="84" s="1"/>
  <c r="J7" i="84"/>
  <c r="L7" i="84" s="1"/>
  <c r="J186" i="84" l="1"/>
  <c r="L186" i="84" s="1"/>
  <c r="J227" i="84"/>
  <c r="L227" i="84" s="1"/>
  <c r="J231" i="84"/>
  <c r="L231" i="84" s="1"/>
  <c r="J37" i="84"/>
  <c r="L37" i="84" s="1"/>
  <c r="J79" i="84"/>
  <c r="L79" i="84" s="1"/>
  <c r="J66" i="84"/>
  <c r="L66" i="84" s="1"/>
  <c r="J157" i="84"/>
  <c r="L157" i="84" s="1"/>
  <c r="J84" i="84"/>
  <c r="L84" i="84" s="1"/>
  <c r="K226" i="84"/>
  <c r="K225" i="84" s="1"/>
  <c r="L67" i="84"/>
  <c r="J6" i="84"/>
  <c r="L6" i="84" s="1"/>
  <c r="J24" i="84"/>
  <c r="L24" i="84" s="1"/>
  <c r="J70" i="84"/>
  <c r="L70" i="84" s="1"/>
  <c r="J175" i="84"/>
  <c r="L175" i="84" s="1"/>
  <c r="K59" i="84"/>
  <c r="K75" i="84"/>
  <c r="K162" i="84"/>
  <c r="L176" i="84"/>
  <c r="J95" i="84"/>
  <c r="L95" i="84" s="1"/>
  <c r="L96" i="84"/>
  <c r="L87" i="84"/>
  <c r="J120" i="84"/>
  <c r="L120" i="84" s="1"/>
  <c r="L121" i="84"/>
  <c r="J197" i="84"/>
  <c r="L197" i="84" s="1"/>
  <c r="L198" i="84"/>
  <c r="L80" i="84"/>
  <c r="L78" i="84"/>
  <c r="J76" i="84"/>
  <c r="L76" i="84" s="1"/>
  <c r="J200" i="84"/>
  <c r="L200" i="84" s="1"/>
  <c r="L201" i="84"/>
  <c r="J20" i="84"/>
  <c r="L20" i="84" s="1"/>
  <c r="L108" i="84"/>
  <c r="J106" i="84"/>
  <c r="L106" i="84" s="1"/>
  <c r="J149" i="84"/>
  <c r="L149" i="84" s="1"/>
  <c r="L150" i="84"/>
  <c r="J164" i="84"/>
  <c r="L164" i="84" s="1"/>
  <c r="J247" i="84"/>
  <c r="L247" i="84" s="1"/>
  <c r="L26" i="84"/>
  <c r="L188" i="84"/>
  <c r="J117" i="84"/>
  <c r="L117" i="84" s="1"/>
  <c r="L118" i="84"/>
  <c r="J214" i="84"/>
  <c r="L214" i="84" s="1"/>
  <c r="J244" i="84"/>
  <c r="L245" i="84"/>
  <c r="L22" i="84"/>
  <c r="L38" i="84"/>
  <c r="J33" i="84"/>
  <c r="J135" i="84"/>
  <c r="L135" i="84" s="1"/>
  <c r="K32" i="84"/>
  <c r="J147" i="84" l="1"/>
  <c r="L147" i="84" s="1"/>
  <c r="J59" i="84"/>
  <c r="L59" i="84" s="1"/>
  <c r="J162" i="84"/>
  <c r="L162" i="84" s="1"/>
  <c r="K255" i="84"/>
  <c r="J226" i="84"/>
  <c r="L244" i="84"/>
  <c r="J75" i="84"/>
  <c r="L75" i="84" s="1"/>
  <c r="L33" i="84"/>
  <c r="J5" i="84"/>
  <c r="L5" i="84" s="1"/>
  <c r="J9" i="39" l="1"/>
  <c r="J225" i="84"/>
  <c r="L225" i="84" s="1"/>
  <c r="J10" i="39" s="1"/>
  <c r="L226" i="84"/>
  <c r="AD164" i="79"/>
  <c r="AD162" i="79" s="1"/>
  <c r="J212" i="80" l="1"/>
  <c r="L212" i="80" s="1"/>
  <c r="N212" i="80" s="1"/>
  <c r="J206" i="80"/>
  <c r="L206" i="80" s="1"/>
  <c r="N206" i="80" s="1"/>
  <c r="J207" i="80"/>
  <c r="L207" i="80" s="1"/>
  <c r="N207" i="80" s="1"/>
  <c r="J208" i="80"/>
  <c r="L208" i="80" s="1"/>
  <c r="N208" i="80" s="1"/>
  <c r="X65" i="78"/>
  <c r="Z203" i="80"/>
  <c r="AC140" i="68" l="1"/>
  <c r="AE134" i="68"/>
  <c r="AD134" i="68"/>
  <c r="K135" i="68"/>
  <c r="AF135" i="68" s="1"/>
  <c r="K136" i="68"/>
  <c r="K48" i="68"/>
  <c r="O48" i="68" l="1"/>
  <c r="AF48" i="68"/>
  <c r="L136" i="68"/>
  <c r="AF136" i="68"/>
  <c r="W20" i="78"/>
  <c r="W25" i="78" s="1"/>
  <c r="Y43" i="80"/>
  <c r="Y49" i="80"/>
  <c r="Y48" i="80"/>
  <c r="AB47" i="68"/>
  <c r="AC75" i="79"/>
  <c r="V10" i="39"/>
  <c r="V8" i="39"/>
  <c r="J165" i="79"/>
  <c r="M134" i="68"/>
  <c r="N135" i="68"/>
  <c r="N134" i="68" s="1"/>
  <c r="L165" i="79" l="1"/>
  <c r="J211" i="80"/>
  <c r="Z209" i="80"/>
  <c r="Z202" i="80" s="1"/>
  <c r="Q165" i="79" l="1"/>
  <c r="K146" i="68"/>
  <c r="AF146" i="68" s="1"/>
  <c r="K144" i="68"/>
  <c r="AF144" i="68" s="1"/>
  <c r="K142" i="68"/>
  <c r="AF142" i="68" s="1"/>
  <c r="W73" i="78"/>
  <c r="Y143" i="68"/>
  <c r="J22" i="83" l="1"/>
  <c r="X209" i="80"/>
  <c r="X203" i="80"/>
  <c r="Y203" i="80"/>
  <c r="X158" i="66" s="1"/>
  <c r="J200" i="80"/>
  <c r="J195" i="80"/>
  <c r="J232" i="79" l="1"/>
  <c r="J82" i="79"/>
  <c r="K80" i="66" s="1"/>
  <c r="J43" i="82"/>
  <c r="J42" i="82"/>
  <c r="J126" i="79"/>
  <c r="L126" i="79" s="1"/>
  <c r="N126" i="79" s="1"/>
  <c r="J125" i="79"/>
  <c r="L125" i="79" s="1"/>
  <c r="K170" i="68"/>
  <c r="AF170" i="68" s="1"/>
  <c r="J41" i="82" l="1"/>
  <c r="K107" i="68"/>
  <c r="AF107" i="68" s="1"/>
  <c r="K172" i="68"/>
  <c r="AF172" i="68" s="1"/>
  <c r="K174" i="68"/>
  <c r="K173" i="68"/>
  <c r="U171" i="68"/>
  <c r="V171" i="68"/>
  <c r="W171" i="68"/>
  <c r="X171" i="68"/>
  <c r="Y171" i="68"/>
  <c r="Z171" i="68"/>
  <c r="AA171" i="68"/>
  <c r="AB171" i="68"/>
  <c r="AC171" i="68"/>
  <c r="AD171" i="68"/>
  <c r="AE171" i="68"/>
  <c r="T171" i="68"/>
  <c r="L170" i="68"/>
  <c r="P40" i="78"/>
  <c r="P171" i="68" l="1"/>
  <c r="P168" i="68" s="1"/>
  <c r="AF174" i="68"/>
  <c r="L174" i="68"/>
  <c r="L171" i="68" s="1"/>
  <c r="L173" i="68"/>
  <c r="AF173" i="68"/>
  <c r="L172" i="68"/>
  <c r="K171" i="68"/>
  <c r="AF171" i="68" s="1"/>
  <c r="L211" i="80"/>
  <c r="J210" i="80"/>
  <c r="L210" i="80" s="1"/>
  <c r="J205" i="80"/>
  <c r="L205" i="80" s="1"/>
  <c r="W209" i="80"/>
  <c r="J98" i="80"/>
  <c r="L98" i="80" s="1"/>
  <c r="M98" i="80" s="1"/>
  <c r="M97" i="80" s="1"/>
  <c r="J204" i="80"/>
  <c r="L204" i="80" s="1"/>
  <c r="Y199" i="80"/>
  <c r="Z199" i="80"/>
  <c r="Y156" i="66" s="1"/>
  <c r="Y194" i="80"/>
  <c r="Z194" i="80"/>
  <c r="J31" i="80"/>
  <c r="L31" i="80" s="1"/>
  <c r="N31" i="80" s="1"/>
  <c r="N29" i="80" s="1"/>
  <c r="J33" i="80"/>
  <c r="J34" i="80"/>
  <c r="J30" i="80"/>
  <c r="L30" i="80" s="1"/>
  <c r="M30" i="80" s="1"/>
  <c r="M29" i="80" s="1"/>
  <c r="W29" i="80"/>
  <c r="V22" i="80"/>
  <c r="O22" i="80"/>
  <c r="AA75" i="79"/>
  <c r="L168" i="68" l="1"/>
  <c r="J209" i="80"/>
  <c r="V161" i="66"/>
  <c r="M210" i="80"/>
  <c r="M209" i="80" s="1"/>
  <c r="L209" i="80"/>
  <c r="L203" i="80"/>
  <c r="N205" i="80"/>
  <c r="N203" i="80" s="1"/>
  <c r="J29" i="80"/>
  <c r="L29" i="80" s="1"/>
  <c r="W203" i="80"/>
  <c r="N211" i="80"/>
  <c r="N209" i="80" s="1"/>
  <c r="M204" i="80"/>
  <c r="M203" i="80" s="1"/>
  <c r="J269" i="79"/>
  <c r="L269" i="79" s="1"/>
  <c r="J268" i="79"/>
  <c r="L268" i="79" s="1"/>
  <c r="J267" i="79"/>
  <c r="L267" i="79" s="1"/>
  <c r="J266" i="79"/>
  <c r="L266" i="79" s="1"/>
  <c r="J265" i="79"/>
  <c r="L265" i="79" s="1"/>
  <c r="J264" i="79"/>
  <c r="J263" i="79"/>
  <c r="L263" i="79" s="1"/>
  <c r="AD262" i="79"/>
  <c r="AC262" i="79"/>
  <c r="AB262" i="79"/>
  <c r="AA262" i="79"/>
  <c r="Z262" i="79"/>
  <c r="Y262" i="79"/>
  <c r="X262" i="79"/>
  <c r="W262" i="79"/>
  <c r="V262" i="79"/>
  <c r="U262" i="79"/>
  <c r="T262" i="79"/>
  <c r="S262" i="79"/>
  <c r="R262" i="79"/>
  <c r="P262" i="79"/>
  <c r="O262" i="79"/>
  <c r="N262" i="79"/>
  <c r="M262" i="79"/>
  <c r="K262" i="79"/>
  <c r="J261" i="79"/>
  <c r="J260" i="79"/>
  <c r="L260" i="79" s="1"/>
  <c r="AD259" i="79"/>
  <c r="AC259" i="79"/>
  <c r="AB259" i="79"/>
  <c r="AA259" i="79"/>
  <c r="Z259" i="79"/>
  <c r="Y259" i="79"/>
  <c r="X259" i="79"/>
  <c r="W259" i="79"/>
  <c r="V259" i="79"/>
  <c r="U259" i="79"/>
  <c r="T259" i="79"/>
  <c r="S259" i="79"/>
  <c r="R259" i="79"/>
  <c r="P259" i="79"/>
  <c r="O259" i="79"/>
  <c r="N259" i="79"/>
  <c r="M259" i="79"/>
  <c r="K259" i="79"/>
  <c r="J258" i="79"/>
  <c r="L258" i="79" s="1"/>
  <c r="J257" i="79"/>
  <c r="L257" i="79" s="1"/>
  <c r="J256" i="79"/>
  <c r="L256" i="79" s="1"/>
  <c r="J255" i="79"/>
  <c r="L255" i="79" s="1"/>
  <c r="J254" i="79"/>
  <c r="L254" i="79" s="1"/>
  <c r="M254" i="79" s="1"/>
  <c r="J253" i="79"/>
  <c r="L253" i="79" s="1"/>
  <c r="J252" i="79"/>
  <c r="L252" i="79" s="1"/>
  <c r="J251" i="79"/>
  <c r="L251" i="79" s="1"/>
  <c r="J250" i="79"/>
  <c r="L250" i="79" s="1"/>
  <c r="J249" i="79"/>
  <c r="L249" i="79" s="1"/>
  <c r="J248" i="79"/>
  <c r="L248" i="79" s="1"/>
  <c r="J247" i="79"/>
  <c r="AD246" i="79"/>
  <c r="AC246" i="79"/>
  <c r="AB246" i="79"/>
  <c r="AA246" i="79"/>
  <c r="Z246" i="79"/>
  <c r="Y246" i="79"/>
  <c r="X246" i="79"/>
  <c r="W246" i="79"/>
  <c r="V246" i="79"/>
  <c r="U246" i="79"/>
  <c r="T246" i="79"/>
  <c r="S246" i="79"/>
  <c r="R246" i="79"/>
  <c r="P246" i="79"/>
  <c r="O246" i="79"/>
  <c r="N246" i="79"/>
  <c r="M246" i="79"/>
  <c r="K246" i="79"/>
  <c r="J245" i="79"/>
  <c r="L245" i="79" s="1"/>
  <c r="J244" i="79"/>
  <c r="J243" i="79"/>
  <c r="L243" i="79" s="1"/>
  <c r="AD242" i="79"/>
  <c r="AC242" i="79"/>
  <c r="AB242" i="79"/>
  <c r="AA242" i="79"/>
  <c r="Z242" i="79"/>
  <c r="Y242" i="79"/>
  <c r="X242" i="79"/>
  <c r="W242" i="79"/>
  <c r="V242" i="79"/>
  <c r="U242" i="79"/>
  <c r="T242" i="79"/>
  <c r="S242" i="79"/>
  <c r="R242" i="79"/>
  <c r="P242" i="79"/>
  <c r="O242" i="79"/>
  <c r="N242" i="79"/>
  <c r="M242" i="79"/>
  <c r="K242" i="79"/>
  <c r="J239" i="79"/>
  <c r="L239" i="79" s="1"/>
  <c r="J238" i="79"/>
  <c r="L238" i="79" s="1"/>
  <c r="J237" i="79"/>
  <c r="L237" i="79" s="1"/>
  <c r="J236" i="79"/>
  <c r="L236" i="79" s="1"/>
  <c r="J235" i="79"/>
  <c r="L235" i="79" s="1"/>
  <c r="J234" i="79"/>
  <c r="L234" i="79" s="1"/>
  <c r="J233" i="79"/>
  <c r="L233" i="79" s="1"/>
  <c r="L232" i="79"/>
  <c r="N232" i="79" s="1"/>
  <c r="N229" i="79" s="1"/>
  <c r="J231" i="79"/>
  <c r="J230" i="79"/>
  <c r="L230" i="79" s="1"/>
  <c r="AD229" i="79"/>
  <c r="AC229" i="79"/>
  <c r="AB229" i="79"/>
  <c r="AA229" i="79"/>
  <c r="Z229" i="79"/>
  <c r="Y229" i="79"/>
  <c r="X229" i="79"/>
  <c r="W229" i="79"/>
  <c r="V229" i="79"/>
  <c r="U229" i="79"/>
  <c r="T229" i="79"/>
  <c r="S229" i="79"/>
  <c r="R229" i="79"/>
  <c r="P229" i="79"/>
  <c r="O229" i="79"/>
  <c r="M229" i="79"/>
  <c r="K229" i="79"/>
  <c r="J228" i="79"/>
  <c r="L228" i="79" s="1"/>
  <c r="J227" i="79"/>
  <c r="L227" i="79" s="1"/>
  <c r="J226" i="79"/>
  <c r="L226" i="79" s="1"/>
  <c r="J225" i="79"/>
  <c r="L225" i="79" s="1"/>
  <c r="J224" i="79"/>
  <c r="L224" i="79" s="1"/>
  <c r="J223" i="79"/>
  <c r="L223" i="79" s="1"/>
  <c r="J222" i="79"/>
  <c r="L222" i="79" s="1"/>
  <c r="J221" i="79"/>
  <c r="L221" i="79" s="1"/>
  <c r="J220" i="79"/>
  <c r="L220" i="79" s="1"/>
  <c r="J219" i="79"/>
  <c r="L219" i="79" s="1"/>
  <c r="J218" i="79"/>
  <c r="L218" i="79" s="1"/>
  <c r="J217" i="79"/>
  <c r="L217" i="79" s="1"/>
  <c r="J216" i="79"/>
  <c r="L216" i="79" s="1"/>
  <c r="AD215" i="79"/>
  <c r="AC215" i="79"/>
  <c r="AB215" i="79"/>
  <c r="AA215" i="79"/>
  <c r="Z215" i="79"/>
  <c r="Y215" i="79"/>
  <c r="X215" i="79"/>
  <c r="W215" i="79"/>
  <c r="V215" i="79"/>
  <c r="U215" i="79"/>
  <c r="T215" i="79"/>
  <c r="S215" i="79"/>
  <c r="R215" i="79"/>
  <c r="P215" i="79"/>
  <c r="O215" i="79"/>
  <c r="N215" i="79"/>
  <c r="M215" i="79"/>
  <c r="K215" i="79"/>
  <c r="J214" i="79"/>
  <c r="L214" i="79" s="1"/>
  <c r="J213" i="79"/>
  <c r="L213" i="79" s="1"/>
  <c r="AD212" i="79"/>
  <c r="AC212" i="79"/>
  <c r="AB212" i="79"/>
  <c r="AA212" i="79"/>
  <c r="Z212" i="79"/>
  <c r="Y212" i="79"/>
  <c r="X212" i="79"/>
  <c r="W212" i="79"/>
  <c r="V212" i="79"/>
  <c r="U212" i="79"/>
  <c r="T212" i="79"/>
  <c r="S212" i="79"/>
  <c r="R212" i="79"/>
  <c r="P212" i="79"/>
  <c r="O212" i="79"/>
  <c r="N212" i="79"/>
  <c r="M212" i="79"/>
  <c r="K212" i="79"/>
  <c r="J211" i="79"/>
  <c r="L211" i="79" s="1"/>
  <c r="J210" i="79"/>
  <c r="L210" i="79" s="1"/>
  <c r="J209" i="79"/>
  <c r="L209" i="79" s="1"/>
  <c r="J208" i="79"/>
  <c r="L208" i="79" s="1"/>
  <c r="J207" i="79"/>
  <c r="L207" i="79" s="1"/>
  <c r="J206" i="79"/>
  <c r="L206" i="79" s="1"/>
  <c r="J205" i="79"/>
  <c r="L205" i="79" s="1"/>
  <c r="J204" i="79"/>
  <c r="L204" i="79" s="1"/>
  <c r="J203" i="79"/>
  <c r="L203" i="79" s="1"/>
  <c r="J202" i="79"/>
  <c r="L202" i="79" s="1"/>
  <c r="AD201" i="79"/>
  <c r="AC201" i="79"/>
  <c r="AB201" i="79"/>
  <c r="AA201" i="79"/>
  <c r="Z201" i="79"/>
  <c r="Y201" i="79"/>
  <c r="X201" i="79"/>
  <c r="W201" i="79"/>
  <c r="V201" i="79"/>
  <c r="U201" i="79"/>
  <c r="T201" i="79"/>
  <c r="S201" i="79"/>
  <c r="R201" i="79"/>
  <c r="P201" i="79"/>
  <c r="O201" i="79"/>
  <c r="N201" i="79"/>
  <c r="M201" i="79"/>
  <c r="K201" i="79"/>
  <c r="J200" i="79"/>
  <c r="L200" i="79" s="1"/>
  <c r="J199" i="79"/>
  <c r="L199" i="79" s="1"/>
  <c r="J198" i="79"/>
  <c r="L198" i="79" s="1"/>
  <c r="J197" i="79"/>
  <c r="L197" i="79" s="1"/>
  <c r="J196" i="79"/>
  <c r="L196" i="79" s="1"/>
  <c r="J195" i="79"/>
  <c r="L195" i="79" s="1"/>
  <c r="J194" i="79"/>
  <c r="L194" i="79" s="1"/>
  <c r="J193" i="79"/>
  <c r="L193" i="79" s="1"/>
  <c r="J192" i="79"/>
  <c r="L192" i="79" s="1"/>
  <c r="J191" i="79"/>
  <c r="L191" i="79" s="1"/>
  <c r="AD190" i="79"/>
  <c r="AC190" i="79"/>
  <c r="AB190" i="79"/>
  <c r="AA190" i="79"/>
  <c r="Z190" i="79"/>
  <c r="Y190" i="79"/>
  <c r="X190" i="79"/>
  <c r="W190" i="79"/>
  <c r="V190" i="79"/>
  <c r="U190" i="79"/>
  <c r="T190" i="79"/>
  <c r="S190" i="79"/>
  <c r="R190" i="79"/>
  <c r="P190" i="79"/>
  <c r="O190" i="79"/>
  <c r="N190" i="79"/>
  <c r="M190" i="79"/>
  <c r="K190" i="79"/>
  <c r="J189" i="79"/>
  <c r="L189" i="79" s="1"/>
  <c r="J188" i="79"/>
  <c r="L188" i="79" s="1"/>
  <c r="J187" i="79"/>
  <c r="L187" i="79" s="1"/>
  <c r="J186" i="79"/>
  <c r="L186" i="79" s="1"/>
  <c r="J185" i="79"/>
  <c r="L185" i="79" s="1"/>
  <c r="J184" i="79"/>
  <c r="L184" i="79" s="1"/>
  <c r="J183" i="79"/>
  <c r="L183" i="79" s="1"/>
  <c r="J182" i="79"/>
  <c r="J181" i="79"/>
  <c r="L181" i="79" s="1"/>
  <c r="J180" i="79"/>
  <c r="L180" i="79" s="1"/>
  <c r="AD179" i="79"/>
  <c r="AC179" i="79"/>
  <c r="AB179" i="79"/>
  <c r="AA179" i="79"/>
  <c r="Z179" i="79"/>
  <c r="Y179" i="79"/>
  <c r="X179" i="79"/>
  <c r="W179" i="79"/>
  <c r="V179" i="79"/>
  <c r="U179" i="79"/>
  <c r="T179" i="79"/>
  <c r="S179" i="79"/>
  <c r="R179" i="79"/>
  <c r="P179" i="79"/>
  <c r="O179" i="79"/>
  <c r="N179" i="79"/>
  <c r="M179" i="79"/>
  <c r="K179" i="79"/>
  <c r="J178" i="79"/>
  <c r="L178" i="79" s="1"/>
  <c r="J176" i="79"/>
  <c r="L176" i="79" s="1"/>
  <c r="J175" i="79"/>
  <c r="L175" i="79" s="1"/>
  <c r="J174" i="79"/>
  <c r="L174" i="79" s="1"/>
  <c r="J173" i="79"/>
  <c r="L173" i="79" s="1"/>
  <c r="AD172" i="79"/>
  <c r="AC172" i="79"/>
  <c r="AB172" i="79"/>
  <c r="AA172" i="79"/>
  <c r="Z172" i="79"/>
  <c r="Y172" i="79"/>
  <c r="X172" i="79"/>
  <c r="W172" i="79"/>
  <c r="V172" i="79"/>
  <c r="U172" i="79"/>
  <c r="T172" i="79"/>
  <c r="S172" i="79"/>
  <c r="R172" i="79"/>
  <c r="P172" i="79"/>
  <c r="O172" i="79"/>
  <c r="N172" i="79"/>
  <c r="M172" i="79"/>
  <c r="K172" i="79"/>
  <c r="J171" i="79"/>
  <c r="J170" i="79"/>
  <c r="J169" i="79"/>
  <c r="J168" i="79"/>
  <c r="J167" i="79"/>
  <c r="J166" i="79"/>
  <c r="AC164" i="79"/>
  <c r="AC162" i="79" s="1"/>
  <c r="AB164" i="79"/>
  <c r="AB162" i="79" s="1"/>
  <c r="AA164" i="79"/>
  <c r="AA162" i="79" s="1"/>
  <c r="Z164" i="79"/>
  <c r="Z162" i="79" s="1"/>
  <c r="Y164" i="79"/>
  <c r="Y162" i="79" s="1"/>
  <c r="X164" i="79"/>
  <c r="X162" i="79" s="1"/>
  <c r="W164" i="79"/>
  <c r="W162" i="79" s="1"/>
  <c r="V164" i="79"/>
  <c r="V162" i="79" s="1"/>
  <c r="U164" i="79"/>
  <c r="U162" i="79" s="1"/>
  <c r="T164" i="79"/>
  <c r="T162" i="79" s="1"/>
  <c r="S164" i="79"/>
  <c r="S162" i="79" s="1"/>
  <c r="R164" i="79"/>
  <c r="R162" i="79" s="1"/>
  <c r="P164" i="79"/>
  <c r="P162" i="79" s="1"/>
  <c r="O164" i="79"/>
  <c r="O162" i="79" s="1"/>
  <c r="N164" i="79"/>
  <c r="N162" i="79" s="1"/>
  <c r="M164" i="79"/>
  <c r="M162" i="79" s="1"/>
  <c r="K164" i="79"/>
  <c r="K162" i="79" s="1"/>
  <c r="J163" i="79"/>
  <c r="L163" i="79" s="1"/>
  <c r="J160" i="79"/>
  <c r="L160" i="79" s="1"/>
  <c r="J159" i="79"/>
  <c r="L159" i="79" s="1"/>
  <c r="J158" i="79"/>
  <c r="L158" i="79" s="1"/>
  <c r="J157" i="79"/>
  <c r="L157" i="79" s="1"/>
  <c r="J156" i="79"/>
  <c r="L156" i="79" s="1"/>
  <c r="J155" i="79"/>
  <c r="L155" i="79" s="1"/>
  <c r="J154" i="79"/>
  <c r="L154" i="79" s="1"/>
  <c r="J153" i="79"/>
  <c r="L153" i="79" s="1"/>
  <c r="O153" i="79" s="1"/>
  <c r="J152" i="79"/>
  <c r="L152" i="79" s="1"/>
  <c r="O152" i="79" s="1"/>
  <c r="J151" i="79"/>
  <c r="AD150" i="79"/>
  <c r="AD147" i="79" s="1"/>
  <c r="AC150" i="79"/>
  <c r="AC147" i="79" s="1"/>
  <c r="AB150" i="79"/>
  <c r="AB147" i="79" s="1"/>
  <c r="AA150" i="79"/>
  <c r="Z150" i="79"/>
  <c r="U138" i="66" s="1"/>
  <c r="Y150" i="79"/>
  <c r="Y147" i="79" s="1"/>
  <c r="X150" i="79"/>
  <c r="X147" i="79" s="1"/>
  <c r="W150" i="79"/>
  <c r="W147" i="79" s="1"/>
  <c r="V150" i="79"/>
  <c r="V147" i="79" s="1"/>
  <c r="U150" i="79"/>
  <c r="U147" i="79" s="1"/>
  <c r="T150" i="79"/>
  <c r="T147" i="79" s="1"/>
  <c r="S150" i="79"/>
  <c r="R150" i="79"/>
  <c r="R147" i="79" s="1"/>
  <c r="P150" i="79"/>
  <c r="P147" i="79" s="1"/>
  <c r="N150" i="79"/>
  <c r="N147" i="79" s="1"/>
  <c r="M150" i="79"/>
  <c r="M147" i="79" s="1"/>
  <c r="K150" i="79"/>
  <c r="J149" i="79"/>
  <c r="L149" i="79" s="1"/>
  <c r="J148" i="79"/>
  <c r="J146" i="79"/>
  <c r="L146" i="79" s="1"/>
  <c r="J145" i="79"/>
  <c r="L145" i="79" s="1"/>
  <c r="J144" i="79"/>
  <c r="L144" i="79" s="1"/>
  <c r="J143" i="79"/>
  <c r="L143" i="79" s="1"/>
  <c r="J142" i="79"/>
  <c r="L142" i="79" s="1"/>
  <c r="J141" i="79"/>
  <c r="L141" i="79" s="1"/>
  <c r="J140" i="79"/>
  <c r="L140" i="79" s="1"/>
  <c r="J139" i="79"/>
  <c r="L139" i="79" s="1"/>
  <c r="J138" i="79"/>
  <c r="L138" i="79" s="1"/>
  <c r="J137" i="79"/>
  <c r="L137" i="79" s="1"/>
  <c r="J136" i="79"/>
  <c r="L136" i="79" s="1"/>
  <c r="J135" i="79"/>
  <c r="L135" i="79" s="1"/>
  <c r="J134" i="79"/>
  <c r="L134" i="79" s="1"/>
  <c r="J133" i="79"/>
  <c r="L133" i="79" s="1"/>
  <c r="AD132" i="79"/>
  <c r="AC132" i="79"/>
  <c r="AB132" i="79"/>
  <c r="AA132" i="79"/>
  <c r="Z132" i="79"/>
  <c r="Y132" i="79"/>
  <c r="X132" i="79"/>
  <c r="W132" i="79"/>
  <c r="V132" i="79"/>
  <c r="U132" i="79"/>
  <c r="T132" i="79"/>
  <c r="S132" i="79"/>
  <c r="R132" i="79"/>
  <c r="P132" i="79"/>
  <c r="O132" i="79"/>
  <c r="N132" i="79"/>
  <c r="M132" i="79"/>
  <c r="K132" i="79"/>
  <c r="J131" i="79"/>
  <c r="L131" i="79" s="1"/>
  <c r="J130" i="79"/>
  <c r="L130" i="79" s="1"/>
  <c r="AD129" i="79"/>
  <c r="AC129" i="79"/>
  <c r="AB129" i="79"/>
  <c r="AB121" i="79" s="1"/>
  <c r="W114" i="66" s="1"/>
  <c r="AA129" i="79"/>
  <c r="Z129" i="79"/>
  <c r="Y129" i="79"/>
  <c r="X129" i="79"/>
  <c r="W129" i="79"/>
  <c r="V129" i="79"/>
  <c r="U129" i="79"/>
  <c r="T129" i="79"/>
  <c r="S129" i="79"/>
  <c r="R129" i="79"/>
  <c r="P129" i="79"/>
  <c r="O129" i="79"/>
  <c r="N129" i="79"/>
  <c r="M129" i="79"/>
  <c r="K129" i="79"/>
  <c r="J128" i="79"/>
  <c r="L128" i="79" s="1"/>
  <c r="J127" i="79"/>
  <c r="L127" i="79" s="1"/>
  <c r="N125" i="79"/>
  <c r="J124" i="79"/>
  <c r="L124" i="79" s="1"/>
  <c r="N124" i="79" s="1"/>
  <c r="J123" i="79"/>
  <c r="L123" i="79" s="1"/>
  <c r="N123" i="79" s="1"/>
  <c r="AD121" i="79"/>
  <c r="Y114" i="66" s="1"/>
  <c r="AC121" i="79"/>
  <c r="X114" i="66" s="1"/>
  <c r="AA121" i="79"/>
  <c r="Z121" i="79"/>
  <c r="U114" i="66" s="1"/>
  <c r="Y121" i="79"/>
  <c r="T114" i="66" s="1"/>
  <c r="X121" i="79"/>
  <c r="S114" i="66" s="1"/>
  <c r="W121" i="79"/>
  <c r="V121" i="79"/>
  <c r="Q114" i="66" s="1"/>
  <c r="T121" i="79"/>
  <c r="O114" i="66" s="1"/>
  <c r="S121" i="79"/>
  <c r="N114" i="66" s="1"/>
  <c r="R121" i="79"/>
  <c r="P121" i="79"/>
  <c r="O121" i="79"/>
  <c r="M121" i="79"/>
  <c r="K121" i="79"/>
  <c r="L114" i="66" s="1"/>
  <c r="J120" i="79"/>
  <c r="J118" i="79"/>
  <c r="L118" i="79" s="1"/>
  <c r="N118" i="79" s="1"/>
  <c r="J116" i="79"/>
  <c r="AD115" i="79"/>
  <c r="Y113" i="66" s="1"/>
  <c r="AC115" i="79"/>
  <c r="X113" i="66" s="1"/>
  <c r="W113" i="66"/>
  <c r="AA115" i="79"/>
  <c r="V113" i="66" s="1"/>
  <c r="U113" i="66"/>
  <c r="Y115" i="79"/>
  <c r="T113" i="66" s="1"/>
  <c r="X115" i="79"/>
  <c r="S113" i="66" s="1"/>
  <c r="W115" i="79"/>
  <c r="R113" i="66" s="1"/>
  <c r="U115" i="79"/>
  <c r="T115" i="79"/>
  <c r="S115" i="79"/>
  <c r="N113" i="66" s="1"/>
  <c r="R115" i="79"/>
  <c r="P115" i="79"/>
  <c r="O115" i="79"/>
  <c r="M115" i="79"/>
  <c r="K115" i="79"/>
  <c r="L113" i="66" s="1"/>
  <c r="J114" i="79"/>
  <c r="L114" i="79" s="1"/>
  <c r="J113" i="79"/>
  <c r="L113" i="79" s="1"/>
  <c r="J112" i="79"/>
  <c r="L112" i="79" s="1"/>
  <c r="J111" i="79"/>
  <c r="L111" i="79" s="1"/>
  <c r="J110" i="79"/>
  <c r="L110" i="79" s="1"/>
  <c r="J109" i="79"/>
  <c r="J107" i="66" s="1"/>
  <c r="J106" i="66" s="1"/>
  <c r="J75" i="66" s="1"/>
  <c r="J107" i="79"/>
  <c r="L107" i="79" s="1"/>
  <c r="J106" i="79"/>
  <c r="L106" i="79" s="1"/>
  <c r="J105" i="79"/>
  <c r="L105" i="79" s="1"/>
  <c r="J104" i="79"/>
  <c r="L104" i="79" s="1"/>
  <c r="J103" i="79"/>
  <c r="L103" i="79" s="1"/>
  <c r="J102" i="79"/>
  <c r="L102" i="79" s="1"/>
  <c r="J101" i="79"/>
  <c r="L101" i="79" s="1"/>
  <c r="J100" i="79"/>
  <c r="L100" i="79" s="1"/>
  <c r="J99" i="79"/>
  <c r="L99" i="79" s="1"/>
  <c r="J98" i="79"/>
  <c r="AD97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P97" i="79"/>
  <c r="O97" i="79"/>
  <c r="N97" i="79"/>
  <c r="M97" i="79"/>
  <c r="K97" i="79"/>
  <c r="J96" i="79"/>
  <c r="L96" i="79" s="1"/>
  <c r="J95" i="79"/>
  <c r="L95" i="79" s="1"/>
  <c r="J94" i="79"/>
  <c r="L94" i="79" s="1"/>
  <c r="J93" i="79"/>
  <c r="L93" i="79" s="1"/>
  <c r="J92" i="79"/>
  <c r="L92" i="79" s="1"/>
  <c r="J91" i="79"/>
  <c r="L91" i="79" s="1"/>
  <c r="J90" i="79"/>
  <c r="L90" i="79" s="1"/>
  <c r="J89" i="79"/>
  <c r="L89" i="79" s="1"/>
  <c r="J88" i="79"/>
  <c r="J87" i="79"/>
  <c r="L87" i="79" s="1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R86" i="79"/>
  <c r="P86" i="79"/>
  <c r="O86" i="79"/>
  <c r="N86" i="79"/>
  <c r="M86" i="79"/>
  <c r="K86" i="79"/>
  <c r="J85" i="79"/>
  <c r="L85" i="79" s="1"/>
  <c r="J84" i="79"/>
  <c r="L84" i="79" s="1"/>
  <c r="J83" i="79"/>
  <c r="L82" i="79"/>
  <c r="AD81" i="79"/>
  <c r="AC81" i="79"/>
  <c r="AB81" i="79"/>
  <c r="AA81" i="79"/>
  <c r="Z81" i="79"/>
  <c r="Y81" i="79"/>
  <c r="X81" i="79"/>
  <c r="W81" i="79"/>
  <c r="V81" i="79"/>
  <c r="U81" i="79"/>
  <c r="T81" i="79"/>
  <c r="S81" i="79"/>
  <c r="R81" i="79"/>
  <c r="P81" i="79"/>
  <c r="O81" i="79"/>
  <c r="N81" i="79"/>
  <c r="K81" i="79"/>
  <c r="J80" i="79"/>
  <c r="J79" i="79"/>
  <c r="L79" i="79" s="1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R78" i="79"/>
  <c r="P78" i="79"/>
  <c r="O78" i="79"/>
  <c r="N78" i="79"/>
  <c r="M78" i="79"/>
  <c r="K78" i="79"/>
  <c r="U73" i="66"/>
  <c r="R73" i="66"/>
  <c r="P73" i="66"/>
  <c r="J74" i="79"/>
  <c r="L74" i="79" s="1"/>
  <c r="R74" i="79" s="1"/>
  <c r="J73" i="79"/>
  <c r="L73" i="79" s="1"/>
  <c r="R73" i="79" s="1"/>
  <c r="AC71" i="79"/>
  <c r="AB71" i="79"/>
  <c r="W71" i="66" s="1"/>
  <c r="AA71" i="79"/>
  <c r="AA70" i="79" s="1"/>
  <c r="Z71" i="79"/>
  <c r="U71" i="66" s="1"/>
  <c r="Y71" i="79"/>
  <c r="T71" i="66" s="1"/>
  <c r="X71" i="79"/>
  <c r="X70" i="79" s="1"/>
  <c r="W71" i="79"/>
  <c r="R71" i="66" s="1"/>
  <c r="V71" i="79"/>
  <c r="V70" i="79" s="1"/>
  <c r="U71" i="79"/>
  <c r="P71" i="66" s="1"/>
  <c r="T71" i="79"/>
  <c r="T70" i="79" s="1"/>
  <c r="S71" i="79"/>
  <c r="N71" i="66" s="1"/>
  <c r="P71" i="79"/>
  <c r="P70" i="79" s="1"/>
  <c r="O71" i="79"/>
  <c r="O70" i="79" s="1"/>
  <c r="N71" i="79"/>
  <c r="N70" i="79" s="1"/>
  <c r="M71" i="79"/>
  <c r="K71" i="79"/>
  <c r="L71" i="66" s="1"/>
  <c r="Y70" i="79"/>
  <c r="J69" i="79"/>
  <c r="L69" i="79" s="1"/>
  <c r="J68" i="79"/>
  <c r="L68" i="79" s="1"/>
  <c r="R68" i="79" s="1"/>
  <c r="R66" i="79" s="1"/>
  <c r="J67" i="79"/>
  <c r="AD66" i="79"/>
  <c r="AC66" i="79"/>
  <c r="AB66" i="79"/>
  <c r="AA66" i="79"/>
  <c r="Z66" i="79"/>
  <c r="Y66" i="79"/>
  <c r="X66" i="79"/>
  <c r="W66" i="79"/>
  <c r="V66" i="79"/>
  <c r="U66" i="79"/>
  <c r="T66" i="79"/>
  <c r="S66" i="79"/>
  <c r="P66" i="79"/>
  <c r="O66" i="79"/>
  <c r="N66" i="79"/>
  <c r="M66" i="79"/>
  <c r="K66" i="79"/>
  <c r="J65" i="79"/>
  <c r="L65" i="79" s="1"/>
  <c r="J64" i="79"/>
  <c r="L64" i="79" s="1"/>
  <c r="J63" i="79"/>
  <c r="L63" i="79" s="1"/>
  <c r="J62" i="79"/>
  <c r="L62" i="79" s="1"/>
  <c r="J61" i="79"/>
  <c r="L61" i="79" s="1"/>
  <c r="J60" i="79"/>
  <c r="J58" i="79"/>
  <c r="L58" i="79" s="1"/>
  <c r="J57" i="79"/>
  <c r="L57" i="79" s="1"/>
  <c r="J56" i="79"/>
  <c r="L56" i="79" s="1"/>
  <c r="J55" i="79"/>
  <c r="L55" i="79" s="1"/>
  <c r="J54" i="79"/>
  <c r="L54" i="79" s="1"/>
  <c r="AD53" i="79"/>
  <c r="AC53" i="79"/>
  <c r="AB53" i="79"/>
  <c r="AA53" i="79"/>
  <c r="Z53" i="79"/>
  <c r="Y53" i="79"/>
  <c r="X53" i="79"/>
  <c r="W53" i="79"/>
  <c r="V53" i="79"/>
  <c r="U53" i="79"/>
  <c r="T53" i="79"/>
  <c r="S53" i="79"/>
  <c r="R53" i="79"/>
  <c r="P53" i="79"/>
  <c r="O53" i="79"/>
  <c r="N53" i="79"/>
  <c r="M53" i="79"/>
  <c r="K53" i="79"/>
  <c r="J52" i="79"/>
  <c r="L52" i="79" s="1"/>
  <c r="J51" i="79"/>
  <c r="AD50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P50" i="79"/>
  <c r="O50" i="79"/>
  <c r="N50" i="79"/>
  <c r="M50" i="79"/>
  <c r="K50" i="79"/>
  <c r="J49" i="79"/>
  <c r="L49" i="79" s="1"/>
  <c r="J48" i="79"/>
  <c r="L48" i="79" s="1"/>
  <c r="J47" i="79"/>
  <c r="L47" i="79" s="1"/>
  <c r="AD45" i="79"/>
  <c r="AD40" i="79" s="1"/>
  <c r="AC45" i="79"/>
  <c r="AC40" i="79" s="1"/>
  <c r="AB45" i="79"/>
  <c r="AB40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R45" i="79"/>
  <c r="R40" i="79" s="1"/>
  <c r="O45" i="79"/>
  <c r="O40" i="79" s="1"/>
  <c r="N45" i="79"/>
  <c r="N40" i="79" s="1"/>
  <c r="M45" i="79"/>
  <c r="M40" i="79" s="1"/>
  <c r="K45" i="79"/>
  <c r="K40" i="79" s="1"/>
  <c r="J44" i="79"/>
  <c r="L44" i="79" s="1"/>
  <c r="J43" i="79"/>
  <c r="L43" i="79" s="1"/>
  <c r="J42" i="79"/>
  <c r="L42" i="79" s="1"/>
  <c r="J41" i="79"/>
  <c r="L41" i="79" s="1"/>
  <c r="S40" i="79"/>
  <c r="J39" i="79"/>
  <c r="L39" i="79" s="1"/>
  <c r="J38" i="79"/>
  <c r="L38" i="79" s="1"/>
  <c r="AD37" i="79"/>
  <c r="AC37" i="79"/>
  <c r="AB37" i="79"/>
  <c r="AA37" i="79"/>
  <c r="Z37" i="79"/>
  <c r="Y37" i="79"/>
  <c r="X37" i="79"/>
  <c r="W37" i="79"/>
  <c r="V37" i="79"/>
  <c r="U37" i="79"/>
  <c r="T37" i="79"/>
  <c r="S37" i="79"/>
  <c r="R37" i="79"/>
  <c r="P37" i="79"/>
  <c r="O37" i="79"/>
  <c r="N37" i="79"/>
  <c r="M37" i="79"/>
  <c r="K37" i="79"/>
  <c r="J36" i="79"/>
  <c r="J35" i="79"/>
  <c r="L35" i="79" s="1"/>
  <c r="J34" i="79"/>
  <c r="L34" i="79" s="1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R33" i="79"/>
  <c r="P33" i="79"/>
  <c r="O33" i="79"/>
  <c r="N33" i="79"/>
  <c r="M33" i="79"/>
  <c r="K33" i="79"/>
  <c r="J31" i="79"/>
  <c r="L31" i="79" s="1"/>
  <c r="J30" i="79"/>
  <c r="L30" i="79" s="1"/>
  <c r="J29" i="79"/>
  <c r="L29" i="79" s="1"/>
  <c r="J28" i="79"/>
  <c r="L28" i="79" s="1"/>
  <c r="J27" i="79"/>
  <c r="L27" i="79" s="1"/>
  <c r="J26" i="79"/>
  <c r="J25" i="79"/>
  <c r="L25" i="79" s="1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P24" i="79"/>
  <c r="O24" i="79"/>
  <c r="N24" i="79"/>
  <c r="M24" i="79"/>
  <c r="K24" i="79"/>
  <c r="J23" i="79"/>
  <c r="L23" i="79" s="1"/>
  <c r="J22" i="79"/>
  <c r="L22" i="79" s="1"/>
  <c r="J21" i="79"/>
  <c r="AD20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P20" i="79"/>
  <c r="O20" i="79"/>
  <c r="N20" i="79"/>
  <c r="M20" i="79"/>
  <c r="K20" i="79"/>
  <c r="J19" i="79"/>
  <c r="L19" i="79" s="1"/>
  <c r="J18" i="79"/>
  <c r="L18" i="79" s="1"/>
  <c r="J17" i="79"/>
  <c r="L17" i="79" s="1"/>
  <c r="J16" i="79"/>
  <c r="L16" i="79" s="1"/>
  <c r="J15" i="79"/>
  <c r="L15" i="79" s="1"/>
  <c r="J14" i="79"/>
  <c r="L14" i="79" s="1"/>
  <c r="J13" i="79"/>
  <c r="L13" i="79" s="1"/>
  <c r="J12" i="79"/>
  <c r="L12" i="79" s="1"/>
  <c r="J11" i="79"/>
  <c r="L11" i="79" s="1"/>
  <c r="J10" i="79"/>
  <c r="L10" i="79" s="1"/>
  <c r="J9" i="79"/>
  <c r="L9" i="79" s="1"/>
  <c r="J8" i="79"/>
  <c r="L8" i="79" s="1"/>
  <c r="J7" i="79"/>
  <c r="AD6" i="79"/>
  <c r="AC6" i="79"/>
  <c r="AB6" i="79"/>
  <c r="AA6" i="79"/>
  <c r="Z6" i="79"/>
  <c r="Y6" i="79"/>
  <c r="X6" i="79"/>
  <c r="W6" i="79"/>
  <c r="V6" i="79"/>
  <c r="V5" i="79" s="1"/>
  <c r="U6" i="79"/>
  <c r="T6" i="79"/>
  <c r="S6" i="79"/>
  <c r="R6" i="79"/>
  <c r="R5" i="79" s="1"/>
  <c r="P6" i="79"/>
  <c r="O6" i="79"/>
  <c r="N6" i="79"/>
  <c r="M6" i="79"/>
  <c r="K6" i="79"/>
  <c r="J305" i="80"/>
  <c r="L305" i="80" s="1"/>
  <c r="J304" i="80"/>
  <c r="L304" i="80" s="1"/>
  <c r="J303" i="80"/>
  <c r="J302" i="80"/>
  <c r="L302" i="80" s="1"/>
  <c r="J301" i="80"/>
  <c r="J300" i="80"/>
  <c r="L300" i="80" s="1"/>
  <c r="J299" i="80"/>
  <c r="L299" i="80" s="1"/>
  <c r="Z298" i="80"/>
  <c r="Y298" i="80"/>
  <c r="X298" i="80"/>
  <c r="W298" i="80"/>
  <c r="V298" i="80"/>
  <c r="U298" i="80"/>
  <c r="T298" i="80"/>
  <c r="S298" i="80"/>
  <c r="R298" i="80"/>
  <c r="Q298" i="80"/>
  <c r="P298" i="80"/>
  <c r="O298" i="80"/>
  <c r="N298" i="80"/>
  <c r="M298" i="80"/>
  <c r="K298" i="80"/>
  <c r="J297" i="80"/>
  <c r="L297" i="80" s="1"/>
  <c r="J296" i="80"/>
  <c r="L296" i="80" s="1"/>
  <c r="Z295" i="80"/>
  <c r="Y295" i="80"/>
  <c r="X295" i="80"/>
  <c r="W295" i="80"/>
  <c r="V295" i="80"/>
  <c r="U295" i="80"/>
  <c r="T295" i="80"/>
  <c r="S295" i="80"/>
  <c r="R295" i="80"/>
  <c r="Q295" i="80"/>
  <c r="P295" i="80"/>
  <c r="O295" i="80"/>
  <c r="N295" i="80"/>
  <c r="M295" i="80"/>
  <c r="K295" i="80"/>
  <c r="J294" i="80"/>
  <c r="L294" i="80" s="1"/>
  <c r="J293" i="80"/>
  <c r="L293" i="80" s="1"/>
  <c r="J292" i="80"/>
  <c r="L292" i="80" s="1"/>
  <c r="J291" i="80"/>
  <c r="L291" i="80" s="1"/>
  <c r="J290" i="80"/>
  <c r="J289" i="80"/>
  <c r="L289" i="80" s="1"/>
  <c r="J288" i="80"/>
  <c r="J287" i="80"/>
  <c r="L287" i="80" s="1"/>
  <c r="J286" i="80"/>
  <c r="L286" i="80" s="1"/>
  <c r="J285" i="80"/>
  <c r="L285" i="80" s="1"/>
  <c r="J284" i="80"/>
  <c r="J283" i="80"/>
  <c r="L283" i="80" s="1"/>
  <c r="Z282" i="80"/>
  <c r="Y282" i="80"/>
  <c r="X282" i="80"/>
  <c r="W282" i="80"/>
  <c r="V282" i="80"/>
  <c r="U282" i="80"/>
  <c r="T282" i="80"/>
  <c r="S282" i="80"/>
  <c r="R282" i="80"/>
  <c r="Q282" i="80"/>
  <c r="P282" i="80"/>
  <c r="O282" i="80"/>
  <c r="N282" i="80"/>
  <c r="M282" i="80"/>
  <c r="K282" i="80"/>
  <c r="J281" i="80"/>
  <c r="L281" i="80" s="1"/>
  <c r="N281" i="80" s="1"/>
  <c r="N278" i="80" s="1"/>
  <c r="J280" i="80"/>
  <c r="L280" i="80" s="1"/>
  <c r="J279" i="80"/>
  <c r="L279" i="80" s="1"/>
  <c r="Z278" i="80"/>
  <c r="Y278" i="80"/>
  <c r="X278" i="80"/>
  <c r="W278" i="80"/>
  <c r="V278" i="80"/>
  <c r="U278" i="80"/>
  <c r="T278" i="80"/>
  <c r="S278" i="80"/>
  <c r="R278" i="80"/>
  <c r="Q278" i="80"/>
  <c r="P278" i="80"/>
  <c r="O278" i="80"/>
  <c r="M278" i="80"/>
  <c r="K278" i="80"/>
  <c r="J275" i="80"/>
  <c r="L275" i="80" s="1"/>
  <c r="J274" i="80"/>
  <c r="J273" i="80"/>
  <c r="L273" i="80" s="1"/>
  <c r="J272" i="80"/>
  <c r="J271" i="80"/>
  <c r="L271" i="80" s="1"/>
  <c r="J270" i="80"/>
  <c r="L270" i="80" s="1"/>
  <c r="J269" i="80"/>
  <c r="L269" i="80" s="1"/>
  <c r="J268" i="80"/>
  <c r="L268" i="80" s="1"/>
  <c r="J267" i="80"/>
  <c r="L267" i="80" s="1"/>
  <c r="J266" i="80"/>
  <c r="Z265" i="80"/>
  <c r="Y265" i="80"/>
  <c r="X265" i="80"/>
  <c r="W265" i="80"/>
  <c r="V265" i="80"/>
  <c r="U265" i="80"/>
  <c r="T265" i="80"/>
  <c r="S265" i="80"/>
  <c r="R265" i="80"/>
  <c r="Q265" i="80"/>
  <c r="P265" i="80"/>
  <c r="O265" i="80"/>
  <c r="N265" i="80"/>
  <c r="M265" i="80"/>
  <c r="K265" i="80"/>
  <c r="J264" i="80"/>
  <c r="J263" i="80"/>
  <c r="J262" i="80"/>
  <c r="L262" i="80" s="1"/>
  <c r="J261" i="80"/>
  <c r="L261" i="80" s="1"/>
  <c r="J260" i="80"/>
  <c r="L260" i="80" s="1"/>
  <c r="J259" i="80"/>
  <c r="L259" i="80" s="1"/>
  <c r="J258" i="80"/>
  <c r="L258" i="80" s="1"/>
  <c r="J257" i="80"/>
  <c r="J256" i="80"/>
  <c r="J255" i="80"/>
  <c r="J254" i="80"/>
  <c r="L254" i="80" s="1"/>
  <c r="J253" i="80"/>
  <c r="J252" i="80"/>
  <c r="L252" i="80" s="1"/>
  <c r="Z251" i="80"/>
  <c r="Y251" i="80"/>
  <c r="X251" i="80"/>
  <c r="W251" i="80"/>
  <c r="V251" i="80"/>
  <c r="U251" i="80"/>
  <c r="T251" i="80"/>
  <c r="S251" i="80"/>
  <c r="R251" i="80"/>
  <c r="Q251" i="80"/>
  <c r="P251" i="80"/>
  <c r="O251" i="80"/>
  <c r="N251" i="80"/>
  <c r="M251" i="80"/>
  <c r="K251" i="80"/>
  <c r="J250" i="80"/>
  <c r="J249" i="80"/>
  <c r="L249" i="80" s="1"/>
  <c r="Z248" i="80"/>
  <c r="Y248" i="80"/>
  <c r="X248" i="80"/>
  <c r="W248" i="80"/>
  <c r="V248" i="80"/>
  <c r="U248" i="80"/>
  <c r="T248" i="80"/>
  <c r="S248" i="80"/>
  <c r="R248" i="80"/>
  <c r="Q248" i="80"/>
  <c r="P248" i="80"/>
  <c r="O248" i="80"/>
  <c r="N248" i="80"/>
  <c r="M248" i="80"/>
  <c r="K248" i="80"/>
  <c r="J247" i="80"/>
  <c r="L247" i="80" s="1"/>
  <c r="J246" i="80"/>
  <c r="L246" i="80" s="1"/>
  <c r="J245" i="80"/>
  <c r="L245" i="80" s="1"/>
  <c r="J244" i="80"/>
  <c r="J243" i="80"/>
  <c r="L243" i="80" s="1"/>
  <c r="J242" i="80"/>
  <c r="L242" i="80" s="1"/>
  <c r="J241" i="80"/>
  <c r="L241" i="80" s="1"/>
  <c r="J240" i="80"/>
  <c r="L240" i="80" s="1"/>
  <c r="J239" i="80"/>
  <c r="L239" i="80" s="1"/>
  <c r="J238" i="80"/>
  <c r="L238" i="80" s="1"/>
  <c r="Z237" i="80"/>
  <c r="Y237" i="80"/>
  <c r="X237" i="80"/>
  <c r="W237" i="80"/>
  <c r="V237" i="80"/>
  <c r="U237" i="80"/>
  <c r="T237" i="80"/>
  <c r="S237" i="80"/>
  <c r="R237" i="80"/>
  <c r="Q237" i="80"/>
  <c r="P237" i="80"/>
  <c r="O237" i="80"/>
  <c r="N237" i="80"/>
  <c r="M237" i="80"/>
  <c r="K237" i="80"/>
  <c r="J236" i="80"/>
  <c r="L236" i="80" s="1"/>
  <c r="J235" i="80"/>
  <c r="L235" i="80" s="1"/>
  <c r="J234" i="80"/>
  <c r="L234" i="80" s="1"/>
  <c r="J233" i="80"/>
  <c r="L233" i="80" s="1"/>
  <c r="J232" i="80"/>
  <c r="J231" i="80"/>
  <c r="L231" i="80" s="1"/>
  <c r="J230" i="80"/>
  <c r="J229" i="80"/>
  <c r="L229" i="80" s="1"/>
  <c r="J228" i="80"/>
  <c r="J227" i="80"/>
  <c r="L227" i="80" s="1"/>
  <c r="Z226" i="80"/>
  <c r="Y226" i="80"/>
  <c r="X226" i="80"/>
  <c r="W226" i="80"/>
  <c r="V226" i="80"/>
  <c r="U226" i="80"/>
  <c r="T226" i="80"/>
  <c r="S226" i="80"/>
  <c r="R226" i="80"/>
  <c r="Q226" i="80"/>
  <c r="P226" i="80"/>
  <c r="O226" i="80"/>
  <c r="N226" i="80"/>
  <c r="M226" i="80"/>
  <c r="K226" i="80"/>
  <c r="J225" i="80"/>
  <c r="L225" i="80" s="1"/>
  <c r="J224" i="80"/>
  <c r="L224" i="80" s="1"/>
  <c r="J223" i="80"/>
  <c r="L223" i="80" s="1"/>
  <c r="J222" i="80"/>
  <c r="L222" i="80" s="1"/>
  <c r="J221" i="80"/>
  <c r="J220" i="80"/>
  <c r="L220" i="80" s="1"/>
  <c r="J219" i="80"/>
  <c r="L219" i="80" s="1"/>
  <c r="J218" i="80"/>
  <c r="L218" i="80" s="1"/>
  <c r="J217" i="80"/>
  <c r="L217" i="80" s="1"/>
  <c r="J216" i="80"/>
  <c r="L216" i="80" s="1"/>
  <c r="Z215" i="80"/>
  <c r="Y215" i="80"/>
  <c r="X215" i="80"/>
  <c r="W215" i="80"/>
  <c r="V215" i="80"/>
  <c r="U215" i="80"/>
  <c r="T215" i="80"/>
  <c r="S215" i="80"/>
  <c r="R215" i="80"/>
  <c r="Q215" i="80"/>
  <c r="P215" i="80"/>
  <c r="O215" i="80"/>
  <c r="N215" i="80"/>
  <c r="M215" i="80"/>
  <c r="K215" i="80"/>
  <c r="J214" i="80"/>
  <c r="L214" i="80" s="1"/>
  <c r="Y202" i="80"/>
  <c r="X202" i="80"/>
  <c r="V202" i="80"/>
  <c r="U202" i="80"/>
  <c r="T202" i="80"/>
  <c r="S202" i="80"/>
  <c r="R202" i="80"/>
  <c r="Q202" i="80"/>
  <c r="P202" i="80"/>
  <c r="O202" i="80"/>
  <c r="K202" i="80"/>
  <c r="T156" i="66"/>
  <c r="P156" i="66"/>
  <c r="J198" i="80"/>
  <c r="L198" i="80" s="1"/>
  <c r="J197" i="80"/>
  <c r="R153" i="66"/>
  <c r="L195" i="80"/>
  <c r="M195" i="80" s="1"/>
  <c r="M194" i="80" s="1"/>
  <c r="P153" i="66"/>
  <c r="J193" i="80"/>
  <c r="L193" i="80" s="1"/>
  <c r="J192" i="80"/>
  <c r="L192" i="80" s="1"/>
  <c r="J191" i="80"/>
  <c r="Z190" i="80"/>
  <c r="Z188" i="80" s="1"/>
  <c r="Y190" i="80"/>
  <c r="X190" i="80"/>
  <c r="X188" i="80" s="1"/>
  <c r="W190" i="80"/>
  <c r="W188" i="80" s="1"/>
  <c r="V190" i="80"/>
  <c r="V188" i="80" s="1"/>
  <c r="U190" i="80"/>
  <c r="T190" i="80"/>
  <c r="S190" i="80"/>
  <c r="R190" i="80"/>
  <c r="Q190" i="80"/>
  <c r="P190" i="80"/>
  <c r="O190" i="80"/>
  <c r="N190" i="80"/>
  <c r="M190" i="80"/>
  <c r="K190" i="80"/>
  <c r="J189" i="80"/>
  <c r="J187" i="80"/>
  <c r="L187" i="80" s="1"/>
  <c r="J186" i="80"/>
  <c r="L186" i="80" s="1"/>
  <c r="J185" i="80"/>
  <c r="L185" i="80" s="1"/>
  <c r="J184" i="80"/>
  <c r="L184" i="80" s="1"/>
  <c r="J183" i="80"/>
  <c r="J182" i="80"/>
  <c r="J181" i="80"/>
  <c r="J180" i="80"/>
  <c r="L180" i="80" s="1"/>
  <c r="J179" i="80"/>
  <c r="L179" i="80" s="1"/>
  <c r="J178" i="80"/>
  <c r="L178" i="80" s="1"/>
  <c r="J177" i="80"/>
  <c r="L177" i="80" s="1"/>
  <c r="Z176" i="80"/>
  <c r="Y176" i="80"/>
  <c r="X176" i="80"/>
  <c r="W176" i="80"/>
  <c r="V176" i="80"/>
  <c r="U176" i="80"/>
  <c r="T176" i="80"/>
  <c r="S176" i="80"/>
  <c r="R176" i="80"/>
  <c r="Q176" i="80"/>
  <c r="P176" i="80"/>
  <c r="O176" i="80"/>
  <c r="N176" i="80"/>
  <c r="M176" i="80"/>
  <c r="K176" i="80"/>
  <c r="J175" i="80"/>
  <c r="J174" i="80"/>
  <c r="L174" i="80" s="1"/>
  <c r="J173" i="80"/>
  <c r="L173" i="80" s="1"/>
  <c r="J172" i="80"/>
  <c r="L172" i="80" s="1"/>
  <c r="J171" i="80"/>
  <c r="L171" i="80" s="1"/>
  <c r="J170" i="80"/>
  <c r="L170" i="80" s="1"/>
  <c r="J169" i="80"/>
  <c r="L169" i="80" s="1"/>
  <c r="J168" i="80"/>
  <c r="L168" i="80" s="1"/>
  <c r="J167" i="80"/>
  <c r="L167" i="80" s="1"/>
  <c r="J166" i="80"/>
  <c r="L166" i="80" s="1"/>
  <c r="J165" i="80"/>
  <c r="L165" i="80" s="1"/>
  <c r="J164" i="80"/>
  <c r="L164" i="80" s="1"/>
  <c r="J163" i="80"/>
  <c r="L163" i="80" s="1"/>
  <c r="J162" i="80"/>
  <c r="Z161" i="80"/>
  <c r="Y161" i="80"/>
  <c r="X161" i="80"/>
  <c r="W161" i="80"/>
  <c r="V161" i="80"/>
  <c r="U161" i="80"/>
  <c r="T161" i="80"/>
  <c r="S161" i="80"/>
  <c r="R161" i="80"/>
  <c r="Q161" i="80"/>
  <c r="P161" i="80"/>
  <c r="O161" i="80"/>
  <c r="N161" i="80"/>
  <c r="M161" i="80"/>
  <c r="K161" i="80"/>
  <c r="J160" i="80"/>
  <c r="L160" i="80" s="1"/>
  <c r="J159" i="80"/>
  <c r="J158" i="80" s="1"/>
  <c r="Z158" i="80"/>
  <c r="Y158" i="80"/>
  <c r="X158" i="80"/>
  <c r="W158" i="80"/>
  <c r="V158" i="80"/>
  <c r="U158" i="80"/>
  <c r="T158" i="80"/>
  <c r="S158" i="80"/>
  <c r="R158" i="80"/>
  <c r="Q158" i="80"/>
  <c r="P158" i="80"/>
  <c r="O158" i="80"/>
  <c r="N158" i="80"/>
  <c r="M158" i="80"/>
  <c r="K158" i="80"/>
  <c r="J157" i="80"/>
  <c r="L157" i="80" s="1"/>
  <c r="J156" i="80"/>
  <c r="L156" i="80" s="1"/>
  <c r="J155" i="80"/>
  <c r="L155" i="80" s="1"/>
  <c r="J154" i="80"/>
  <c r="L154" i="80" s="1"/>
  <c r="J153" i="80"/>
  <c r="L153" i="80" s="1"/>
  <c r="J152" i="80"/>
  <c r="L152" i="80" s="1"/>
  <c r="J151" i="80"/>
  <c r="L151" i="80" s="1"/>
  <c r="J150" i="80"/>
  <c r="L150" i="80" s="1"/>
  <c r="J149" i="80"/>
  <c r="L149" i="80" s="1"/>
  <c r="J148" i="80"/>
  <c r="L148" i="80" s="1"/>
  <c r="Z147" i="80"/>
  <c r="Y147" i="80"/>
  <c r="X147" i="80"/>
  <c r="W147" i="80"/>
  <c r="V147" i="80"/>
  <c r="U147" i="80"/>
  <c r="T147" i="80"/>
  <c r="S147" i="80"/>
  <c r="R147" i="80"/>
  <c r="Q147" i="80"/>
  <c r="P147" i="80"/>
  <c r="O147" i="80"/>
  <c r="N147" i="80"/>
  <c r="M147" i="80"/>
  <c r="K147" i="80"/>
  <c r="J146" i="80"/>
  <c r="L146" i="80" s="1"/>
  <c r="J145" i="80"/>
  <c r="L145" i="80" s="1"/>
  <c r="J144" i="80"/>
  <c r="L144" i="80" s="1"/>
  <c r="J143" i="80"/>
  <c r="L143" i="80" s="1"/>
  <c r="J142" i="80"/>
  <c r="L142" i="80" s="1"/>
  <c r="J141" i="80"/>
  <c r="L141" i="80" s="1"/>
  <c r="J140" i="80"/>
  <c r="L140" i="80" s="1"/>
  <c r="J139" i="80"/>
  <c r="L139" i="80" s="1"/>
  <c r="J138" i="80"/>
  <c r="J137" i="80"/>
  <c r="L137" i="80" s="1"/>
  <c r="Z136" i="80"/>
  <c r="Y136" i="80"/>
  <c r="X136" i="80"/>
  <c r="W136" i="80"/>
  <c r="V136" i="80"/>
  <c r="U136" i="80"/>
  <c r="T136" i="80"/>
  <c r="S136" i="80"/>
  <c r="R136" i="80"/>
  <c r="Q136" i="80"/>
  <c r="P136" i="80"/>
  <c r="O136" i="80"/>
  <c r="N136" i="80"/>
  <c r="M136" i="80"/>
  <c r="K136" i="80"/>
  <c r="J135" i="80"/>
  <c r="L135" i="80" s="1"/>
  <c r="J134" i="80"/>
  <c r="J133" i="80"/>
  <c r="L133" i="80" s="1"/>
  <c r="J132" i="80"/>
  <c r="L132" i="80" s="1"/>
  <c r="J131" i="80"/>
  <c r="L131" i="80" s="1"/>
  <c r="J130" i="80"/>
  <c r="L130" i="80" s="1"/>
  <c r="J129" i="80"/>
  <c r="L129" i="80" s="1"/>
  <c r="J128" i="80"/>
  <c r="L128" i="80" s="1"/>
  <c r="J127" i="80"/>
  <c r="L127" i="80" s="1"/>
  <c r="J126" i="80"/>
  <c r="L126" i="80" s="1"/>
  <c r="Z125" i="80"/>
  <c r="Y125" i="80"/>
  <c r="X125" i="80"/>
  <c r="W125" i="80"/>
  <c r="V125" i="80"/>
  <c r="U125" i="80"/>
  <c r="T125" i="80"/>
  <c r="S125" i="80"/>
  <c r="R125" i="80"/>
  <c r="Q125" i="80"/>
  <c r="P125" i="80"/>
  <c r="O125" i="80"/>
  <c r="N125" i="80"/>
  <c r="M125" i="80"/>
  <c r="K125" i="80"/>
  <c r="J124" i="80"/>
  <c r="L124" i="80" s="1"/>
  <c r="J123" i="80"/>
  <c r="J122" i="80"/>
  <c r="L122" i="80" s="1"/>
  <c r="J121" i="80"/>
  <c r="L121" i="80" s="1"/>
  <c r="Z120" i="80"/>
  <c r="Y120" i="80"/>
  <c r="X120" i="80"/>
  <c r="W120" i="80"/>
  <c r="V120" i="80"/>
  <c r="U120" i="80"/>
  <c r="T120" i="80"/>
  <c r="S120" i="80"/>
  <c r="R120" i="80"/>
  <c r="Q120" i="80"/>
  <c r="P120" i="80"/>
  <c r="O120" i="80"/>
  <c r="N120" i="80"/>
  <c r="M120" i="80"/>
  <c r="K120" i="80"/>
  <c r="J119" i="80"/>
  <c r="J118" i="80"/>
  <c r="Z117" i="80"/>
  <c r="Y117" i="80"/>
  <c r="X117" i="80"/>
  <c r="W117" i="80"/>
  <c r="V117" i="80"/>
  <c r="U117" i="80"/>
  <c r="T117" i="80"/>
  <c r="S117" i="80"/>
  <c r="R117" i="80"/>
  <c r="Q117" i="80"/>
  <c r="P117" i="80"/>
  <c r="O117" i="80"/>
  <c r="N117" i="80"/>
  <c r="M117" i="80"/>
  <c r="K117" i="80"/>
  <c r="J115" i="80"/>
  <c r="J114" i="80"/>
  <c r="J113" i="80"/>
  <c r="L113" i="80" s="1"/>
  <c r="J112" i="80"/>
  <c r="L112" i="80" s="1"/>
  <c r="Z111" i="80"/>
  <c r="Y111" i="80"/>
  <c r="X111" i="80"/>
  <c r="W111" i="80"/>
  <c r="V111" i="80"/>
  <c r="U111" i="80"/>
  <c r="T111" i="80"/>
  <c r="S111" i="80"/>
  <c r="R111" i="80"/>
  <c r="Q111" i="80"/>
  <c r="P111" i="80"/>
  <c r="O111" i="80"/>
  <c r="N111" i="80"/>
  <c r="M111" i="80"/>
  <c r="K111" i="80"/>
  <c r="J110" i="80"/>
  <c r="L110" i="80" s="1"/>
  <c r="J109" i="80"/>
  <c r="L109" i="80" s="1"/>
  <c r="J108" i="80"/>
  <c r="L108" i="80" s="1"/>
  <c r="Z107" i="80"/>
  <c r="Y107" i="80"/>
  <c r="X107" i="80"/>
  <c r="W107" i="80"/>
  <c r="V107" i="80"/>
  <c r="U107" i="80"/>
  <c r="T107" i="80"/>
  <c r="S107" i="80"/>
  <c r="R107" i="80"/>
  <c r="Q107" i="80"/>
  <c r="P107" i="80"/>
  <c r="O107" i="80"/>
  <c r="N107" i="80"/>
  <c r="M107" i="80"/>
  <c r="K107" i="80"/>
  <c r="J106" i="80"/>
  <c r="L106" i="80" s="1"/>
  <c r="J105" i="80"/>
  <c r="L105" i="80" s="1"/>
  <c r="J104" i="80"/>
  <c r="L104" i="80" s="1"/>
  <c r="J103" i="80"/>
  <c r="L103" i="80" s="1"/>
  <c r="J102" i="80"/>
  <c r="L102" i="80" s="1"/>
  <c r="J101" i="80"/>
  <c r="J99" i="80"/>
  <c r="L99" i="80" s="1"/>
  <c r="N99" i="80" s="1"/>
  <c r="N97" i="80" s="1"/>
  <c r="Z97" i="80"/>
  <c r="Y58" i="66" s="1"/>
  <c r="Y97" i="80"/>
  <c r="X58" i="66" s="1"/>
  <c r="X97" i="80"/>
  <c r="W58" i="66" s="1"/>
  <c r="W97" i="80"/>
  <c r="V58" i="66" s="1"/>
  <c r="V97" i="80"/>
  <c r="U58" i="66" s="1"/>
  <c r="U97" i="80"/>
  <c r="T97" i="80"/>
  <c r="S97" i="80"/>
  <c r="R58" i="66" s="1"/>
  <c r="R97" i="80"/>
  <c r="Q97" i="80"/>
  <c r="P97" i="80"/>
  <c r="O97" i="80"/>
  <c r="N58" i="66" s="1"/>
  <c r="K97" i="80"/>
  <c r="L58" i="66" s="1"/>
  <c r="J96" i="80"/>
  <c r="J95" i="80"/>
  <c r="N95" i="80" s="1"/>
  <c r="J94" i="80"/>
  <c r="J93" i="80"/>
  <c r="L93" i="80" s="1"/>
  <c r="N93" i="80" s="1"/>
  <c r="N91" i="80" s="1"/>
  <c r="J92" i="80"/>
  <c r="Z91" i="80"/>
  <c r="Y91" i="80"/>
  <c r="X91" i="80"/>
  <c r="W91" i="80"/>
  <c r="V91" i="80"/>
  <c r="U91" i="80"/>
  <c r="T91" i="80"/>
  <c r="S91" i="80"/>
  <c r="R91" i="80"/>
  <c r="Q91" i="80"/>
  <c r="P91" i="80"/>
  <c r="O91" i="80"/>
  <c r="K91" i="80"/>
  <c r="J87" i="80"/>
  <c r="L87" i="80" s="1"/>
  <c r="J86" i="80"/>
  <c r="L86" i="80" s="1"/>
  <c r="Z85" i="80"/>
  <c r="Y85" i="80"/>
  <c r="X85" i="80"/>
  <c r="W85" i="80"/>
  <c r="V85" i="80"/>
  <c r="U85" i="80"/>
  <c r="T85" i="80"/>
  <c r="S85" i="80"/>
  <c r="R85" i="80"/>
  <c r="Q85" i="80"/>
  <c r="P85" i="80"/>
  <c r="O85" i="80"/>
  <c r="K85" i="80"/>
  <c r="R84" i="80"/>
  <c r="J83" i="80"/>
  <c r="L83" i="80" s="1"/>
  <c r="M83" i="80" s="1"/>
  <c r="M82" i="80" s="1"/>
  <c r="Z82" i="80"/>
  <c r="Y82" i="80"/>
  <c r="X82" i="80"/>
  <c r="W82" i="80"/>
  <c r="V82" i="80"/>
  <c r="U82" i="80"/>
  <c r="T82" i="80"/>
  <c r="S82" i="80"/>
  <c r="Q82" i="80"/>
  <c r="P82" i="80"/>
  <c r="O82" i="80"/>
  <c r="K82" i="80"/>
  <c r="L80" i="80"/>
  <c r="N80" i="80" s="1"/>
  <c r="L79" i="80"/>
  <c r="N79" i="80" s="1"/>
  <c r="Z77" i="80"/>
  <c r="Y77" i="80"/>
  <c r="X77" i="80"/>
  <c r="W77" i="80"/>
  <c r="V77" i="80"/>
  <c r="U77" i="80"/>
  <c r="T77" i="80"/>
  <c r="S77" i="80"/>
  <c r="R77" i="80"/>
  <c r="Q77" i="80"/>
  <c r="P77" i="80"/>
  <c r="O77" i="80"/>
  <c r="J77" i="80" s="1"/>
  <c r="M77" i="80"/>
  <c r="K77" i="80"/>
  <c r="J76" i="80"/>
  <c r="J75" i="80"/>
  <c r="L75" i="80" s="1"/>
  <c r="M75" i="80" s="1"/>
  <c r="M74" i="80" s="1"/>
  <c r="Z74" i="80"/>
  <c r="Y74" i="80"/>
  <c r="X74" i="80"/>
  <c r="W74" i="80"/>
  <c r="V74" i="80"/>
  <c r="U74" i="80"/>
  <c r="T74" i="80"/>
  <c r="S74" i="80"/>
  <c r="R74" i="80"/>
  <c r="Q74" i="80"/>
  <c r="P74" i="80"/>
  <c r="O74" i="80"/>
  <c r="K74" i="80"/>
  <c r="J73" i="80"/>
  <c r="L73" i="80" s="1"/>
  <c r="J72" i="80"/>
  <c r="L72" i="80" s="1"/>
  <c r="J71" i="80"/>
  <c r="L71" i="80" s="1"/>
  <c r="N71" i="80" s="1"/>
  <c r="N69" i="80" s="1"/>
  <c r="J70" i="80"/>
  <c r="L70" i="80" s="1"/>
  <c r="M70" i="80" s="1"/>
  <c r="M69" i="80" s="1"/>
  <c r="Z69" i="80"/>
  <c r="Y69" i="80"/>
  <c r="X69" i="80"/>
  <c r="W69" i="80"/>
  <c r="V69" i="80"/>
  <c r="U69" i="80"/>
  <c r="T69" i="80"/>
  <c r="S69" i="80"/>
  <c r="R69" i="80"/>
  <c r="Q69" i="80"/>
  <c r="P69" i="80"/>
  <c r="O69" i="80"/>
  <c r="K69" i="80"/>
  <c r="J68" i="80"/>
  <c r="L68" i="80" s="1"/>
  <c r="N68" i="80" s="1"/>
  <c r="N66" i="80" s="1"/>
  <c r="J67" i="80"/>
  <c r="Z66" i="80"/>
  <c r="Y66" i="80"/>
  <c r="X66" i="80"/>
  <c r="W66" i="80"/>
  <c r="V66" i="80"/>
  <c r="U66" i="80"/>
  <c r="T66" i="80"/>
  <c r="S66" i="80"/>
  <c r="R66" i="80"/>
  <c r="Q66" i="80"/>
  <c r="P66" i="80"/>
  <c r="O66" i="80"/>
  <c r="K66" i="80"/>
  <c r="J65" i="80"/>
  <c r="L65" i="80" s="1"/>
  <c r="N65" i="80" s="1"/>
  <c r="N63" i="80" s="1"/>
  <c r="J64" i="80"/>
  <c r="L64" i="80" s="1"/>
  <c r="M64" i="80" s="1"/>
  <c r="M63" i="80" s="1"/>
  <c r="Z63" i="80"/>
  <c r="Y63" i="80"/>
  <c r="X63" i="80"/>
  <c r="W63" i="80"/>
  <c r="V63" i="80"/>
  <c r="U63" i="80"/>
  <c r="T63" i="80"/>
  <c r="S63" i="80"/>
  <c r="R63" i="80"/>
  <c r="Q63" i="80"/>
  <c r="P63" i="80"/>
  <c r="O63" i="80"/>
  <c r="K63" i="80"/>
  <c r="J60" i="80"/>
  <c r="L60" i="80" s="1"/>
  <c r="J59" i="80"/>
  <c r="L59" i="80" s="1"/>
  <c r="Z58" i="80"/>
  <c r="Y58" i="80"/>
  <c r="X58" i="80"/>
  <c r="W58" i="80"/>
  <c r="V58" i="80"/>
  <c r="U58" i="80"/>
  <c r="T58" i="80"/>
  <c r="S58" i="80"/>
  <c r="R58" i="80"/>
  <c r="Q58" i="80"/>
  <c r="P58" i="80"/>
  <c r="O58" i="80"/>
  <c r="N58" i="80"/>
  <c r="M58" i="80"/>
  <c r="K58" i="80"/>
  <c r="J57" i="80"/>
  <c r="L57" i="80" s="1"/>
  <c r="J56" i="80"/>
  <c r="L56" i="80" s="1"/>
  <c r="N56" i="80" s="1"/>
  <c r="N54" i="80" s="1"/>
  <c r="N51" i="80" s="1"/>
  <c r="J55" i="80"/>
  <c r="L55" i="80" s="1"/>
  <c r="M55" i="80" s="1"/>
  <c r="M54" i="80" s="1"/>
  <c r="M51" i="80" s="1"/>
  <c r="Z54" i="80"/>
  <c r="Z51" i="80" s="1"/>
  <c r="Y54" i="80"/>
  <c r="Y51" i="80" s="1"/>
  <c r="X54" i="80"/>
  <c r="X51" i="80" s="1"/>
  <c r="W54" i="80"/>
  <c r="W51" i="80" s="1"/>
  <c r="V54" i="80"/>
  <c r="V51" i="80" s="1"/>
  <c r="U54" i="80"/>
  <c r="U51" i="80" s="1"/>
  <c r="T54" i="80"/>
  <c r="T51" i="80" s="1"/>
  <c r="S54" i="80"/>
  <c r="S51" i="80" s="1"/>
  <c r="R54" i="80"/>
  <c r="R51" i="80" s="1"/>
  <c r="Q54" i="80"/>
  <c r="Q51" i="80" s="1"/>
  <c r="P54" i="80"/>
  <c r="P51" i="80" s="1"/>
  <c r="O54" i="80"/>
  <c r="O51" i="80" s="1"/>
  <c r="K54" i="80"/>
  <c r="K51" i="80" s="1"/>
  <c r="L52" i="80"/>
  <c r="J48" i="80"/>
  <c r="L48" i="80" s="1"/>
  <c r="M48" i="80" s="1"/>
  <c r="M47" i="80" s="1"/>
  <c r="Z47" i="80"/>
  <c r="Y31" i="66" s="1"/>
  <c r="X47" i="80"/>
  <c r="W31" i="66" s="1"/>
  <c r="W47" i="80"/>
  <c r="V31" i="66" s="1"/>
  <c r="V47" i="80"/>
  <c r="U47" i="80"/>
  <c r="T31" i="66" s="1"/>
  <c r="T47" i="80"/>
  <c r="S31" i="66" s="1"/>
  <c r="S47" i="80"/>
  <c r="R31" i="66" s="1"/>
  <c r="R47" i="80"/>
  <c r="Q31" i="66" s="1"/>
  <c r="Q47" i="80"/>
  <c r="P31" i="66" s="1"/>
  <c r="P47" i="80"/>
  <c r="O31" i="66" s="1"/>
  <c r="O47" i="80"/>
  <c r="N31" i="66" s="1"/>
  <c r="K47" i="80"/>
  <c r="L31" i="66" s="1"/>
  <c r="J46" i="80"/>
  <c r="L46" i="80" s="1"/>
  <c r="J45" i="80"/>
  <c r="L45" i="80" s="1"/>
  <c r="Y44" i="80"/>
  <c r="J44" i="80" s="1"/>
  <c r="L44" i="80" s="1"/>
  <c r="N44" i="80" s="1"/>
  <c r="N42" i="80" s="1"/>
  <c r="J43" i="80"/>
  <c r="L43" i="80" s="1"/>
  <c r="M43" i="80" s="1"/>
  <c r="M42" i="80" s="1"/>
  <c r="Z42" i="80"/>
  <c r="X42" i="80"/>
  <c r="W28" i="66" s="1"/>
  <c r="W42" i="80"/>
  <c r="V28" i="66" s="1"/>
  <c r="V42" i="80"/>
  <c r="U28" i="66" s="1"/>
  <c r="U42" i="80"/>
  <c r="T28" i="66" s="1"/>
  <c r="T42" i="80"/>
  <c r="S28" i="66" s="1"/>
  <c r="S42" i="80"/>
  <c r="R28" i="66" s="1"/>
  <c r="R42" i="80"/>
  <c r="Q28" i="66" s="1"/>
  <c r="Q42" i="80"/>
  <c r="P28" i="66" s="1"/>
  <c r="P42" i="80"/>
  <c r="O28" i="66" s="1"/>
  <c r="O42" i="80"/>
  <c r="K42" i="80"/>
  <c r="L28" i="66" s="1"/>
  <c r="J41" i="80"/>
  <c r="L41" i="80" s="1"/>
  <c r="J40" i="80"/>
  <c r="L40" i="80" s="1"/>
  <c r="W37" i="80"/>
  <c r="O37" i="80"/>
  <c r="K37" i="80"/>
  <c r="L25" i="66" s="1"/>
  <c r="J35" i="80"/>
  <c r="L33" i="80"/>
  <c r="Z32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K32" i="80"/>
  <c r="J28" i="80"/>
  <c r="L28" i="80" s="1"/>
  <c r="J27" i="80"/>
  <c r="J26" i="80"/>
  <c r="L26" i="80" s="1"/>
  <c r="J25" i="80"/>
  <c r="L25" i="80" s="1"/>
  <c r="J24" i="80"/>
  <c r="L24" i="80" s="1"/>
  <c r="J23" i="80"/>
  <c r="Z22" i="80"/>
  <c r="Y14" i="66" s="1"/>
  <c r="Y22" i="80"/>
  <c r="X22" i="80"/>
  <c r="W22" i="80"/>
  <c r="V14" i="66" s="1"/>
  <c r="U14" i="66"/>
  <c r="U22" i="80"/>
  <c r="T22" i="80"/>
  <c r="S22" i="80"/>
  <c r="R14" i="66" s="1"/>
  <c r="R22" i="80"/>
  <c r="Q22" i="80"/>
  <c r="P22" i="80"/>
  <c r="N14" i="66"/>
  <c r="K22" i="80"/>
  <c r="L14" i="66" s="1"/>
  <c r="L6" i="66" s="1"/>
  <c r="J21" i="80"/>
  <c r="L21" i="80" s="1"/>
  <c r="N21" i="80" s="1"/>
  <c r="N19" i="80" s="1"/>
  <c r="J20" i="80"/>
  <c r="Z19" i="80"/>
  <c r="Y13" i="66" s="1"/>
  <c r="Y19" i="80"/>
  <c r="X13" i="66" s="1"/>
  <c r="X19" i="80"/>
  <c r="W19" i="80"/>
  <c r="V13" i="66" s="1"/>
  <c r="V19" i="80"/>
  <c r="U13" i="66" s="1"/>
  <c r="U19" i="80"/>
  <c r="T13" i="66" s="1"/>
  <c r="T19" i="80"/>
  <c r="S13" i="66" s="1"/>
  <c r="S19" i="80"/>
  <c r="R13" i="66" s="1"/>
  <c r="R19" i="80"/>
  <c r="Q13" i="66" s="1"/>
  <c r="Q19" i="80"/>
  <c r="P13" i="66" s="1"/>
  <c r="P19" i="80"/>
  <c r="O13" i="66" s="1"/>
  <c r="O19" i="80"/>
  <c r="N13" i="66" s="1"/>
  <c r="K19" i="80"/>
  <c r="L13" i="66" s="1"/>
  <c r="J18" i="80"/>
  <c r="L18" i="80" s="1"/>
  <c r="J17" i="80"/>
  <c r="J15" i="80"/>
  <c r="L15" i="80" s="1"/>
  <c r="M15" i="80" s="1"/>
  <c r="M14" i="80" s="1"/>
  <c r="Z14" i="80"/>
  <c r="Y10" i="66" s="1"/>
  <c r="Y14" i="80"/>
  <c r="X14" i="80"/>
  <c r="W10" i="66" s="1"/>
  <c r="W14" i="80"/>
  <c r="V10" i="66" s="1"/>
  <c r="U14" i="80"/>
  <c r="T10" i="66" s="1"/>
  <c r="T14" i="80"/>
  <c r="S10" i="66" s="1"/>
  <c r="S14" i="80"/>
  <c r="R14" i="80"/>
  <c r="Q10" i="66" s="1"/>
  <c r="Q14" i="80"/>
  <c r="P10" i="66" s="1"/>
  <c r="P14" i="80"/>
  <c r="O14" i="80"/>
  <c r="K14" i="80"/>
  <c r="L10" i="66" s="1"/>
  <c r="J13" i="80"/>
  <c r="L13" i="80" s="1"/>
  <c r="J12" i="80"/>
  <c r="L12" i="80" s="1"/>
  <c r="N12" i="80" s="1"/>
  <c r="N10" i="80" s="1"/>
  <c r="J11" i="80"/>
  <c r="Z10" i="80"/>
  <c r="Y8" i="66" s="1"/>
  <c r="X10" i="80"/>
  <c r="W8" i="66" s="1"/>
  <c r="W10" i="80"/>
  <c r="V8" i="66" s="1"/>
  <c r="V10" i="80"/>
  <c r="U8" i="66" s="1"/>
  <c r="U10" i="80"/>
  <c r="T8" i="66" s="1"/>
  <c r="T10" i="80"/>
  <c r="S8" i="66" s="1"/>
  <c r="S10" i="80"/>
  <c r="R10" i="80"/>
  <c r="Q8" i="66" s="1"/>
  <c r="Q10" i="80"/>
  <c r="P8" i="66" s="1"/>
  <c r="P10" i="80"/>
  <c r="O8" i="66" s="1"/>
  <c r="O10" i="80"/>
  <c r="K10" i="80"/>
  <c r="L8" i="66" s="1"/>
  <c r="U7" i="80"/>
  <c r="T7" i="80"/>
  <c r="Q7" i="80"/>
  <c r="K7" i="80"/>
  <c r="L7" i="66" s="1"/>
  <c r="J256" i="82"/>
  <c r="L256" i="82" s="1"/>
  <c r="J255" i="82"/>
  <c r="L255" i="82" s="1"/>
  <c r="J254" i="82"/>
  <c r="L254" i="82" s="1"/>
  <c r="J253" i="82"/>
  <c r="L253" i="82" s="1"/>
  <c r="J252" i="82"/>
  <c r="L252" i="82" s="1"/>
  <c r="J251" i="82"/>
  <c r="J250" i="82"/>
  <c r="L250" i="82" s="1"/>
  <c r="X249" i="82"/>
  <c r="W249" i="82"/>
  <c r="V249" i="82"/>
  <c r="U249" i="82"/>
  <c r="T249" i="82"/>
  <c r="S249" i="82"/>
  <c r="R249" i="82"/>
  <c r="Q249" i="82"/>
  <c r="P249" i="82"/>
  <c r="O249" i="82"/>
  <c r="N249" i="82"/>
  <c r="M249" i="82"/>
  <c r="K249" i="82"/>
  <c r="J248" i="82"/>
  <c r="L248" i="82" s="1"/>
  <c r="J247" i="82"/>
  <c r="X246" i="82"/>
  <c r="W246" i="82"/>
  <c r="V246" i="82"/>
  <c r="U246" i="82"/>
  <c r="T246" i="82"/>
  <c r="S246" i="82"/>
  <c r="R246" i="82"/>
  <c r="Q246" i="82"/>
  <c r="P246" i="82"/>
  <c r="O246" i="82"/>
  <c r="N246" i="82"/>
  <c r="M246" i="82"/>
  <c r="K246" i="82"/>
  <c r="J245" i="82"/>
  <c r="L245" i="82" s="1"/>
  <c r="J244" i="82"/>
  <c r="L244" i="82" s="1"/>
  <c r="J243" i="82"/>
  <c r="L243" i="82" s="1"/>
  <c r="J242" i="82"/>
  <c r="L242" i="82" s="1"/>
  <c r="J241" i="82"/>
  <c r="L241" i="82" s="1"/>
  <c r="J240" i="82"/>
  <c r="L240" i="82" s="1"/>
  <c r="J239" i="82"/>
  <c r="L239" i="82" s="1"/>
  <c r="J238" i="82"/>
  <c r="L238" i="82" s="1"/>
  <c r="J237" i="82"/>
  <c r="L237" i="82" s="1"/>
  <c r="J236" i="82"/>
  <c r="L236" i="82" s="1"/>
  <c r="J235" i="82"/>
  <c r="L235" i="82" s="1"/>
  <c r="J234" i="82"/>
  <c r="X233" i="82"/>
  <c r="W233" i="82"/>
  <c r="V233" i="82"/>
  <c r="U233" i="82"/>
  <c r="T233" i="82"/>
  <c r="S233" i="82"/>
  <c r="R233" i="82"/>
  <c r="Q233" i="82"/>
  <c r="P233" i="82"/>
  <c r="O233" i="82"/>
  <c r="N233" i="82"/>
  <c r="M233" i="82"/>
  <c r="K233" i="82"/>
  <c r="J232" i="82"/>
  <c r="L232" i="82" s="1"/>
  <c r="J231" i="82"/>
  <c r="J230" i="82"/>
  <c r="L230" i="82" s="1"/>
  <c r="X229" i="82"/>
  <c r="W229" i="82"/>
  <c r="V229" i="82"/>
  <c r="U229" i="82"/>
  <c r="T229" i="82"/>
  <c r="S229" i="82"/>
  <c r="R229" i="82"/>
  <c r="Q229" i="82"/>
  <c r="P229" i="82"/>
  <c r="O229" i="82"/>
  <c r="N229" i="82"/>
  <c r="M229" i="82"/>
  <c r="K229" i="82"/>
  <c r="J226" i="82"/>
  <c r="L226" i="82" s="1"/>
  <c r="J225" i="82"/>
  <c r="L225" i="82" s="1"/>
  <c r="J224" i="82"/>
  <c r="L224" i="82" s="1"/>
  <c r="J223" i="82"/>
  <c r="L223" i="82" s="1"/>
  <c r="J222" i="82"/>
  <c r="L222" i="82" s="1"/>
  <c r="J221" i="82"/>
  <c r="L221" i="82" s="1"/>
  <c r="J220" i="82"/>
  <c r="L220" i="82" s="1"/>
  <c r="J219" i="82"/>
  <c r="L219" i="82" s="1"/>
  <c r="J218" i="82"/>
  <c r="J217" i="82"/>
  <c r="L217" i="82" s="1"/>
  <c r="X216" i="82"/>
  <c r="W216" i="82"/>
  <c r="V216" i="82"/>
  <c r="U216" i="82"/>
  <c r="T216" i="82"/>
  <c r="S216" i="82"/>
  <c r="R216" i="82"/>
  <c r="Q216" i="82"/>
  <c r="P216" i="82"/>
  <c r="O216" i="82"/>
  <c r="N216" i="82"/>
  <c r="M216" i="82"/>
  <c r="K216" i="82"/>
  <c r="J215" i="82"/>
  <c r="L215" i="82" s="1"/>
  <c r="J214" i="82"/>
  <c r="L214" i="82" s="1"/>
  <c r="J213" i="82"/>
  <c r="L213" i="82" s="1"/>
  <c r="J212" i="82"/>
  <c r="L212" i="82" s="1"/>
  <c r="J211" i="82"/>
  <c r="L211" i="82" s="1"/>
  <c r="J210" i="82"/>
  <c r="L210" i="82" s="1"/>
  <c r="J209" i="82"/>
  <c r="L209" i="82" s="1"/>
  <c r="J208" i="82"/>
  <c r="L208" i="82" s="1"/>
  <c r="J207" i="82"/>
  <c r="L207" i="82" s="1"/>
  <c r="J206" i="82"/>
  <c r="L206" i="82" s="1"/>
  <c r="J205" i="82"/>
  <c r="L205" i="82" s="1"/>
  <c r="J204" i="82"/>
  <c r="L204" i="82" s="1"/>
  <c r="J203" i="82"/>
  <c r="X202" i="82"/>
  <c r="W202" i="82"/>
  <c r="V202" i="82"/>
  <c r="U202" i="82"/>
  <c r="T202" i="82"/>
  <c r="S202" i="82"/>
  <c r="R202" i="82"/>
  <c r="Q202" i="82"/>
  <c r="P202" i="82"/>
  <c r="O202" i="82"/>
  <c r="N202" i="82"/>
  <c r="M202" i="82"/>
  <c r="K202" i="82"/>
  <c r="J201" i="82"/>
  <c r="L201" i="82" s="1"/>
  <c r="J200" i="82"/>
  <c r="L200" i="82" s="1"/>
  <c r="X199" i="82"/>
  <c r="W199" i="82"/>
  <c r="V199" i="82"/>
  <c r="U199" i="82"/>
  <c r="T199" i="82"/>
  <c r="S199" i="82"/>
  <c r="R199" i="82"/>
  <c r="Q199" i="82"/>
  <c r="P199" i="82"/>
  <c r="O199" i="82"/>
  <c r="N199" i="82"/>
  <c r="M199" i="82"/>
  <c r="K199" i="82"/>
  <c r="J198" i="82"/>
  <c r="L198" i="82" s="1"/>
  <c r="J197" i="82"/>
  <c r="L197" i="82" s="1"/>
  <c r="J196" i="82"/>
  <c r="L196" i="82" s="1"/>
  <c r="J195" i="82"/>
  <c r="L195" i="82" s="1"/>
  <c r="J194" i="82"/>
  <c r="L194" i="82" s="1"/>
  <c r="J193" i="82"/>
  <c r="L193" i="82" s="1"/>
  <c r="J192" i="82"/>
  <c r="L192" i="82" s="1"/>
  <c r="J191" i="82"/>
  <c r="L191" i="82" s="1"/>
  <c r="J190" i="82"/>
  <c r="L190" i="82" s="1"/>
  <c r="J189" i="82"/>
  <c r="L189" i="82" s="1"/>
  <c r="X188" i="82"/>
  <c r="W188" i="82"/>
  <c r="V188" i="82"/>
  <c r="U188" i="82"/>
  <c r="T188" i="82"/>
  <c r="S188" i="82"/>
  <c r="R188" i="82"/>
  <c r="Q188" i="82"/>
  <c r="P188" i="82"/>
  <c r="O188" i="82"/>
  <c r="N188" i="82"/>
  <c r="M188" i="82"/>
  <c r="K188" i="82"/>
  <c r="J187" i="82"/>
  <c r="L187" i="82" s="1"/>
  <c r="J186" i="82"/>
  <c r="L186" i="82" s="1"/>
  <c r="J185" i="82"/>
  <c r="L185" i="82" s="1"/>
  <c r="J184" i="82"/>
  <c r="L184" i="82" s="1"/>
  <c r="J183" i="82"/>
  <c r="L183" i="82" s="1"/>
  <c r="J182" i="82"/>
  <c r="L182" i="82" s="1"/>
  <c r="J181" i="82"/>
  <c r="L181" i="82" s="1"/>
  <c r="J180" i="82"/>
  <c r="L180" i="82" s="1"/>
  <c r="J179" i="82"/>
  <c r="J178" i="82"/>
  <c r="X177" i="82"/>
  <c r="W177" i="82"/>
  <c r="V177" i="82"/>
  <c r="U177" i="82"/>
  <c r="T177" i="82"/>
  <c r="S177" i="82"/>
  <c r="R177" i="82"/>
  <c r="Q177" i="82"/>
  <c r="P177" i="82"/>
  <c r="O177" i="82"/>
  <c r="N177" i="82"/>
  <c r="M177" i="82"/>
  <c r="K177" i="82"/>
  <c r="J176" i="82"/>
  <c r="L176" i="82" s="1"/>
  <c r="J175" i="82"/>
  <c r="L175" i="82" s="1"/>
  <c r="J174" i="82"/>
  <c r="L174" i="82" s="1"/>
  <c r="J173" i="82"/>
  <c r="L173" i="82" s="1"/>
  <c r="J172" i="82"/>
  <c r="L172" i="82" s="1"/>
  <c r="J171" i="82"/>
  <c r="L171" i="82" s="1"/>
  <c r="J170" i="82"/>
  <c r="L170" i="82" s="1"/>
  <c r="J169" i="82"/>
  <c r="L169" i="82" s="1"/>
  <c r="J168" i="82"/>
  <c r="L168" i="82" s="1"/>
  <c r="J167" i="82"/>
  <c r="X166" i="82"/>
  <c r="W166" i="82"/>
  <c r="V166" i="82"/>
  <c r="U166" i="82"/>
  <c r="T166" i="82"/>
  <c r="S166" i="82"/>
  <c r="R166" i="82"/>
  <c r="Q166" i="82"/>
  <c r="P166" i="82"/>
  <c r="O166" i="82"/>
  <c r="N166" i="82"/>
  <c r="M166" i="82"/>
  <c r="K166" i="82"/>
  <c r="J165" i="82"/>
  <c r="L165" i="82" s="1"/>
  <c r="J163" i="82"/>
  <c r="L163" i="82" s="1"/>
  <c r="J162" i="82"/>
  <c r="L162" i="82" s="1"/>
  <c r="J161" i="82"/>
  <c r="L161" i="82" s="1"/>
  <c r="J160" i="82"/>
  <c r="X159" i="82"/>
  <c r="W159" i="82"/>
  <c r="V159" i="82"/>
  <c r="U159" i="82"/>
  <c r="T159" i="82"/>
  <c r="S159" i="82"/>
  <c r="R159" i="82"/>
  <c r="Q159" i="82"/>
  <c r="P159" i="82"/>
  <c r="O159" i="82"/>
  <c r="N159" i="82"/>
  <c r="M159" i="82"/>
  <c r="K159" i="82"/>
  <c r="J158" i="82"/>
  <c r="L158" i="82" s="1"/>
  <c r="J157" i="82"/>
  <c r="L157" i="82" s="1"/>
  <c r="J156" i="82"/>
  <c r="L156" i="82" s="1"/>
  <c r="J155" i="82"/>
  <c r="L155" i="82" s="1"/>
  <c r="J154" i="82"/>
  <c r="L154" i="82" s="1"/>
  <c r="J153" i="82"/>
  <c r="L153" i="82" s="1"/>
  <c r="J152" i="82"/>
  <c r="X151" i="82"/>
  <c r="X149" i="82" s="1"/>
  <c r="W151" i="82"/>
  <c r="W149" i="82" s="1"/>
  <c r="V151" i="82"/>
  <c r="V149" i="82" s="1"/>
  <c r="U151" i="82"/>
  <c r="U149" i="82" s="1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K151" i="82"/>
  <c r="K149" i="82" s="1"/>
  <c r="J150" i="82"/>
  <c r="L150" i="82" s="1"/>
  <c r="J148" i="82"/>
  <c r="L148" i="82" s="1"/>
  <c r="J147" i="82"/>
  <c r="L147" i="82" s="1"/>
  <c r="J146" i="82"/>
  <c r="L146" i="82" s="1"/>
  <c r="J145" i="82"/>
  <c r="L145" i="82" s="1"/>
  <c r="J144" i="82"/>
  <c r="L144" i="82" s="1"/>
  <c r="J143" i="82"/>
  <c r="L143" i="82" s="1"/>
  <c r="J142" i="82"/>
  <c r="L142" i="82" s="1"/>
  <c r="J141" i="82"/>
  <c r="L141" i="82" s="1"/>
  <c r="J140" i="82"/>
  <c r="L140" i="82" s="1"/>
  <c r="J139" i="82"/>
  <c r="L139" i="82" s="1"/>
  <c r="J138" i="82"/>
  <c r="L138" i="82" s="1"/>
  <c r="X137" i="82"/>
  <c r="W137" i="82"/>
  <c r="V137" i="82"/>
  <c r="U137" i="82"/>
  <c r="T137" i="82"/>
  <c r="S137" i="82"/>
  <c r="R137" i="82"/>
  <c r="Q137" i="82"/>
  <c r="P137" i="82"/>
  <c r="O137" i="82"/>
  <c r="N137" i="82"/>
  <c r="M137" i="82"/>
  <c r="K137" i="82"/>
  <c r="J136" i="82"/>
  <c r="L136" i="82" s="1"/>
  <c r="J135" i="82"/>
  <c r="L135" i="82" s="1"/>
  <c r="J134" i="82"/>
  <c r="L134" i="82" s="1"/>
  <c r="J133" i="82"/>
  <c r="L133" i="82" s="1"/>
  <c r="J132" i="82"/>
  <c r="L132" i="82" s="1"/>
  <c r="J131" i="82"/>
  <c r="L131" i="82" s="1"/>
  <c r="J130" i="82"/>
  <c r="L130" i="82" s="1"/>
  <c r="J129" i="82"/>
  <c r="L129" i="82" s="1"/>
  <c r="J128" i="82"/>
  <c r="L128" i="82" s="1"/>
  <c r="J127" i="82"/>
  <c r="L127" i="82" s="1"/>
  <c r="J126" i="82"/>
  <c r="J125" i="82"/>
  <c r="L125" i="82" s="1"/>
  <c r="J124" i="82"/>
  <c r="L124" i="82" s="1"/>
  <c r="J123" i="82"/>
  <c r="L123" i="82" s="1"/>
  <c r="X122" i="82"/>
  <c r="W122" i="82"/>
  <c r="V122" i="82"/>
  <c r="U122" i="82"/>
  <c r="T122" i="82"/>
  <c r="S122" i="82"/>
  <c r="R122" i="82"/>
  <c r="Q122" i="82"/>
  <c r="P122" i="82"/>
  <c r="O122" i="82"/>
  <c r="N122" i="82"/>
  <c r="M122" i="82"/>
  <c r="K122" i="82"/>
  <c r="J121" i="82"/>
  <c r="L121" i="82" s="1"/>
  <c r="J120" i="82"/>
  <c r="L120" i="82" s="1"/>
  <c r="X119" i="82"/>
  <c r="W119" i="82"/>
  <c r="V119" i="82"/>
  <c r="U119" i="82"/>
  <c r="T119" i="82"/>
  <c r="S119" i="82"/>
  <c r="R119" i="82"/>
  <c r="Q119" i="82"/>
  <c r="P119" i="82"/>
  <c r="O119" i="82"/>
  <c r="N119" i="82"/>
  <c r="M119" i="82"/>
  <c r="K119" i="82"/>
  <c r="J118" i="82"/>
  <c r="L118" i="82" s="1"/>
  <c r="J117" i="82"/>
  <c r="L117" i="82" s="1"/>
  <c r="J116" i="82"/>
  <c r="L116" i="82" s="1"/>
  <c r="J115" i="82"/>
  <c r="L115" i="82" s="1"/>
  <c r="J114" i="82"/>
  <c r="L114" i="82" s="1"/>
  <c r="J113" i="82"/>
  <c r="L113" i="82" s="1"/>
  <c r="J112" i="82"/>
  <c r="L112" i="82" s="1"/>
  <c r="J111" i="82"/>
  <c r="L111" i="82" s="1"/>
  <c r="J110" i="82"/>
  <c r="L110" i="82" s="1"/>
  <c r="J109" i="82"/>
  <c r="X108" i="82"/>
  <c r="W108" i="82"/>
  <c r="V108" i="82"/>
  <c r="U108" i="82"/>
  <c r="T108" i="82"/>
  <c r="S108" i="82"/>
  <c r="R108" i="82"/>
  <c r="Q108" i="82"/>
  <c r="P108" i="82"/>
  <c r="O108" i="82"/>
  <c r="N108" i="82"/>
  <c r="M108" i="82"/>
  <c r="K108" i="82"/>
  <c r="J107" i="82"/>
  <c r="L107" i="82" s="1"/>
  <c r="J106" i="82"/>
  <c r="L106" i="82" s="1"/>
  <c r="J105" i="82"/>
  <c r="L105" i="82" s="1"/>
  <c r="J104" i="82"/>
  <c r="L104" i="82" s="1"/>
  <c r="J103" i="82"/>
  <c r="L103" i="82" s="1"/>
  <c r="J102" i="82"/>
  <c r="L102" i="82" s="1"/>
  <c r="J101" i="82"/>
  <c r="L101" i="82" s="1"/>
  <c r="J100" i="82"/>
  <c r="L100" i="82" s="1"/>
  <c r="J99" i="82"/>
  <c r="L99" i="82" s="1"/>
  <c r="J98" i="82"/>
  <c r="X97" i="82"/>
  <c r="W97" i="82"/>
  <c r="V97" i="82"/>
  <c r="U97" i="82"/>
  <c r="T97" i="82"/>
  <c r="S97" i="82"/>
  <c r="R97" i="82"/>
  <c r="Q97" i="82"/>
  <c r="P97" i="82"/>
  <c r="O97" i="82"/>
  <c r="N97" i="82"/>
  <c r="M97" i="82"/>
  <c r="K97" i="82"/>
  <c r="J96" i="82"/>
  <c r="L96" i="82" s="1"/>
  <c r="J95" i="82"/>
  <c r="L95" i="82" s="1"/>
  <c r="J94" i="82"/>
  <c r="L94" i="82" s="1"/>
  <c r="J93" i="82"/>
  <c r="L93" i="82" s="1"/>
  <c r="J92" i="82"/>
  <c r="L92" i="82" s="1"/>
  <c r="J91" i="82"/>
  <c r="L91" i="82" s="1"/>
  <c r="J90" i="82"/>
  <c r="L90" i="82" s="1"/>
  <c r="J89" i="82"/>
  <c r="L89" i="82" s="1"/>
  <c r="J88" i="82"/>
  <c r="L88" i="82" s="1"/>
  <c r="J87" i="82"/>
  <c r="L87" i="82" s="1"/>
  <c r="X86" i="82"/>
  <c r="W86" i="82"/>
  <c r="V86" i="82"/>
  <c r="U86" i="82"/>
  <c r="T86" i="82"/>
  <c r="S86" i="82"/>
  <c r="R86" i="82"/>
  <c r="Q86" i="82"/>
  <c r="P86" i="82"/>
  <c r="O86" i="82"/>
  <c r="N86" i="82"/>
  <c r="M86" i="82"/>
  <c r="K86" i="82"/>
  <c r="J85" i="82"/>
  <c r="L85" i="82" s="1"/>
  <c r="J84" i="82"/>
  <c r="L84" i="82" s="1"/>
  <c r="J83" i="82"/>
  <c r="L83" i="82" s="1"/>
  <c r="J82" i="82"/>
  <c r="X81" i="82"/>
  <c r="W81" i="82"/>
  <c r="V81" i="82"/>
  <c r="U81" i="82"/>
  <c r="T81" i="82"/>
  <c r="S81" i="82"/>
  <c r="R81" i="82"/>
  <c r="Q81" i="82"/>
  <c r="P81" i="82"/>
  <c r="O81" i="82"/>
  <c r="N81" i="82"/>
  <c r="M81" i="82"/>
  <c r="K81" i="82"/>
  <c r="J80" i="82"/>
  <c r="L80" i="82" s="1"/>
  <c r="J79" i="82"/>
  <c r="X78" i="82"/>
  <c r="W78" i="82"/>
  <c r="V78" i="82"/>
  <c r="U78" i="82"/>
  <c r="T78" i="82"/>
  <c r="S78" i="82"/>
  <c r="R78" i="82"/>
  <c r="Q78" i="82"/>
  <c r="P78" i="82"/>
  <c r="O78" i="82"/>
  <c r="N78" i="82"/>
  <c r="M78" i="82"/>
  <c r="K78" i="82"/>
  <c r="J76" i="82"/>
  <c r="L76" i="82" s="1"/>
  <c r="J75" i="82"/>
  <c r="L75" i="82" s="1"/>
  <c r="J74" i="82"/>
  <c r="L74" i="82" s="1"/>
  <c r="J73" i="82"/>
  <c r="X72" i="82"/>
  <c r="W72" i="82"/>
  <c r="V72" i="82"/>
  <c r="U72" i="82"/>
  <c r="T72" i="82"/>
  <c r="S72" i="82"/>
  <c r="R72" i="82"/>
  <c r="Q72" i="82"/>
  <c r="P72" i="82"/>
  <c r="O72" i="82"/>
  <c r="N72" i="82"/>
  <c r="M72" i="82"/>
  <c r="K72" i="82"/>
  <c r="J71" i="82"/>
  <c r="L71" i="82" s="1"/>
  <c r="J70" i="82"/>
  <c r="J69" i="82"/>
  <c r="L69" i="82" s="1"/>
  <c r="X68" i="82"/>
  <c r="W68" i="82"/>
  <c r="V68" i="82"/>
  <c r="V61" i="82" s="1"/>
  <c r="U68" i="82"/>
  <c r="T68" i="82"/>
  <c r="S68" i="82"/>
  <c r="R68" i="82"/>
  <c r="R61" i="82" s="1"/>
  <c r="Q68" i="82"/>
  <c r="P68" i="82"/>
  <c r="O68" i="82"/>
  <c r="N68" i="82"/>
  <c r="N61" i="82" s="1"/>
  <c r="M68" i="82"/>
  <c r="K68" i="82"/>
  <c r="J67" i="82"/>
  <c r="L67" i="82" s="1"/>
  <c r="J66" i="82"/>
  <c r="L66" i="82" s="1"/>
  <c r="J65" i="82"/>
  <c r="L65" i="82" s="1"/>
  <c r="J64" i="82"/>
  <c r="L64" i="82" s="1"/>
  <c r="J63" i="82"/>
  <c r="L63" i="82" s="1"/>
  <c r="J62" i="82"/>
  <c r="L62" i="82" s="1"/>
  <c r="J60" i="82"/>
  <c r="L60" i="82" s="1"/>
  <c r="J59" i="82"/>
  <c r="L59" i="82" s="1"/>
  <c r="J58" i="82"/>
  <c r="L58" i="82" s="1"/>
  <c r="J57" i="82"/>
  <c r="L57" i="82" s="1"/>
  <c r="J56" i="82"/>
  <c r="X55" i="82"/>
  <c r="W55" i="82"/>
  <c r="V55" i="82"/>
  <c r="U55" i="82"/>
  <c r="T55" i="82"/>
  <c r="S55" i="82"/>
  <c r="R55" i="82"/>
  <c r="Q55" i="82"/>
  <c r="P55" i="82"/>
  <c r="O55" i="82"/>
  <c r="N55" i="82"/>
  <c r="M55" i="82"/>
  <c r="K55" i="82"/>
  <c r="J54" i="82"/>
  <c r="L54" i="82" s="1"/>
  <c r="J53" i="82"/>
  <c r="X52" i="82"/>
  <c r="W52" i="82"/>
  <c r="V52" i="82"/>
  <c r="U52" i="82"/>
  <c r="T52" i="82"/>
  <c r="S52" i="82"/>
  <c r="R52" i="82"/>
  <c r="Q52" i="82"/>
  <c r="P52" i="82"/>
  <c r="O52" i="82"/>
  <c r="N52" i="82"/>
  <c r="M52" i="82"/>
  <c r="K52" i="82"/>
  <c r="J51" i="82"/>
  <c r="J50" i="82"/>
  <c r="L50" i="82" s="1"/>
  <c r="J49" i="82"/>
  <c r="J48" i="82"/>
  <c r="L48" i="82" s="1"/>
  <c r="X47" i="82"/>
  <c r="W47" i="82"/>
  <c r="V47" i="82"/>
  <c r="U47" i="82"/>
  <c r="T47" i="82"/>
  <c r="S47" i="82"/>
  <c r="R47" i="82"/>
  <c r="Q47" i="82"/>
  <c r="P47" i="82"/>
  <c r="O47" i="82"/>
  <c r="N47" i="82"/>
  <c r="M47" i="82"/>
  <c r="K47" i="82"/>
  <c r="J46" i="82"/>
  <c r="L46" i="82" s="1"/>
  <c r="J45" i="82"/>
  <c r="L45" i="82" s="1"/>
  <c r="J44" i="82"/>
  <c r="L43" i="82"/>
  <c r="L42" i="82"/>
  <c r="X41" i="82"/>
  <c r="W41" i="82"/>
  <c r="V41" i="82"/>
  <c r="U41" i="82"/>
  <c r="T41" i="82"/>
  <c r="S41" i="82"/>
  <c r="R41" i="82"/>
  <c r="Q41" i="82"/>
  <c r="P41" i="82"/>
  <c r="O41" i="82"/>
  <c r="N41" i="82"/>
  <c r="M41" i="82"/>
  <c r="K41" i="82"/>
  <c r="L41" i="82" s="1"/>
  <c r="J39" i="82"/>
  <c r="L39" i="82" s="1"/>
  <c r="J38" i="82"/>
  <c r="X37" i="82"/>
  <c r="W37" i="82"/>
  <c r="V37" i="82"/>
  <c r="U37" i="82"/>
  <c r="T37" i="82"/>
  <c r="S37" i="82"/>
  <c r="R37" i="82"/>
  <c r="Q37" i="82"/>
  <c r="P37" i="82"/>
  <c r="O37" i="82"/>
  <c r="N37" i="82"/>
  <c r="M37" i="82"/>
  <c r="K37" i="82"/>
  <c r="J36" i="82"/>
  <c r="L36" i="82" s="1"/>
  <c r="J35" i="82"/>
  <c r="L35" i="82" s="1"/>
  <c r="J34" i="82"/>
  <c r="L34" i="82" s="1"/>
  <c r="X33" i="82"/>
  <c r="W33" i="82"/>
  <c r="V33" i="82"/>
  <c r="U33" i="82"/>
  <c r="T33" i="82"/>
  <c r="S33" i="82"/>
  <c r="R33" i="82"/>
  <c r="Q33" i="82"/>
  <c r="P33" i="82"/>
  <c r="O33" i="82"/>
  <c r="N33" i="82"/>
  <c r="M33" i="82"/>
  <c r="K33" i="82"/>
  <c r="J31" i="82"/>
  <c r="L31" i="82" s="1"/>
  <c r="J30" i="82"/>
  <c r="L30" i="82" s="1"/>
  <c r="J29" i="82"/>
  <c r="L29" i="82" s="1"/>
  <c r="J28" i="82"/>
  <c r="L28" i="82" s="1"/>
  <c r="J27" i="82"/>
  <c r="L27" i="82" s="1"/>
  <c r="J26" i="82"/>
  <c r="L26" i="82" s="1"/>
  <c r="J25" i="82"/>
  <c r="X24" i="82"/>
  <c r="W24" i="82"/>
  <c r="V24" i="82"/>
  <c r="U24" i="82"/>
  <c r="T24" i="82"/>
  <c r="S24" i="82"/>
  <c r="R24" i="82"/>
  <c r="Q24" i="82"/>
  <c r="P24" i="82"/>
  <c r="O24" i="82"/>
  <c r="N24" i="82"/>
  <c r="M24" i="82"/>
  <c r="K24" i="82"/>
  <c r="J23" i="82"/>
  <c r="L23" i="82" s="1"/>
  <c r="J22" i="82"/>
  <c r="L22" i="82" s="1"/>
  <c r="J21" i="82"/>
  <c r="X20" i="82"/>
  <c r="W20" i="82"/>
  <c r="V20" i="82"/>
  <c r="U20" i="82"/>
  <c r="T20" i="82"/>
  <c r="S20" i="82"/>
  <c r="R20" i="82"/>
  <c r="Q20" i="82"/>
  <c r="P20" i="82"/>
  <c r="O20" i="82"/>
  <c r="N20" i="82"/>
  <c r="M20" i="82"/>
  <c r="K20" i="82"/>
  <c r="J19" i="82"/>
  <c r="L19" i="82" s="1"/>
  <c r="J18" i="82"/>
  <c r="L18" i="82" s="1"/>
  <c r="J17" i="82"/>
  <c r="L17" i="82" s="1"/>
  <c r="J16" i="82"/>
  <c r="L16" i="82" s="1"/>
  <c r="J15" i="82"/>
  <c r="L15" i="82" s="1"/>
  <c r="J14" i="82"/>
  <c r="L14" i="82" s="1"/>
  <c r="J13" i="82"/>
  <c r="L13" i="82" s="1"/>
  <c r="J12" i="82"/>
  <c r="L12" i="82" s="1"/>
  <c r="J11" i="82"/>
  <c r="L11" i="82" s="1"/>
  <c r="J10" i="82"/>
  <c r="L10" i="82" s="1"/>
  <c r="J9" i="82"/>
  <c r="L9" i="82" s="1"/>
  <c r="J8" i="82"/>
  <c r="L8" i="82" s="1"/>
  <c r="J7" i="82"/>
  <c r="L7" i="82" s="1"/>
  <c r="X6" i="82"/>
  <c r="W6" i="82"/>
  <c r="V6" i="82"/>
  <c r="U6" i="82"/>
  <c r="T6" i="82"/>
  <c r="S6" i="82"/>
  <c r="R6" i="82"/>
  <c r="Q6" i="82"/>
  <c r="P6" i="82"/>
  <c r="O6" i="82"/>
  <c r="N6" i="82"/>
  <c r="M6" i="82"/>
  <c r="K6" i="82"/>
  <c r="J258" i="81"/>
  <c r="L258" i="81" s="1"/>
  <c r="J257" i="81"/>
  <c r="L257" i="81" s="1"/>
  <c r="J256" i="81"/>
  <c r="J255" i="81"/>
  <c r="L255" i="81" s="1"/>
  <c r="J254" i="81"/>
  <c r="L254" i="81" s="1"/>
  <c r="J253" i="81"/>
  <c r="L253" i="81" s="1"/>
  <c r="J252" i="81"/>
  <c r="L252" i="81" s="1"/>
  <c r="X251" i="81"/>
  <c r="W251" i="81"/>
  <c r="V251" i="81"/>
  <c r="U251" i="81"/>
  <c r="T251" i="81"/>
  <c r="S251" i="81"/>
  <c r="R251" i="81"/>
  <c r="Q251" i="81"/>
  <c r="P251" i="81"/>
  <c r="O251" i="81"/>
  <c r="N251" i="81"/>
  <c r="M251" i="81"/>
  <c r="K251" i="81"/>
  <c r="J250" i="81"/>
  <c r="L250" i="81" s="1"/>
  <c r="J249" i="81"/>
  <c r="X248" i="81"/>
  <c r="W248" i="81"/>
  <c r="V248" i="81"/>
  <c r="U248" i="81"/>
  <c r="T248" i="81"/>
  <c r="S248" i="81"/>
  <c r="R248" i="81"/>
  <c r="Q248" i="81"/>
  <c r="P248" i="81"/>
  <c r="O248" i="81"/>
  <c r="N248" i="81"/>
  <c r="M248" i="81"/>
  <c r="K248" i="81"/>
  <c r="J247" i="81"/>
  <c r="L247" i="81" s="1"/>
  <c r="J246" i="81"/>
  <c r="L246" i="81" s="1"/>
  <c r="J245" i="81"/>
  <c r="L245" i="81" s="1"/>
  <c r="J244" i="81"/>
  <c r="L244" i="81" s="1"/>
  <c r="J243" i="81"/>
  <c r="L243" i="81" s="1"/>
  <c r="J242" i="81"/>
  <c r="L242" i="81" s="1"/>
  <c r="J241" i="81"/>
  <c r="L241" i="81" s="1"/>
  <c r="J240" i="81"/>
  <c r="L240" i="81" s="1"/>
  <c r="J239" i="81"/>
  <c r="L239" i="81" s="1"/>
  <c r="J238" i="81"/>
  <c r="L238" i="81" s="1"/>
  <c r="J237" i="81"/>
  <c r="J236" i="81"/>
  <c r="L236" i="81" s="1"/>
  <c r="X235" i="81"/>
  <c r="W235" i="81"/>
  <c r="V235" i="81"/>
  <c r="U235" i="81"/>
  <c r="T235" i="81"/>
  <c r="S235" i="81"/>
  <c r="R235" i="81"/>
  <c r="Q235" i="81"/>
  <c r="P235" i="81"/>
  <c r="O235" i="81"/>
  <c r="N235" i="81"/>
  <c r="M235" i="81"/>
  <c r="K235" i="81"/>
  <c r="J234" i="81"/>
  <c r="L234" i="81" s="1"/>
  <c r="J233" i="81"/>
  <c r="L233" i="81" s="1"/>
  <c r="J232" i="81"/>
  <c r="X231" i="81"/>
  <c r="W231" i="81"/>
  <c r="V231" i="81"/>
  <c r="U231" i="81"/>
  <c r="T231" i="81"/>
  <c r="S231" i="81"/>
  <c r="R231" i="81"/>
  <c r="Q231" i="81"/>
  <c r="P231" i="81"/>
  <c r="O231" i="81"/>
  <c r="N231" i="81"/>
  <c r="M231" i="81"/>
  <c r="K231" i="81"/>
  <c r="J228" i="81"/>
  <c r="L228" i="81" s="1"/>
  <c r="J227" i="81"/>
  <c r="L227" i="81" s="1"/>
  <c r="J226" i="81"/>
  <c r="L226" i="81" s="1"/>
  <c r="J225" i="81"/>
  <c r="L225" i="81" s="1"/>
  <c r="J224" i="81"/>
  <c r="L224" i="81" s="1"/>
  <c r="J223" i="81"/>
  <c r="L223" i="81" s="1"/>
  <c r="J222" i="81"/>
  <c r="L222" i="81" s="1"/>
  <c r="J221" i="81"/>
  <c r="L221" i="81" s="1"/>
  <c r="J220" i="81"/>
  <c r="L220" i="81" s="1"/>
  <c r="J219" i="81"/>
  <c r="X218" i="81"/>
  <c r="W218" i="81"/>
  <c r="V218" i="81"/>
  <c r="U218" i="81"/>
  <c r="T218" i="81"/>
  <c r="S218" i="81"/>
  <c r="R218" i="81"/>
  <c r="Q218" i="81"/>
  <c r="P218" i="81"/>
  <c r="O218" i="81"/>
  <c r="N218" i="81"/>
  <c r="M218" i="81"/>
  <c r="K218" i="81"/>
  <c r="J217" i="81"/>
  <c r="L217" i="81" s="1"/>
  <c r="J216" i="81"/>
  <c r="L216" i="81" s="1"/>
  <c r="J215" i="81"/>
  <c r="L215" i="81" s="1"/>
  <c r="J214" i="81"/>
  <c r="L214" i="81" s="1"/>
  <c r="J213" i="81"/>
  <c r="L213" i="81" s="1"/>
  <c r="J212" i="81"/>
  <c r="L212" i="81" s="1"/>
  <c r="J211" i="81"/>
  <c r="L211" i="81" s="1"/>
  <c r="J210" i="81"/>
  <c r="L210" i="81" s="1"/>
  <c r="J209" i="81"/>
  <c r="L209" i="81" s="1"/>
  <c r="J208" i="81"/>
  <c r="J207" i="81"/>
  <c r="L207" i="81" s="1"/>
  <c r="J206" i="81"/>
  <c r="L206" i="81" s="1"/>
  <c r="J205" i="81"/>
  <c r="L205" i="81" s="1"/>
  <c r="X204" i="81"/>
  <c r="W204" i="81"/>
  <c r="V204" i="81"/>
  <c r="U204" i="81"/>
  <c r="T204" i="81"/>
  <c r="S204" i="81"/>
  <c r="R204" i="81"/>
  <c r="Q204" i="81"/>
  <c r="P204" i="81"/>
  <c r="O204" i="81"/>
  <c r="N204" i="81"/>
  <c r="M204" i="81"/>
  <c r="K204" i="81"/>
  <c r="J203" i="81"/>
  <c r="L203" i="81" s="1"/>
  <c r="J202" i="81"/>
  <c r="X201" i="81"/>
  <c r="W201" i="81"/>
  <c r="V201" i="81"/>
  <c r="U201" i="81"/>
  <c r="T201" i="81"/>
  <c r="S201" i="81"/>
  <c r="R201" i="81"/>
  <c r="Q201" i="81"/>
  <c r="P201" i="81"/>
  <c r="O201" i="81"/>
  <c r="N201" i="81"/>
  <c r="M201" i="81"/>
  <c r="K201" i="81"/>
  <c r="J200" i="81"/>
  <c r="L200" i="81" s="1"/>
  <c r="J199" i="81"/>
  <c r="L199" i="81" s="1"/>
  <c r="J198" i="81"/>
  <c r="L198" i="81" s="1"/>
  <c r="J197" i="81"/>
  <c r="L197" i="81" s="1"/>
  <c r="J196" i="81"/>
  <c r="L196" i="81" s="1"/>
  <c r="J195" i="81"/>
  <c r="L195" i="81" s="1"/>
  <c r="J194" i="81"/>
  <c r="L194" i="81" s="1"/>
  <c r="J193" i="81"/>
  <c r="L193" i="81" s="1"/>
  <c r="J192" i="81"/>
  <c r="L192" i="81" s="1"/>
  <c r="J191" i="81"/>
  <c r="X190" i="81"/>
  <c r="W190" i="81"/>
  <c r="V190" i="81"/>
  <c r="U190" i="81"/>
  <c r="T190" i="81"/>
  <c r="S190" i="81"/>
  <c r="R190" i="81"/>
  <c r="Q190" i="81"/>
  <c r="P190" i="81"/>
  <c r="O190" i="81"/>
  <c r="N190" i="81"/>
  <c r="M190" i="81"/>
  <c r="K190" i="81"/>
  <c r="J189" i="81"/>
  <c r="L189" i="81" s="1"/>
  <c r="J188" i="81"/>
  <c r="J187" i="81"/>
  <c r="J186" i="81"/>
  <c r="L186" i="81" s="1"/>
  <c r="J185" i="81"/>
  <c r="L185" i="81" s="1"/>
  <c r="J184" i="81"/>
  <c r="L184" i="81" s="1"/>
  <c r="J183" i="81"/>
  <c r="L183" i="81" s="1"/>
  <c r="J182" i="81"/>
  <c r="L182" i="81" s="1"/>
  <c r="J181" i="81"/>
  <c r="L181" i="81" s="1"/>
  <c r="J180" i="81"/>
  <c r="L180" i="81" s="1"/>
  <c r="X179" i="81"/>
  <c r="W179" i="81"/>
  <c r="V179" i="81"/>
  <c r="U179" i="81"/>
  <c r="T179" i="81"/>
  <c r="S179" i="81"/>
  <c r="R179" i="81"/>
  <c r="Q179" i="81"/>
  <c r="P179" i="81"/>
  <c r="O179" i="81"/>
  <c r="N179" i="81"/>
  <c r="M179" i="81"/>
  <c r="K179" i="81"/>
  <c r="J178" i="81"/>
  <c r="L178" i="81" s="1"/>
  <c r="J177" i="81"/>
  <c r="L177" i="81" s="1"/>
  <c r="J176" i="81"/>
  <c r="L176" i="81" s="1"/>
  <c r="J175" i="81"/>
  <c r="L175" i="81" s="1"/>
  <c r="J174" i="81"/>
  <c r="L174" i="81" s="1"/>
  <c r="J173" i="81"/>
  <c r="L173" i="81" s="1"/>
  <c r="J172" i="81"/>
  <c r="J171" i="81"/>
  <c r="L171" i="81" s="1"/>
  <c r="J170" i="81"/>
  <c r="L170" i="81" s="1"/>
  <c r="J169" i="81"/>
  <c r="L169" i="81" s="1"/>
  <c r="X168" i="81"/>
  <c r="W168" i="81"/>
  <c r="V168" i="81"/>
  <c r="U168" i="81"/>
  <c r="T168" i="81"/>
  <c r="S168" i="81"/>
  <c r="R168" i="81"/>
  <c r="Q168" i="81"/>
  <c r="P168" i="81"/>
  <c r="O168" i="81"/>
  <c r="N168" i="81"/>
  <c r="M168" i="81"/>
  <c r="K168" i="81"/>
  <c r="J167" i="81"/>
  <c r="J163" i="81"/>
  <c r="J162" i="81"/>
  <c r="J161" i="81"/>
  <c r="J158" i="81"/>
  <c r="X157" i="81"/>
  <c r="W157" i="81"/>
  <c r="V157" i="81"/>
  <c r="U157" i="81"/>
  <c r="T157" i="81"/>
  <c r="S157" i="81"/>
  <c r="R157" i="81"/>
  <c r="Q157" i="81"/>
  <c r="P157" i="81"/>
  <c r="O157" i="81"/>
  <c r="N157" i="81"/>
  <c r="M157" i="81"/>
  <c r="K157" i="81"/>
  <c r="J156" i="81"/>
  <c r="L156" i="81" s="1"/>
  <c r="J155" i="81"/>
  <c r="L155" i="81" s="1"/>
  <c r="J154" i="81"/>
  <c r="L154" i="81" s="1"/>
  <c r="J153" i="81"/>
  <c r="L153" i="81" s="1"/>
  <c r="J152" i="81"/>
  <c r="L152" i="81" s="1"/>
  <c r="J151" i="81"/>
  <c r="J150" i="81"/>
  <c r="L150" i="81" s="1"/>
  <c r="X149" i="81"/>
  <c r="X147" i="81" s="1"/>
  <c r="W149" i="81"/>
  <c r="W147" i="81" s="1"/>
  <c r="V149" i="81"/>
  <c r="V147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K149" i="81"/>
  <c r="K147" i="81" s="1"/>
  <c r="J148" i="81"/>
  <c r="J146" i="81"/>
  <c r="L146" i="81" s="1"/>
  <c r="J145" i="81"/>
  <c r="L145" i="81" s="1"/>
  <c r="J144" i="81"/>
  <c r="L144" i="81" s="1"/>
  <c r="J143" i="81"/>
  <c r="L143" i="81" s="1"/>
  <c r="J142" i="81"/>
  <c r="L142" i="81" s="1"/>
  <c r="J141" i="81"/>
  <c r="L141" i="81" s="1"/>
  <c r="J140" i="81"/>
  <c r="L140" i="81" s="1"/>
  <c r="J139" i="81"/>
  <c r="L139" i="81" s="1"/>
  <c r="J138" i="81"/>
  <c r="J137" i="81"/>
  <c r="L137" i="81" s="1"/>
  <c r="J136" i="81"/>
  <c r="L136" i="81" s="1"/>
  <c r="X135" i="81"/>
  <c r="W135" i="81"/>
  <c r="V135" i="81"/>
  <c r="U135" i="81"/>
  <c r="T135" i="81"/>
  <c r="S135" i="81"/>
  <c r="R135" i="81"/>
  <c r="Q135" i="81"/>
  <c r="P135" i="81"/>
  <c r="O135" i="81"/>
  <c r="N135" i="81"/>
  <c r="M135" i="81"/>
  <c r="K135" i="81"/>
  <c r="J134" i="81"/>
  <c r="L134" i="81" s="1"/>
  <c r="J133" i="81"/>
  <c r="L133" i="81" s="1"/>
  <c r="J132" i="81"/>
  <c r="L132" i="81" s="1"/>
  <c r="J131" i="81"/>
  <c r="L131" i="81" s="1"/>
  <c r="J130" i="81"/>
  <c r="L130" i="81" s="1"/>
  <c r="J129" i="81"/>
  <c r="L129" i="81" s="1"/>
  <c r="J128" i="81"/>
  <c r="L128" i="81" s="1"/>
  <c r="J127" i="81"/>
  <c r="L127" i="81" s="1"/>
  <c r="J126" i="81"/>
  <c r="L126" i="81" s="1"/>
  <c r="J125" i="81"/>
  <c r="L125" i="81" s="1"/>
  <c r="J124" i="81"/>
  <c r="L124" i="81" s="1"/>
  <c r="J123" i="81"/>
  <c r="L123" i="81" s="1"/>
  <c r="J122" i="81"/>
  <c r="L122" i="81" s="1"/>
  <c r="J121" i="81"/>
  <c r="X120" i="81"/>
  <c r="W120" i="81"/>
  <c r="V120" i="81"/>
  <c r="U120" i="81"/>
  <c r="T120" i="81"/>
  <c r="S120" i="81"/>
  <c r="R120" i="81"/>
  <c r="Q120" i="81"/>
  <c r="P120" i="81"/>
  <c r="O120" i="81"/>
  <c r="N120" i="81"/>
  <c r="M120" i="81"/>
  <c r="K120" i="81"/>
  <c r="J119" i="81"/>
  <c r="L119" i="81" s="1"/>
  <c r="J118" i="81"/>
  <c r="L118" i="81" s="1"/>
  <c r="X117" i="81"/>
  <c r="W117" i="81"/>
  <c r="V117" i="81"/>
  <c r="U117" i="81"/>
  <c r="T117" i="81"/>
  <c r="S117" i="81"/>
  <c r="R117" i="81"/>
  <c r="Q117" i="81"/>
  <c r="P117" i="81"/>
  <c r="O117" i="81"/>
  <c r="N117" i="81"/>
  <c r="M117" i="81"/>
  <c r="K117" i="81"/>
  <c r="J116" i="81"/>
  <c r="L116" i="81" s="1"/>
  <c r="J115" i="81"/>
  <c r="L115" i="81" s="1"/>
  <c r="J114" i="81"/>
  <c r="L114" i="81" s="1"/>
  <c r="J113" i="81"/>
  <c r="L113" i="81" s="1"/>
  <c r="J112" i="81"/>
  <c r="L112" i="81" s="1"/>
  <c r="J111" i="81"/>
  <c r="L111" i="81" s="1"/>
  <c r="J110" i="81"/>
  <c r="J109" i="81"/>
  <c r="L109" i="81" s="1"/>
  <c r="J108" i="81"/>
  <c r="L108" i="81" s="1"/>
  <c r="J107" i="81"/>
  <c r="L107" i="81" s="1"/>
  <c r="X106" i="81"/>
  <c r="W106" i="81"/>
  <c r="V106" i="81"/>
  <c r="U106" i="81"/>
  <c r="T106" i="81"/>
  <c r="S106" i="81"/>
  <c r="R106" i="81"/>
  <c r="Q106" i="81"/>
  <c r="P106" i="81"/>
  <c r="O106" i="81"/>
  <c r="N106" i="81"/>
  <c r="M106" i="81"/>
  <c r="K106" i="81"/>
  <c r="J105" i="81"/>
  <c r="L105" i="81" s="1"/>
  <c r="J104" i="81"/>
  <c r="L104" i="81" s="1"/>
  <c r="J103" i="81"/>
  <c r="L103" i="81" s="1"/>
  <c r="J102" i="81"/>
  <c r="L102" i="81" s="1"/>
  <c r="J101" i="81"/>
  <c r="L101" i="81" s="1"/>
  <c r="J100" i="81"/>
  <c r="L100" i="81" s="1"/>
  <c r="J99" i="81"/>
  <c r="L99" i="81" s="1"/>
  <c r="J98" i="81"/>
  <c r="L98" i="81" s="1"/>
  <c r="J97" i="81"/>
  <c r="L97" i="81" s="1"/>
  <c r="J96" i="81"/>
  <c r="X95" i="81"/>
  <c r="W95" i="81"/>
  <c r="V95" i="81"/>
  <c r="U95" i="81"/>
  <c r="T95" i="81"/>
  <c r="S95" i="81"/>
  <c r="R95" i="81"/>
  <c r="Q95" i="81"/>
  <c r="P95" i="81"/>
  <c r="O95" i="81"/>
  <c r="N95" i="81"/>
  <c r="M95" i="81"/>
  <c r="K95" i="81"/>
  <c r="J94" i="81"/>
  <c r="L94" i="81" s="1"/>
  <c r="J93" i="81"/>
  <c r="L93" i="81" s="1"/>
  <c r="J92" i="81"/>
  <c r="L92" i="81" s="1"/>
  <c r="J91" i="81"/>
  <c r="L91" i="81" s="1"/>
  <c r="J90" i="81"/>
  <c r="L90" i="81" s="1"/>
  <c r="J89" i="81"/>
  <c r="L89" i="81" s="1"/>
  <c r="J88" i="81"/>
  <c r="L88" i="81" s="1"/>
  <c r="J87" i="81"/>
  <c r="L87" i="81" s="1"/>
  <c r="J86" i="81"/>
  <c r="L86" i="81" s="1"/>
  <c r="J85" i="81"/>
  <c r="X84" i="81"/>
  <c r="W84" i="81"/>
  <c r="V84" i="81"/>
  <c r="U84" i="81"/>
  <c r="T84" i="81"/>
  <c r="S84" i="81"/>
  <c r="R84" i="81"/>
  <c r="Q84" i="81"/>
  <c r="P84" i="81"/>
  <c r="O84" i="81"/>
  <c r="N84" i="81"/>
  <c r="M84" i="81"/>
  <c r="K84" i="81"/>
  <c r="J83" i="81"/>
  <c r="L83" i="81" s="1"/>
  <c r="J82" i="81"/>
  <c r="L82" i="81" s="1"/>
  <c r="J81" i="81"/>
  <c r="J80" i="81"/>
  <c r="L80" i="81" s="1"/>
  <c r="X79" i="81"/>
  <c r="W79" i="81"/>
  <c r="V79" i="81"/>
  <c r="U79" i="81"/>
  <c r="T79" i="81"/>
  <c r="S79" i="81"/>
  <c r="R79" i="81"/>
  <c r="Q79" i="81"/>
  <c r="P79" i="81"/>
  <c r="O79" i="81"/>
  <c r="N79" i="81"/>
  <c r="M79" i="81"/>
  <c r="K79" i="81"/>
  <c r="J78" i="81"/>
  <c r="L78" i="81" s="1"/>
  <c r="J77" i="81"/>
  <c r="X76" i="81"/>
  <c r="W76" i="81"/>
  <c r="V76" i="81"/>
  <c r="U76" i="81"/>
  <c r="T76" i="81"/>
  <c r="S76" i="81"/>
  <c r="R76" i="81"/>
  <c r="Q76" i="81"/>
  <c r="P76" i="81"/>
  <c r="O76" i="81"/>
  <c r="N76" i="81"/>
  <c r="M76" i="81"/>
  <c r="K76" i="81"/>
  <c r="J74" i="81"/>
  <c r="L74" i="81" s="1"/>
  <c r="J73" i="81"/>
  <c r="L73" i="81" s="1"/>
  <c r="J72" i="81"/>
  <c r="L72" i="81" s="1"/>
  <c r="J71" i="81"/>
  <c r="X70" i="81"/>
  <c r="W70" i="81"/>
  <c r="V70" i="81"/>
  <c r="U70" i="81"/>
  <c r="T70" i="81"/>
  <c r="S70" i="81"/>
  <c r="R70" i="81"/>
  <c r="Q70" i="81"/>
  <c r="P70" i="81"/>
  <c r="O70" i="81"/>
  <c r="N70" i="81"/>
  <c r="M70" i="81"/>
  <c r="K70" i="81"/>
  <c r="J69" i="81"/>
  <c r="L69" i="81" s="1"/>
  <c r="J68" i="81"/>
  <c r="J67" i="81"/>
  <c r="L67" i="81" s="1"/>
  <c r="X66" i="81"/>
  <c r="W66" i="81"/>
  <c r="W59" i="81" s="1"/>
  <c r="V66" i="81"/>
  <c r="U66" i="81"/>
  <c r="U59" i="81" s="1"/>
  <c r="T66" i="81"/>
  <c r="T59" i="81" s="1"/>
  <c r="S66" i="81"/>
  <c r="S59" i="81" s="1"/>
  <c r="R66" i="81"/>
  <c r="Q66" i="81"/>
  <c r="P66" i="81"/>
  <c r="O66" i="81"/>
  <c r="O59" i="81" s="1"/>
  <c r="N66" i="81"/>
  <c r="M66" i="81"/>
  <c r="M59" i="81" s="1"/>
  <c r="K66" i="81"/>
  <c r="K59" i="81" s="1"/>
  <c r="J65" i="81"/>
  <c r="L65" i="81" s="1"/>
  <c r="J64" i="81"/>
  <c r="L64" i="81" s="1"/>
  <c r="J63" i="81"/>
  <c r="L63" i="81" s="1"/>
  <c r="J62" i="81"/>
  <c r="L62" i="81" s="1"/>
  <c r="J61" i="81"/>
  <c r="L61" i="81" s="1"/>
  <c r="J60" i="81"/>
  <c r="Q59" i="81"/>
  <c r="J58" i="81"/>
  <c r="L58" i="81" s="1"/>
  <c r="J57" i="81"/>
  <c r="L57" i="81" s="1"/>
  <c r="J56" i="81"/>
  <c r="L56" i="81" s="1"/>
  <c r="J55" i="81"/>
  <c r="L55" i="81" s="1"/>
  <c r="J54" i="81"/>
  <c r="X53" i="81"/>
  <c r="W53" i="81"/>
  <c r="V53" i="81"/>
  <c r="U53" i="81"/>
  <c r="T53" i="81"/>
  <c r="S53" i="81"/>
  <c r="R53" i="81"/>
  <c r="Q53" i="81"/>
  <c r="P53" i="81"/>
  <c r="O53" i="81"/>
  <c r="N53" i="81"/>
  <c r="M53" i="81"/>
  <c r="K53" i="81"/>
  <c r="J52" i="81"/>
  <c r="J51" i="81"/>
  <c r="L51" i="81" s="1"/>
  <c r="X50" i="81"/>
  <c r="W50" i="81"/>
  <c r="V50" i="81"/>
  <c r="U50" i="81"/>
  <c r="T50" i="81"/>
  <c r="S50" i="81"/>
  <c r="R50" i="81"/>
  <c r="Q50" i="81"/>
  <c r="P50" i="81"/>
  <c r="O50" i="81"/>
  <c r="N50" i="81"/>
  <c r="M50" i="81"/>
  <c r="K50" i="81"/>
  <c r="J49" i="81"/>
  <c r="L49" i="81" s="1"/>
  <c r="J48" i="81"/>
  <c r="L48" i="81" s="1"/>
  <c r="J47" i="81"/>
  <c r="L47" i="81" s="1"/>
  <c r="J46" i="81"/>
  <c r="X45" i="81"/>
  <c r="X40" i="81" s="1"/>
  <c r="W45" i="81"/>
  <c r="W40" i="81" s="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K45" i="81"/>
  <c r="K40" i="81" s="1"/>
  <c r="J44" i="81"/>
  <c r="L44" i="81" s="1"/>
  <c r="J43" i="81"/>
  <c r="L43" i="81" s="1"/>
  <c r="J42" i="81"/>
  <c r="L42" i="81" s="1"/>
  <c r="J41" i="81"/>
  <c r="J39" i="81"/>
  <c r="J38" i="81"/>
  <c r="L38" i="81" s="1"/>
  <c r="X37" i="81"/>
  <c r="W37" i="81"/>
  <c r="V37" i="81"/>
  <c r="U37" i="81"/>
  <c r="T37" i="81"/>
  <c r="S37" i="81"/>
  <c r="R37" i="81"/>
  <c r="Q37" i="81"/>
  <c r="P37" i="81"/>
  <c r="O37" i="81"/>
  <c r="N37" i="81"/>
  <c r="M37" i="81"/>
  <c r="K37" i="81"/>
  <c r="J36" i="81"/>
  <c r="J35" i="81"/>
  <c r="J34" i="81"/>
  <c r="L34" i="81" s="1"/>
  <c r="X33" i="81"/>
  <c r="W33" i="81"/>
  <c r="V33" i="81"/>
  <c r="U33" i="81"/>
  <c r="T33" i="81"/>
  <c r="S33" i="81"/>
  <c r="R33" i="81"/>
  <c r="Q33" i="81"/>
  <c r="P33" i="81"/>
  <c r="O33" i="81"/>
  <c r="N33" i="81"/>
  <c r="M33" i="81"/>
  <c r="K33" i="81"/>
  <c r="J31" i="81"/>
  <c r="L31" i="81" s="1"/>
  <c r="J30" i="81"/>
  <c r="L30" i="81" s="1"/>
  <c r="J29" i="81"/>
  <c r="L29" i="81" s="1"/>
  <c r="J28" i="81"/>
  <c r="L28" i="81" s="1"/>
  <c r="J27" i="81"/>
  <c r="L27" i="81" s="1"/>
  <c r="J26" i="81"/>
  <c r="L26" i="81" s="1"/>
  <c r="J25" i="81"/>
  <c r="X24" i="81"/>
  <c r="W24" i="81"/>
  <c r="V24" i="81"/>
  <c r="U24" i="81"/>
  <c r="T24" i="81"/>
  <c r="S24" i="81"/>
  <c r="R24" i="81"/>
  <c r="Q24" i="81"/>
  <c r="P24" i="81"/>
  <c r="O24" i="81"/>
  <c r="N24" i="81"/>
  <c r="M24" i="81"/>
  <c r="K24" i="81"/>
  <c r="J23" i="81"/>
  <c r="L23" i="81" s="1"/>
  <c r="J22" i="81"/>
  <c r="J21" i="81"/>
  <c r="X20" i="81"/>
  <c r="W20" i="81"/>
  <c r="V20" i="81"/>
  <c r="U20" i="81"/>
  <c r="T20" i="81"/>
  <c r="S20" i="81"/>
  <c r="R20" i="81"/>
  <c r="Q20" i="81"/>
  <c r="P20" i="81"/>
  <c r="O20" i="81"/>
  <c r="N20" i="81"/>
  <c r="M20" i="81"/>
  <c r="K20" i="81"/>
  <c r="J19" i="81"/>
  <c r="L19" i="81" s="1"/>
  <c r="J18" i="81"/>
  <c r="L18" i="81" s="1"/>
  <c r="J17" i="81"/>
  <c r="L17" i="81" s="1"/>
  <c r="J16" i="81"/>
  <c r="L16" i="81" s="1"/>
  <c r="J15" i="81"/>
  <c r="L15" i="81" s="1"/>
  <c r="J14" i="81"/>
  <c r="L14" i="81" s="1"/>
  <c r="J13" i="81"/>
  <c r="L13" i="81" s="1"/>
  <c r="J12" i="81"/>
  <c r="L12" i="81" s="1"/>
  <c r="J11" i="81"/>
  <c r="L11" i="81" s="1"/>
  <c r="J10" i="81"/>
  <c r="L10" i="81" s="1"/>
  <c r="J9" i="81"/>
  <c r="L9" i="81" s="1"/>
  <c r="J8" i="81"/>
  <c r="L8" i="81" s="1"/>
  <c r="J7" i="81"/>
  <c r="L7" i="81" s="1"/>
  <c r="X6" i="81"/>
  <c r="W6" i="81"/>
  <c r="V6" i="81"/>
  <c r="U6" i="81"/>
  <c r="T6" i="81"/>
  <c r="S6" i="81"/>
  <c r="R6" i="81"/>
  <c r="Q6" i="81"/>
  <c r="P6" i="81"/>
  <c r="P5" i="81" s="1"/>
  <c r="O6" i="81"/>
  <c r="N6" i="81"/>
  <c r="M6" i="81"/>
  <c r="K6" i="81"/>
  <c r="X247" i="84"/>
  <c r="W247" i="84"/>
  <c r="V247" i="84"/>
  <c r="U247" i="84"/>
  <c r="T247" i="84"/>
  <c r="S247" i="84"/>
  <c r="R247" i="84"/>
  <c r="Q247" i="84"/>
  <c r="P247" i="84"/>
  <c r="O247" i="84"/>
  <c r="N247" i="84"/>
  <c r="M247" i="84"/>
  <c r="X244" i="84"/>
  <c r="W244" i="84"/>
  <c r="V244" i="84"/>
  <c r="U244" i="84"/>
  <c r="T244" i="84"/>
  <c r="S244" i="84"/>
  <c r="R244" i="84"/>
  <c r="Q244" i="84"/>
  <c r="P244" i="84"/>
  <c r="O244" i="84"/>
  <c r="N244" i="84"/>
  <c r="M244" i="84"/>
  <c r="X231" i="84"/>
  <c r="W231" i="84"/>
  <c r="V231" i="84"/>
  <c r="U231" i="84"/>
  <c r="T231" i="84"/>
  <c r="S231" i="84"/>
  <c r="R231" i="84"/>
  <c r="Q231" i="84"/>
  <c r="P231" i="84"/>
  <c r="O231" i="84"/>
  <c r="N231" i="84"/>
  <c r="M231" i="84"/>
  <c r="X227" i="84"/>
  <c r="W227" i="84"/>
  <c r="V227" i="84"/>
  <c r="U227" i="84"/>
  <c r="T227" i="84"/>
  <c r="S227" i="84"/>
  <c r="R227" i="84"/>
  <c r="Q227" i="84"/>
  <c r="P227" i="84"/>
  <c r="O227" i="84"/>
  <c r="N227" i="84"/>
  <c r="M227" i="84"/>
  <c r="X214" i="84"/>
  <c r="W214" i="84"/>
  <c r="V214" i="84"/>
  <c r="U214" i="84"/>
  <c r="T214" i="84"/>
  <c r="S214" i="84"/>
  <c r="R214" i="84"/>
  <c r="Q214" i="84"/>
  <c r="P214" i="84"/>
  <c r="O214" i="84"/>
  <c r="N214" i="84"/>
  <c r="M214" i="84"/>
  <c r="X200" i="84"/>
  <c r="W200" i="84"/>
  <c r="V200" i="84"/>
  <c r="U200" i="84"/>
  <c r="T200" i="84"/>
  <c r="S200" i="84"/>
  <c r="R200" i="84"/>
  <c r="Q200" i="84"/>
  <c r="P200" i="84"/>
  <c r="O200" i="84"/>
  <c r="N200" i="84"/>
  <c r="M200" i="84"/>
  <c r="X197" i="84"/>
  <c r="W197" i="84"/>
  <c r="V197" i="84"/>
  <c r="U197" i="84"/>
  <c r="T197" i="84"/>
  <c r="S197" i="84"/>
  <c r="R197" i="84"/>
  <c r="Q197" i="84"/>
  <c r="P197" i="84"/>
  <c r="O197" i="84"/>
  <c r="N197" i="84"/>
  <c r="M197" i="84"/>
  <c r="X186" i="84"/>
  <c r="W186" i="84"/>
  <c r="V186" i="84"/>
  <c r="U186" i="84"/>
  <c r="T186" i="84"/>
  <c r="S186" i="84"/>
  <c r="R186" i="84"/>
  <c r="Q186" i="84"/>
  <c r="P186" i="84"/>
  <c r="O186" i="84"/>
  <c r="N186" i="84"/>
  <c r="M186" i="84"/>
  <c r="X175" i="84"/>
  <c r="W175" i="84"/>
  <c r="V175" i="84"/>
  <c r="U175" i="84"/>
  <c r="T175" i="84"/>
  <c r="S175" i="84"/>
  <c r="R175" i="84"/>
  <c r="Q175" i="84"/>
  <c r="P175" i="84"/>
  <c r="O175" i="84"/>
  <c r="N175" i="84"/>
  <c r="M175" i="84"/>
  <c r="X164" i="84"/>
  <c r="W164" i="84"/>
  <c r="V164" i="84"/>
  <c r="U164" i="84"/>
  <c r="T164" i="84"/>
  <c r="S164" i="84"/>
  <c r="R164" i="84"/>
  <c r="Q164" i="84"/>
  <c r="P164" i="84"/>
  <c r="O164" i="84"/>
  <c r="N164" i="84"/>
  <c r="M164" i="84"/>
  <c r="X157" i="84"/>
  <c r="W157" i="84"/>
  <c r="V157" i="84"/>
  <c r="U157" i="84"/>
  <c r="T157" i="84"/>
  <c r="S157" i="84"/>
  <c r="R157" i="84"/>
  <c r="Q157" i="84"/>
  <c r="P157" i="84"/>
  <c r="O157" i="84"/>
  <c r="N157" i="84"/>
  <c r="M157" i="84"/>
  <c r="X149" i="84"/>
  <c r="X147" i="84" s="1"/>
  <c r="W149" i="84"/>
  <c r="W147" i="84" s="1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X135" i="84"/>
  <c r="W135" i="84"/>
  <c r="V135" i="84"/>
  <c r="U135" i="84"/>
  <c r="T135" i="84"/>
  <c r="S135" i="84"/>
  <c r="R135" i="84"/>
  <c r="Q135" i="84"/>
  <c r="P135" i="84"/>
  <c r="O135" i="84"/>
  <c r="N135" i="84"/>
  <c r="M135" i="84"/>
  <c r="X120" i="84"/>
  <c r="W120" i="84"/>
  <c r="V120" i="84"/>
  <c r="U120" i="84"/>
  <c r="T120" i="84"/>
  <c r="S120" i="84"/>
  <c r="R120" i="84"/>
  <c r="Q120" i="84"/>
  <c r="P120" i="84"/>
  <c r="O120" i="84"/>
  <c r="N120" i="84"/>
  <c r="M120" i="84"/>
  <c r="X117" i="84"/>
  <c r="W117" i="84"/>
  <c r="V117" i="84"/>
  <c r="U117" i="84"/>
  <c r="T117" i="84"/>
  <c r="S117" i="84"/>
  <c r="R117" i="84"/>
  <c r="Q117" i="84"/>
  <c r="P117" i="84"/>
  <c r="O117" i="84"/>
  <c r="N117" i="84"/>
  <c r="M117" i="84"/>
  <c r="X106" i="84"/>
  <c r="W106" i="84"/>
  <c r="V106" i="84"/>
  <c r="U106" i="84"/>
  <c r="T106" i="84"/>
  <c r="S106" i="84"/>
  <c r="R106" i="84"/>
  <c r="Q106" i="84"/>
  <c r="P106" i="84"/>
  <c r="O106" i="84"/>
  <c r="N106" i="84"/>
  <c r="M106" i="84"/>
  <c r="X95" i="84"/>
  <c r="W95" i="84"/>
  <c r="V95" i="84"/>
  <c r="U95" i="84"/>
  <c r="T95" i="84"/>
  <c r="S95" i="84"/>
  <c r="R95" i="84"/>
  <c r="Q95" i="84"/>
  <c r="P95" i="84"/>
  <c r="O95" i="84"/>
  <c r="N95" i="84"/>
  <c r="M95" i="84"/>
  <c r="X84" i="84"/>
  <c r="W84" i="84"/>
  <c r="V84" i="84"/>
  <c r="U84" i="84"/>
  <c r="T84" i="84"/>
  <c r="S84" i="84"/>
  <c r="R84" i="84"/>
  <c r="Q84" i="84"/>
  <c r="P84" i="84"/>
  <c r="O84" i="84"/>
  <c r="N84" i="84"/>
  <c r="M84" i="84"/>
  <c r="X79" i="84"/>
  <c r="W79" i="84"/>
  <c r="V79" i="84"/>
  <c r="U79" i="84"/>
  <c r="T79" i="84"/>
  <c r="S79" i="84"/>
  <c r="R79" i="84"/>
  <c r="Q79" i="84"/>
  <c r="P79" i="84"/>
  <c r="O79" i="84"/>
  <c r="N79" i="84"/>
  <c r="M79" i="84"/>
  <c r="X76" i="84"/>
  <c r="W76" i="84"/>
  <c r="V76" i="84"/>
  <c r="U76" i="84"/>
  <c r="T76" i="84"/>
  <c r="S76" i="84"/>
  <c r="R76" i="84"/>
  <c r="Q76" i="84"/>
  <c r="P76" i="84"/>
  <c r="O76" i="84"/>
  <c r="N76" i="84"/>
  <c r="M76" i="84"/>
  <c r="X70" i="84"/>
  <c r="W70" i="84"/>
  <c r="V70" i="84"/>
  <c r="U70" i="84"/>
  <c r="T70" i="84"/>
  <c r="S70" i="84"/>
  <c r="R70" i="84"/>
  <c r="Q70" i="84"/>
  <c r="P70" i="84"/>
  <c r="O70" i="84"/>
  <c r="N70" i="84"/>
  <c r="M70" i="84"/>
  <c r="X66" i="84"/>
  <c r="X59" i="84" s="1"/>
  <c r="W66" i="84"/>
  <c r="V66" i="84"/>
  <c r="U66" i="84"/>
  <c r="T66" i="84"/>
  <c r="S66" i="84"/>
  <c r="R66" i="84"/>
  <c r="Q66" i="84"/>
  <c r="P66" i="84"/>
  <c r="O66" i="84"/>
  <c r="N66" i="84"/>
  <c r="M66" i="84"/>
  <c r="X53" i="84"/>
  <c r="W53" i="84"/>
  <c r="V53" i="84"/>
  <c r="U53" i="84"/>
  <c r="T53" i="84"/>
  <c r="S53" i="84"/>
  <c r="R53" i="84"/>
  <c r="Q53" i="84"/>
  <c r="P53" i="84"/>
  <c r="O53" i="84"/>
  <c r="N53" i="84"/>
  <c r="M53" i="84"/>
  <c r="X50" i="84"/>
  <c r="W50" i="84"/>
  <c r="V50" i="84"/>
  <c r="U50" i="84"/>
  <c r="T50" i="84"/>
  <c r="S50" i="84"/>
  <c r="R50" i="84"/>
  <c r="Q50" i="84"/>
  <c r="P50" i="84"/>
  <c r="O50" i="84"/>
  <c r="N50" i="84"/>
  <c r="M50" i="84"/>
  <c r="X45" i="84"/>
  <c r="X40" i="84" s="1"/>
  <c r="W45" i="84"/>
  <c r="W40" i="84" s="1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X37" i="84"/>
  <c r="W37" i="84"/>
  <c r="V37" i="84"/>
  <c r="U37" i="84"/>
  <c r="T37" i="84"/>
  <c r="S37" i="84"/>
  <c r="R37" i="84"/>
  <c r="Q37" i="84"/>
  <c r="P37" i="84"/>
  <c r="O37" i="84"/>
  <c r="N37" i="84"/>
  <c r="M37" i="84"/>
  <c r="X33" i="84"/>
  <c r="W33" i="84"/>
  <c r="V33" i="84"/>
  <c r="U33" i="84"/>
  <c r="T33" i="84"/>
  <c r="S33" i="84"/>
  <c r="R33" i="84"/>
  <c r="Q33" i="84"/>
  <c r="P33" i="84"/>
  <c r="O33" i="84"/>
  <c r="N33" i="84"/>
  <c r="M33" i="84"/>
  <c r="X24" i="84"/>
  <c r="W24" i="84"/>
  <c r="V24" i="84"/>
  <c r="U24" i="84"/>
  <c r="T24" i="84"/>
  <c r="S24" i="84"/>
  <c r="R24" i="84"/>
  <c r="Q24" i="84"/>
  <c r="P24" i="84"/>
  <c r="O24" i="84"/>
  <c r="N24" i="84"/>
  <c r="M24" i="84"/>
  <c r="X20" i="84"/>
  <c r="W20" i="84"/>
  <c r="V20" i="84"/>
  <c r="U20" i="84"/>
  <c r="T20" i="84"/>
  <c r="S20" i="84"/>
  <c r="R20" i="84"/>
  <c r="Q20" i="84"/>
  <c r="P20" i="84"/>
  <c r="O20" i="84"/>
  <c r="N20" i="84"/>
  <c r="M20" i="84"/>
  <c r="X6" i="84"/>
  <c r="W6" i="84"/>
  <c r="V6" i="84"/>
  <c r="V5" i="84" s="1"/>
  <c r="U6" i="84"/>
  <c r="T6" i="84"/>
  <c r="T5" i="84" s="1"/>
  <c r="S6" i="84"/>
  <c r="R6" i="84"/>
  <c r="R5" i="84" s="1"/>
  <c r="Q6" i="84"/>
  <c r="P6" i="84"/>
  <c r="O6" i="84"/>
  <c r="N6" i="84"/>
  <c r="N5" i="84" s="1"/>
  <c r="M6" i="84"/>
  <c r="J269" i="83"/>
  <c r="L269" i="83" s="1"/>
  <c r="J268" i="83"/>
  <c r="L268" i="83" s="1"/>
  <c r="J267" i="83"/>
  <c r="L267" i="83" s="1"/>
  <c r="J266" i="83"/>
  <c r="L266" i="83" s="1"/>
  <c r="J265" i="83"/>
  <c r="L265" i="83" s="1"/>
  <c r="J264" i="83"/>
  <c r="L264" i="83" s="1"/>
  <c r="J263" i="83"/>
  <c r="AA262" i="83"/>
  <c r="Z262" i="83"/>
  <c r="Y262" i="83"/>
  <c r="X262" i="83"/>
  <c r="W262" i="83"/>
  <c r="V262" i="83"/>
  <c r="U262" i="83"/>
  <c r="T262" i="83"/>
  <c r="S262" i="83"/>
  <c r="R262" i="83"/>
  <c r="Q262" i="83"/>
  <c r="P262" i="83"/>
  <c r="O262" i="83"/>
  <c r="N262" i="83"/>
  <c r="M262" i="83"/>
  <c r="K262" i="83"/>
  <c r="J261" i="83"/>
  <c r="J260" i="83"/>
  <c r="L260" i="83" s="1"/>
  <c r="AA259" i="83"/>
  <c r="Z259" i="83"/>
  <c r="Y259" i="83"/>
  <c r="X259" i="83"/>
  <c r="W259" i="83"/>
  <c r="V259" i="83"/>
  <c r="U259" i="83"/>
  <c r="T259" i="83"/>
  <c r="S259" i="83"/>
  <c r="R259" i="83"/>
  <c r="Q259" i="83"/>
  <c r="P259" i="83"/>
  <c r="O259" i="83"/>
  <c r="N259" i="83"/>
  <c r="M259" i="83"/>
  <c r="K259" i="83"/>
  <c r="J258" i="83"/>
  <c r="L258" i="83" s="1"/>
  <c r="J257" i="83"/>
  <c r="L257" i="83" s="1"/>
  <c r="J256" i="83"/>
  <c r="L256" i="83" s="1"/>
  <c r="J255" i="83"/>
  <c r="L255" i="83" s="1"/>
  <c r="J254" i="83"/>
  <c r="L254" i="83" s="1"/>
  <c r="J253" i="83"/>
  <c r="L253" i="83" s="1"/>
  <c r="J252" i="83"/>
  <c r="L252" i="83" s="1"/>
  <c r="J251" i="83"/>
  <c r="J250" i="83"/>
  <c r="L250" i="83" s="1"/>
  <c r="J249" i="83"/>
  <c r="L249" i="83" s="1"/>
  <c r="J248" i="83"/>
  <c r="L248" i="83" s="1"/>
  <c r="J247" i="83"/>
  <c r="AA246" i="83"/>
  <c r="Z246" i="83"/>
  <c r="Y246" i="83"/>
  <c r="X246" i="83"/>
  <c r="W246" i="83"/>
  <c r="V246" i="83"/>
  <c r="U246" i="83"/>
  <c r="T246" i="83"/>
  <c r="S246" i="83"/>
  <c r="R246" i="83"/>
  <c r="Q246" i="83"/>
  <c r="P246" i="83"/>
  <c r="O246" i="83"/>
  <c r="N246" i="83"/>
  <c r="M246" i="83"/>
  <c r="K246" i="83"/>
  <c r="J245" i="83"/>
  <c r="L245" i="83" s="1"/>
  <c r="J244" i="83"/>
  <c r="L244" i="83" s="1"/>
  <c r="J243" i="83"/>
  <c r="L243" i="83" s="1"/>
  <c r="AA242" i="83"/>
  <c r="Z242" i="83"/>
  <c r="Y242" i="83"/>
  <c r="X242" i="83"/>
  <c r="W242" i="83"/>
  <c r="V242" i="83"/>
  <c r="U242" i="83"/>
  <c r="T242" i="83"/>
  <c r="S242" i="83"/>
  <c r="R242" i="83"/>
  <c r="Q242" i="83"/>
  <c r="P242" i="83"/>
  <c r="O242" i="83"/>
  <c r="N242" i="83"/>
  <c r="M242" i="83"/>
  <c r="K242" i="83"/>
  <c r="J239" i="83"/>
  <c r="J238" i="83"/>
  <c r="L238" i="83" s="1"/>
  <c r="J237" i="83"/>
  <c r="L237" i="83" s="1"/>
  <c r="J236" i="83"/>
  <c r="L236" i="83" s="1"/>
  <c r="J235" i="83"/>
  <c r="L235" i="83" s="1"/>
  <c r="J234" i="83"/>
  <c r="L234" i="83" s="1"/>
  <c r="J233" i="83"/>
  <c r="L233" i="83" s="1"/>
  <c r="J232" i="83"/>
  <c r="L232" i="83" s="1"/>
  <c r="J231" i="83"/>
  <c r="L231" i="83" s="1"/>
  <c r="J230" i="83"/>
  <c r="L230" i="83" s="1"/>
  <c r="AA229" i="83"/>
  <c r="Z229" i="83"/>
  <c r="Y229" i="83"/>
  <c r="X229" i="83"/>
  <c r="W229" i="83"/>
  <c r="V229" i="83"/>
  <c r="U229" i="83"/>
  <c r="T229" i="83"/>
  <c r="S229" i="83"/>
  <c r="R229" i="83"/>
  <c r="Q229" i="83"/>
  <c r="P229" i="83"/>
  <c r="O229" i="83"/>
  <c r="N229" i="83"/>
  <c r="M229" i="83"/>
  <c r="K229" i="83"/>
  <c r="J228" i="83"/>
  <c r="L228" i="83" s="1"/>
  <c r="J227" i="83"/>
  <c r="L227" i="83" s="1"/>
  <c r="J226" i="83"/>
  <c r="L226" i="83" s="1"/>
  <c r="J225" i="83"/>
  <c r="L225" i="83" s="1"/>
  <c r="J224" i="83"/>
  <c r="L224" i="83" s="1"/>
  <c r="J223" i="83"/>
  <c r="L223" i="83" s="1"/>
  <c r="J222" i="83"/>
  <c r="J221" i="83"/>
  <c r="L221" i="83" s="1"/>
  <c r="J220" i="83"/>
  <c r="L220" i="83" s="1"/>
  <c r="J219" i="83"/>
  <c r="L219" i="83" s="1"/>
  <c r="J218" i="83"/>
  <c r="L218" i="83" s="1"/>
  <c r="J217" i="83"/>
  <c r="L217" i="83" s="1"/>
  <c r="J216" i="83"/>
  <c r="AA215" i="83"/>
  <c r="Z215" i="83"/>
  <c r="Y215" i="83"/>
  <c r="X215" i="83"/>
  <c r="W215" i="83"/>
  <c r="V215" i="83"/>
  <c r="U215" i="83"/>
  <c r="T215" i="83"/>
  <c r="S215" i="83"/>
  <c r="R215" i="83"/>
  <c r="Q215" i="83"/>
  <c r="P215" i="83"/>
  <c r="O215" i="83"/>
  <c r="N215" i="83"/>
  <c r="M215" i="83"/>
  <c r="K215" i="83"/>
  <c r="J214" i="83"/>
  <c r="J213" i="83"/>
  <c r="AA212" i="83"/>
  <c r="Z212" i="83"/>
  <c r="Y212" i="83"/>
  <c r="X212" i="83"/>
  <c r="W212" i="83"/>
  <c r="V212" i="83"/>
  <c r="U212" i="83"/>
  <c r="T212" i="83"/>
  <c r="S212" i="83"/>
  <c r="R212" i="83"/>
  <c r="Q212" i="83"/>
  <c r="P212" i="83"/>
  <c r="O212" i="83"/>
  <c r="N212" i="83"/>
  <c r="M212" i="83"/>
  <c r="K212" i="83"/>
  <c r="J211" i="83"/>
  <c r="L211" i="83" s="1"/>
  <c r="J210" i="83"/>
  <c r="L210" i="83" s="1"/>
  <c r="J209" i="83"/>
  <c r="L209" i="83" s="1"/>
  <c r="J208" i="83"/>
  <c r="L208" i="83" s="1"/>
  <c r="J207" i="83"/>
  <c r="L207" i="83" s="1"/>
  <c r="J206" i="83"/>
  <c r="L206" i="83" s="1"/>
  <c r="J205" i="83"/>
  <c r="L205" i="83" s="1"/>
  <c r="J204" i="83"/>
  <c r="J203" i="83"/>
  <c r="J202" i="83"/>
  <c r="L202" i="83" s="1"/>
  <c r="AA201" i="83"/>
  <c r="Z201" i="83"/>
  <c r="Y201" i="83"/>
  <c r="X201" i="83"/>
  <c r="W201" i="83"/>
  <c r="V201" i="83"/>
  <c r="U201" i="83"/>
  <c r="T201" i="83"/>
  <c r="S201" i="83"/>
  <c r="R201" i="83"/>
  <c r="Q201" i="83"/>
  <c r="P201" i="83"/>
  <c r="O201" i="83"/>
  <c r="N201" i="83"/>
  <c r="M201" i="83"/>
  <c r="K201" i="83"/>
  <c r="J200" i="83"/>
  <c r="L200" i="83" s="1"/>
  <c r="J199" i="83"/>
  <c r="L199" i="83" s="1"/>
  <c r="J198" i="83"/>
  <c r="L198" i="83" s="1"/>
  <c r="J197" i="83"/>
  <c r="L197" i="83" s="1"/>
  <c r="J196" i="83"/>
  <c r="L196" i="83" s="1"/>
  <c r="J195" i="83"/>
  <c r="L195" i="83" s="1"/>
  <c r="J194" i="83"/>
  <c r="L194" i="83" s="1"/>
  <c r="J193" i="83"/>
  <c r="L193" i="83" s="1"/>
  <c r="J192" i="83"/>
  <c r="L192" i="83" s="1"/>
  <c r="J191" i="83"/>
  <c r="AA190" i="83"/>
  <c r="Z190" i="83"/>
  <c r="Y190" i="83"/>
  <c r="X190" i="83"/>
  <c r="W190" i="83"/>
  <c r="V190" i="83"/>
  <c r="U190" i="83"/>
  <c r="T190" i="83"/>
  <c r="S190" i="83"/>
  <c r="R190" i="83"/>
  <c r="Q190" i="83"/>
  <c r="P190" i="83"/>
  <c r="O190" i="83"/>
  <c r="N190" i="83"/>
  <c r="M190" i="83"/>
  <c r="K190" i="83"/>
  <c r="J189" i="83"/>
  <c r="L189" i="83" s="1"/>
  <c r="J188" i="83"/>
  <c r="L188" i="83" s="1"/>
  <c r="J187" i="83"/>
  <c r="L187" i="83" s="1"/>
  <c r="J186" i="83"/>
  <c r="L186" i="83" s="1"/>
  <c r="J185" i="83"/>
  <c r="L185" i="83" s="1"/>
  <c r="J184" i="83"/>
  <c r="J183" i="83"/>
  <c r="L183" i="83" s="1"/>
  <c r="J182" i="83"/>
  <c r="J181" i="83"/>
  <c r="L181" i="83" s="1"/>
  <c r="J180" i="83"/>
  <c r="L180" i="83" s="1"/>
  <c r="AA179" i="83"/>
  <c r="Z179" i="83"/>
  <c r="Y179" i="83"/>
  <c r="X179" i="83"/>
  <c r="W179" i="83"/>
  <c r="V179" i="83"/>
  <c r="U179" i="83"/>
  <c r="T179" i="83"/>
  <c r="S179" i="83"/>
  <c r="R179" i="83"/>
  <c r="Q179" i="83"/>
  <c r="P179" i="83"/>
  <c r="O179" i="83"/>
  <c r="N179" i="83"/>
  <c r="M179" i="83"/>
  <c r="K179" i="83"/>
  <c r="J178" i="83"/>
  <c r="L178" i="83" s="1"/>
  <c r="J176" i="83"/>
  <c r="L176" i="83" s="1"/>
  <c r="J175" i="83"/>
  <c r="L175" i="83" s="1"/>
  <c r="J174" i="83"/>
  <c r="L174" i="83" s="1"/>
  <c r="J173" i="83"/>
  <c r="L173" i="83" s="1"/>
  <c r="AA172" i="83"/>
  <c r="Z172" i="83"/>
  <c r="Y172" i="83"/>
  <c r="X172" i="83"/>
  <c r="W172" i="83"/>
  <c r="V172" i="83"/>
  <c r="U172" i="83"/>
  <c r="T172" i="83"/>
  <c r="S172" i="83"/>
  <c r="R172" i="83"/>
  <c r="Q172" i="83"/>
  <c r="P172" i="83"/>
  <c r="O172" i="83"/>
  <c r="N172" i="83"/>
  <c r="M172" i="83"/>
  <c r="K172" i="83"/>
  <c r="J171" i="83"/>
  <c r="L171" i="83" s="1"/>
  <c r="O171" i="83" s="1"/>
  <c r="J170" i="83"/>
  <c r="L170" i="83" s="1"/>
  <c r="J169" i="83"/>
  <c r="L169" i="83" s="1"/>
  <c r="J168" i="83"/>
  <c r="L168" i="83" s="1"/>
  <c r="O168" i="83" s="1"/>
  <c r="J167" i="83"/>
  <c r="L167" i="83" s="1"/>
  <c r="J166" i="83"/>
  <c r="L166" i="83" s="1"/>
  <c r="J165" i="83"/>
  <c r="AA164" i="83"/>
  <c r="AA162" i="83" s="1"/>
  <c r="Z164" i="83"/>
  <c r="Y164" i="83"/>
  <c r="Y162" i="83" s="1"/>
  <c r="X164" i="83"/>
  <c r="W164" i="83"/>
  <c r="W162" i="83" s="1"/>
  <c r="V164" i="83"/>
  <c r="V162" i="83" s="1"/>
  <c r="U164" i="83"/>
  <c r="U162" i="83" s="1"/>
  <c r="T164" i="83"/>
  <c r="T162" i="83" s="1"/>
  <c r="S164" i="83"/>
  <c r="S162" i="83" s="1"/>
  <c r="R164" i="83"/>
  <c r="R162" i="83" s="1"/>
  <c r="Q164" i="83"/>
  <c r="Q162" i="83" s="1"/>
  <c r="P164" i="83"/>
  <c r="P162" i="83" s="1"/>
  <c r="O164" i="83"/>
  <c r="N164" i="83"/>
  <c r="N162" i="83" s="1"/>
  <c r="M164" i="83"/>
  <c r="M162" i="83" s="1"/>
  <c r="K164" i="83"/>
  <c r="K162" i="83" s="1"/>
  <c r="J163" i="83"/>
  <c r="L163" i="83" s="1"/>
  <c r="Z162" i="83"/>
  <c r="J161" i="83"/>
  <c r="L161" i="83" s="1"/>
  <c r="J160" i="83"/>
  <c r="L160" i="83" s="1"/>
  <c r="J159" i="83"/>
  <c r="L159" i="83" s="1"/>
  <c r="J158" i="83"/>
  <c r="L158" i="83" s="1"/>
  <c r="J157" i="83"/>
  <c r="L157" i="83" s="1"/>
  <c r="J156" i="83"/>
  <c r="L156" i="83" s="1"/>
  <c r="J155" i="83"/>
  <c r="L155" i="83" s="1"/>
  <c r="J154" i="83"/>
  <c r="L154" i="83" s="1"/>
  <c r="J153" i="83"/>
  <c r="L153" i="83" s="1"/>
  <c r="J152" i="83"/>
  <c r="L152" i="83" s="1"/>
  <c r="J151" i="83"/>
  <c r="AA150" i="83"/>
  <c r="Z150" i="83"/>
  <c r="Y150" i="83"/>
  <c r="X150" i="83"/>
  <c r="W150" i="83"/>
  <c r="V150" i="83"/>
  <c r="U150" i="83"/>
  <c r="T150" i="83"/>
  <c r="S150" i="83"/>
  <c r="R150" i="83"/>
  <c r="Q150" i="83"/>
  <c r="P150" i="83"/>
  <c r="O150" i="83"/>
  <c r="N150" i="83"/>
  <c r="M150" i="83"/>
  <c r="K150" i="83"/>
  <c r="J149" i="83"/>
  <c r="L149" i="83" s="1"/>
  <c r="J148" i="83"/>
  <c r="L148" i="83" s="1"/>
  <c r="J147" i="83"/>
  <c r="L147" i="83" s="1"/>
  <c r="J146" i="83"/>
  <c r="L146" i="83" s="1"/>
  <c r="J145" i="83"/>
  <c r="L145" i="83" s="1"/>
  <c r="J144" i="83"/>
  <c r="L144" i="83" s="1"/>
  <c r="J143" i="83"/>
  <c r="L143" i="83" s="1"/>
  <c r="J142" i="83"/>
  <c r="L142" i="83" s="1"/>
  <c r="J141" i="83"/>
  <c r="L141" i="83" s="1"/>
  <c r="J140" i="83"/>
  <c r="L140" i="83" s="1"/>
  <c r="J139" i="83"/>
  <c r="L139" i="83" s="1"/>
  <c r="J138" i="83"/>
  <c r="L138" i="83" s="1"/>
  <c r="J137" i="83"/>
  <c r="L137" i="83" s="1"/>
  <c r="J136" i="83"/>
  <c r="AA135" i="83"/>
  <c r="Z135" i="83"/>
  <c r="Y135" i="83"/>
  <c r="X135" i="83"/>
  <c r="W135" i="83"/>
  <c r="V135" i="83"/>
  <c r="U135" i="83"/>
  <c r="T135" i="83"/>
  <c r="S135" i="83"/>
  <c r="R135" i="83"/>
  <c r="Q135" i="83"/>
  <c r="P135" i="83"/>
  <c r="O135" i="83"/>
  <c r="N135" i="83"/>
  <c r="M135" i="83"/>
  <c r="K135" i="83"/>
  <c r="J134" i="83"/>
  <c r="L134" i="83" s="1"/>
  <c r="J133" i="83"/>
  <c r="L133" i="83" s="1"/>
  <c r="AA132" i="83"/>
  <c r="Z132" i="83"/>
  <c r="Y132" i="83"/>
  <c r="X132" i="83"/>
  <c r="W132" i="83"/>
  <c r="V132" i="83"/>
  <c r="U132" i="83"/>
  <c r="T132" i="83"/>
  <c r="S132" i="83"/>
  <c r="R132" i="83"/>
  <c r="Q132" i="83"/>
  <c r="P132" i="83"/>
  <c r="O132" i="83"/>
  <c r="N132" i="83"/>
  <c r="M132" i="83"/>
  <c r="K132" i="83"/>
  <c r="J131" i="83"/>
  <c r="L131" i="83" s="1"/>
  <c r="J130" i="83"/>
  <c r="L130" i="83" s="1"/>
  <c r="J129" i="83"/>
  <c r="L129" i="83" s="1"/>
  <c r="J128" i="83"/>
  <c r="L128" i="83" s="1"/>
  <c r="J127" i="83"/>
  <c r="L127" i="83" s="1"/>
  <c r="J126" i="83"/>
  <c r="L126" i="83" s="1"/>
  <c r="J125" i="83"/>
  <c r="L125" i="83" s="1"/>
  <c r="J124" i="83"/>
  <c r="L124" i="83" s="1"/>
  <c r="J123" i="83"/>
  <c r="L123" i="83" s="1"/>
  <c r="J122" i="83"/>
  <c r="AA121" i="83"/>
  <c r="Z121" i="83"/>
  <c r="Y121" i="83"/>
  <c r="X121" i="83"/>
  <c r="W121" i="83"/>
  <c r="V121" i="83"/>
  <c r="U121" i="83"/>
  <c r="T121" i="83"/>
  <c r="S121" i="83"/>
  <c r="R121" i="83"/>
  <c r="Q121" i="83"/>
  <c r="P121" i="83"/>
  <c r="O121" i="83"/>
  <c r="N121" i="83"/>
  <c r="M121" i="83"/>
  <c r="K121" i="83"/>
  <c r="J120" i="83"/>
  <c r="L120" i="83" s="1"/>
  <c r="J119" i="83"/>
  <c r="L119" i="83" s="1"/>
  <c r="J118" i="83"/>
  <c r="L118" i="83" s="1"/>
  <c r="J117" i="83"/>
  <c r="L117" i="83" s="1"/>
  <c r="J116" i="83"/>
  <c r="L116" i="83" s="1"/>
  <c r="J115" i="83"/>
  <c r="L115" i="83" s="1"/>
  <c r="J114" i="83"/>
  <c r="L114" i="83" s="1"/>
  <c r="J113" i="83"/>
  <c r="L113" i="83" s="1"/>
  <c r="J112" i="83"/>
  <c r="L112" i="83" s="1"/>
  <c r="J111" i="83"/>
  <c r="L111" i="83" s="1"/>
  <c r="AA110" i="83"/>
  <c r="Z110" i="83"/>
  <c r="Y110" i="83"/>
  <c r="X110" i="83"/>
  <c r="W110" i="83"/>
  <c r="V110" i="83"/>
  <c r="U110" i="83"/>
  <c r="T110" i="83"/>
  <c r="S110" i="83"/>
  <c r="R110" i="83"/>
  <c r="Q110" i="83"/>
  <c r="P110" i="83"/>
  <c r="O110" i="83"/>
  <c r="N110" i="83"/>
  <c r="M110" i="83"/>
  <c r="K110" i="83"/>
  <c r="J109" i="83"/>
  <c r="L109" i="83" s="1"/>
  <c r="J108" i="83"/>
  <c r="L108" i="83" s="1"/>
  <c r="J107" i="83"/>
  <c r="L107" i="83" s="1"/>
  <c r="J106" i="83"/>
  <c r="L106" i="83" s="1"/>
  <c r="J105" i="83"/>
  <c r="L105" i="83" s="1"/>
  <c r="J104" i="83"/>
  <c r="L104" i="83" s="1"/>
  <c r="J103" i="83"/>
  <c r="L103" i="83" s="1"/>
  <c r="J102" i="83"/>
  <c r="L102" i="83" s="1"/>
  <c r="J101" i="83"/>
  <c r="L101" i="83" s="1"/>
  <c r="J100" i="83"/>
  <c r="AA99" i="83"/>
  <c r="Z99" i="83"/>
  <c r="Y99" i="83"/>
  <c r="X99" i="83"/>
  <c r="W99" i="83"/>
  <c r="V99" i="83"/>
  <c r="U99" i="83"/>
  <c r="T99" i="83"/>
  <c r="S99" i="83"/>
  <c r="R99" i="83"/>
  <c r="Q99" i="83"/>
  <c r="P99" i="83"/>
  <c r="O99" i="83"/>
  <c r="N99" i="83"/>
  <c r="M99" i="83"/>
  <c r="K99" i="83"/>
  <c r="J98" i="83"/>
  <c r="L98" i="83" s="1"/>
  <c r="J97" i="83"/>
  <c r="L97" i="83" s="1"/>
  <c r="J96" i="83"/>
  <c r="L96" i="83" s="1"/>
  <c r="J95" i="83"/>
  <c r="L95" i="83" s="1"/>
  <c r="AA94" i="83"/>
  <c r="Z94" i="83"/>
  <c r="Y94" i="83"/>
  <c r="X94" i="83"/>
  <c r="W94" i="83"/>
  <c r="V94" i="83"/>
  <c r="U94" i="83"/>
  <c r="T94" i="83"/>
  <c r="S94" i="83"/>
  <c r="R94" i="83"/>
  <c r="Q94" i="83"/>
  <c r="P94" i="83"/>
  <c r="O94" i="83"/>
  <c r="N94" i="83"/>
  <c r="M94" i="83"/>
  <c r="K94" i="83"/>
  <c r="J93" i="83"/>
  <c r="L93" i="83" s="1"/>
  <c r="J92" i="83"/>
  <c r="AA91" i="83"/>
  <c r="Z91" i="83"/>
  <c r="Y91" i="83"/>
  <c r="X91" i="83"/>
  <c r="W91" i="83"/>
  <c r="V91" i="83"/>
  <c r="U91" i="83"/>
  <c r="T91" i="83"/>
  <c r="S91" i="83"/>
  <c r="R91" i="83"/>
  <c r="Q91" i="83"/>
  <c r="P91" i="83"/>
  <c r="O91" i="83"/>
  <c r="N91" i="83"/>
  <c r="M91" i="83"/>
  <c r="K91" i="83"/>
  <c r="J89" i="83"/>
  <c r="L89" i="83" s="1"/>
  <c r="J88" i="83"/>
  <c r="L88" i="83" s="1"/>
  <c r="J87" i="83"/>
  <c r="L87" i="83" s="1"/>
  <c r="J86" i="83"/>
  <c r="AA85" i="83"/>
  <c r="Z85" i="83"/>
  <c r="Y85" i="83"/>
  <c r="X85" i="83"/>
  <c r="W85" i="83"/>
  <c r="V85" i="83"/>
  <c r="U85" i="83"/>
  <c r="T85" i="83"/>
  <c r="S85" i="83"/>
  <c r="R85" i="83"/>
  <c r="Q85" i="83"/>
  <c r="P85" i="83"/>
  <c r="O85" i="83"/>
  <c r="N85" i="83"/>
  <c r="M85" i="83"/>
  <c r="K85" i="83"/>
  <c r="J84" i="83"/>
  <c r="L84" i="83" s="1"/>
  <c r="J83" i="83"/>
  <c r="L83" i="83" s="1"/>
  <c r="J82" i="83"/>
  <c r="AA81" i="83"/>
  <c r="Z81" i="83"/>
  <c r="Y81" i="83"/>
  <c r="X81" i="83"/>
  <c r="W81" i="83"/>
  <c r="V81" i="83"/>
  <c r="U81" i="83"/>
  <c r="T81" i="83"/>
  <c r="S81" i="83"/>
  <c r="R81" i="83"/>
  <c r="Q81" i="83"/>
  <c r="P81" i="83"/>
  <c r="O81" i="83"/>
  <c r="N81" i="83"/>
  <c r="M81" i="83"/>
  <c r="K81" i="83"/>
  <c r="J80" i="83"/>
  <c r="L80" i="83" s="1"/>
  <c r="J79" i="83"/>
  <c r="L79" i="83" s="1"/>
  <c r="J78" i="83"/>
  <c r="L78" i="83" s="1"/>
  <c r="J77" i="83"/>
  <c r="L77" i="83" s="1"/>
  <c r="J76" i="83"/>
  <c r="L76" i="83" s="1"/>
  <c r="J75" i="83"/>
  <c r="L75" i="83" s="1"/>
  <c r="J71" i="83"/>
  <c r="L71" i="83" s="1"/>
  <c r="J70" i="83"/>
  <c r="J69" i="83"/>
  <c r="L69" i="83" s="1"/>
  <c r="J68" i="83"/>
  <c r="L68" i="83" s="1"/>
  <c r="AA64" i="83"/>
  <c r="AA63" i="83" s="1"/>
  <c r="J66" i="83"/>
  <c r="L66" i="83" s="1"/>
  <c r="N66" i="83" s="1"/>
  <c r="N64" i="83" s="1"/>
  <c r="N63" i="83" s="1"/>
  <c r="J65" i="83"/>
  <c r="Y64" i="83"/>
  <c r="Y63" i="83" s="1"/>
  <c r="X64" i="83"/>
  <c r="X63" i="83" s="1"/>
  <c r="W64" i="83"/>
  <c r="W63" i="83" s="1"/>
  <c r="V64" i="83"/>
  <c r="V63" i="83" s="1"/>
  <c r="U64" i="83"/>
  <c r="U63" i="83" s="1"/>
  <c r="T64" i="83"/>
  <c r="S64" i="83"/>
  <c r="R64" i="83"/>
  <c r="R63" i="83" s="1"/>
  <c r="Q64" i="83"/>
  <c r="Q63" i="83" s="1"/>
  <c r="P64" i="83"/>
  <c r="K64" i="83"/>
  <c r="K63" i="83" s="1"/>
  <c r="J62" i="83"/>
  <c r="L62" i="83" s="1"/>
  <c r="J61" i="83"/>
  <c r="AA60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K60" i="83"/>
  <c r="J59" i="83"/>
  <c r="L59" i="83" s="1"/>
  <c r="O59" i="83" s="1"/>
  <c r="O57" i="83" s="1"/>
  <c r="J58" i="83"/>
  <c r="L58" i="83" s="1"/>
  <c r="M58" i="83" s="1"/>
  <c r="M57" i="83" s="1"/>
  <c r="AA57" i="83"/>
  <c r="Z57" i="83"/>
  <c r="Y57" i="83"/>
  <c r="X57" i="83"/>
  <c r="W57" i="83"/>
  <c r="V57" i="83"/>
  <c r="U57" i="83"/>
  <c r="T57" i="83"/>
  <c r="S57" i="83"/>
  <c r="R57" i="83"/>
  <c r="Q57" i="83"/>
  <c r="P57" i="83"/>
  <c r="N57" i="83"/>
  <c r="K57" i="83"/>
  <c r="J56" i="83"/>
  <c r="L56" i="83" s="1"/>
  <c r="J55" i="83"/>
  <c r="L55" i="83" s="1"/>
  <c r="J54" i="83"/>
  <c r="AA53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K53" i="83"/>
  <c r="J52" i="83"/>
  <c r="J51" i="83"/>
  <c r="L51" i="83" s="1"/>
  <c r="N51" i="83" s="1"/>
  <c r="N50" i="83" s="1"/>
  <c r="AA50" i="83"/>
  <c r="Z50" i="83"/>
  <c r="Y50" i="83"/>
  <c r="X50" i="83"/>
  <c r="W50" i="83"/>
  <c r="V50" i="83"/>
  <c r="U50" i="83"/>
  <c r="T50" i="83"/>
  <c r="S50" i="83"/>
  <c r="R50" i="83"/>
  <c r="Q50" i="83"/>
  <c r="O44" i="66" s="1"/>
  <c r="P50" i="83"/>
  <c r="M50" i="83"/>
  <c r="K50" i="83"/>
  <c r="L44" i="66" s="1"/>
  <c r="R49" i="83"/>
  <c r="J48" i="83"/>
  <c r="L48" i="83" s="1"/>
  <c r="J47" i="83"/>
  <c r="L47" i="83" s="1"/>
  <c r="M47" i="83" s="1"/>
  <c r="J46" i="83"/>
  <c r="L46" i="83" s="1"/>
  <c r="O46" i="83" s="1"/>
  <c r="O43" i="83" s="1"/>
  <c r="J45" i="83"/>
  <c r="J44" i="83"/>
  <c r="L44" i="83" s="1"/>
  <c r="M44" i="83" s="1"/>
  <c r="AA43" i="83"/>
  <c r="Z43" i="83"/>
  <c r="Y43" i="83"/>
  <c r="X43" i="83"/>
  <c r="W43" i="83"/>
  <c r="V43" i="83"/>
  <c r="U43" i="83"/>
  <c r="T43" i="83"/>
  <c r="S43" i="83"/>
  <c r="R43" i="83"/>
  <c r="Q43" i="83"/>
  <c r="P43" i="83"/>
  <c r="K43" i="83"/>
  <c r="J41" i="83"/>
  <c r="L41" i="83" s="1"/>
  <c r="J40" i="83"/>
  <c r="AA39" i="83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K39" i="83"/>
  <c r="J38" i="83"/>
  <c r="L38" i="83" s="1"/>
  <c r="J37" i="83"/>
  <c r="J36" i="83"/>
  <c r="L36" i="83" s="1"/>
  <c r="M36" i="83" s="1"/>
  <c r="M35" i="83" s="1"/>
  <c r="M33" i="83" s="1"/>
  <c r="AA35" i="83"/>
  <c r="AA33" i="83" s="1"/>
  <c r="Z35" i="83"/>
  <c r="Y35" i="83"/>
  <c r="Y33" i="83" s="1"/>
  <c r="X35" i="83"/>
  <c r="X33" i="83" s="1"/>
  <c r="W35" i="83"/>
  <c r="W33" i="83" s="1"/>
  <c r="V35" i="83"/>
  <c r="V33" i="83" s="1"/>
  <c r="U35" i="83"/>
  <c r="U33" i="83" s="1"/>
  <c r="T35" i="83"/>
  <c r="S35" i="83"/>
  <c r="R35" i="83"/>
  <c r="R33" i="83" s="1"/>
  <c r="Q35" i="83"/>
  <c r="Q33" i="83" s="1"/>
  <c r="P35" i="83"/>
  <c r="P33" i="83" s="1"/>
  <c r="N35" i="83"/>
  <c r="N33" i="83" s="1"/>
  <c r="K35" i="83"/>
  <c r="K33" i="83" s="1"/>
  <c r="J34" i="83"/>
  <c r="T33" i="83"/>
  <c r="S33" i="83"/>
  <c r="J31" i="83"/>
  <c r="L31" i="83" s="1"/>
  <c r="O31" i="83" s="1"/>
  <c r="J30" i="83"/>
  <c r="L30" i="83" s="1"/>
  <c r="J29" i="83"/>
  <c r="L29" i="83" s="1"/>
  <c r="J28" i="83"/>
  <c r="L28" i="83" s="1"/>
  <c r="O28" i="83" s="1"/>
  <c r="J27" i="83"/>
  <c r="L27" i="83" s="1"/>
  <c r="J26" i="83"/>
  <c r="L26" i="83" s="1"/>
  <c r="AA24" i="83"/>
  <c r="Z24" i="83"/>
  <c r="Y24" i="83"/>
  <c r="W24" i="83"/>
  <c r="R24" i="83"/>
  <c r="Q24" i="83"/>
  <c r="S24" i="83"/>
  <c r="P24" i="83"/>
  <c r="N24" i="83"/>
  <c r="M24" i="83"/>
  <c r="K24" i="83"/>
  <c r="J23" i="83"/>
  <c r="L23" i="83" s="1"/>
  <c r="J21" i="83"/>
  <c r="L21" i="83" s="1"/>
  <c r="AA20" i="83"/>
  <c r="Z20" i="83"/>
  <c r="Y20" i="83"/>
  <c r="X20" i="83"/>
  <c r="W20" i="83"/>
  <c r="V20" i="83"/>
  <c r="V24" i="83" s="1"/>
  <c r="U20" i="83"/>
  <c r="U24" i="83" s="1"/>
  <c r="T20" i="83"/>
  <c r="S20" i="83"/>
  <c r="R20" i="83"/>
  <c r="Q20" i="83"/>
  <c r="P20" i="83"/>
  <c r="N20" i="83"/>
  <c r="M20" i="83"/>
  <c r="K20" i="83"/>
  <c r="J19" i="83"/>
  <c r="L19" i="83" s="1"/>
  <c r="O19" i="83" s="1"/>
  <c r="J18" i="83"/>
  <c r="L18" i="83" s="1"/>
  <c r="J17" i="83"/>
  <c r="L17" i="83" s="1"/>
  <c r="J16" i="83"/>
  <c r="L16" i="83" s="1"/>
  <c r="J15" i="83"/>
  <c r="L15" i="83" s="1"/>
  <c r="J14" i="83"/>
  <c r="L14" i="83" s="1"/>
  <c r="O14" i="83" s="1"/>
  <c r="J13" i="83"/>
  <c r="J12" i="83"/>
  <c r="L12" i="83" s="1"/>
  <c r="J11" i="83"/>
  <c r="L11" i="83" s="1"/>
  <c r="J10" i="83"/>
  <c r="L10" i="83" s="1"/>
  <c r="O10" i="83" s="1"/>
  <c r="J9" i="83"/>
  <c r="L9" i="83" s="1"/>
  <c r="J8" i="83"/>
  <c r="J7" i="83"/>
  <c r="AA6" i="83"/>
  <c r="Z6" i="83"/>
  <c r="Y6" i="83"/>
  <c r="X6" i="83"/>
  <c r="W6" i="83"/>
  <c r="V6" i="83"/>
  <c r="U6" i="83"/>
  <c r="U5" i="83" s="1"/>
  <c r="T6" i="83"/>
  <c r="S6" i="83"/>
  <c r="R6" i="83"/>
  <c r="R5" i="83" s="1"/>
  <c r="Q6" i="83"/>
  <c r="P6" i="83"/>
  <c r="N6" i="83"/>
  <c r="M6" i="83"/>
  <c r="K6" i="83"/>
  <c r="J283" i="78"/>
  <c r="J282" i="78"/>
  <c r="J281" i="78"/>
  <c r="J280" i="78"/>
  <c r="J279" i="78"/>
  <c r="J278" i="78"/>
  <c r="J277" i="78"/>
  <c r="X276" i="78"/>
  <c r="W276" i="78"/>
  <c r="V276" i="78"/>
  <c r="U276" i="78"/>
  <c r="T276" i="78"/>
  <c r="S276" i="78"/>
  <c r="R276" i="78"/>
  <c r="Q276" i="78"/>
  <c r="P276" i="78"/>
  <c r="O276" i="78"/>
  <c r="N276" i="78"/>
  <c r="M276" i="78"/>
  <c r="K276" i="78"/>
  <c r="J275" i="78"/>
  <c r="J274" i="78"/>
  <c r="X273" i="78"/>
  <c r="W273" i="78"/>
  <c r="V273" i="78"/>
  <c r="U273" i="78"/>
  <c r="T273" i="78"/>
  <c r="S273" i="78"/>
  <c r="R273" i="78"/>
  <c r="Q273" i="78"/>
  <c r="P273" i="78"/>
  <c r="O273" i="78"/>
  <c r="N273" i="78"/>
  <c r="M273" i="78"/>
  <c r="K273" i="78"/>
  <c r="J272" i="78"/>
  <c r="J271" i="78"/>
  <c r="J270" i="78"/>
  <c r="J269" i="78"/>
  <c r="J268" i="78"/>
  <c r="J267" i="78"/>
  <c r="J266" i="78"/>
  <c r="J265" i="78"/>
  <c r="J264" i="78"/>
  <c r="J263" i="78"/>
  <c r="J262" i="78"/>
  <c r="J261" i="78"/>
  <c r="X260" i="78"/>
  <c r="W260" i="78"/>
  <c r="V260" i="78"/>
  <c r="U260" i="78"/>
  <c r="T260" i="78"/>
  <c r="S260" i="78"/>
  <c r="R260" i="78"/>
  <c r="Q260" i="78"/>
  <c r="P260" i="78"/>
  <c r="O260" i="78"/>
  <c r="N260" i="78"/>
  <c r="M260" i="78"/>
  <c r="K260" i="78"/>
  <c r="J259" i="78"/>
  <c r="J258" i="78"/>
  <c r="J257" i="78"/>
  <c r="X256" i="78"/>
  <c r="W256" i="78"/>
  <c r="V256" i="78"/>
  <c r="U256" i="78"/>
  <c r="T256" i="78"/>
  <c r="S256" i="78"/>
  <c r="R256" i="78"/>
  <c r="Q256" i="78"/>
  <c r="P256" i="78"/>
  <c r="O256" i="78"/>
  <c r="N256" i="78"/>
  <c r="M256" i="78"/>
  <c r="K256" i="78"/>
  <c r="J253" i="78"/>
  <c r="J252" i="78"/>
  <c r="J251" i="78"/>
  <c r="J250" i="78"/>
  <c r="J249" i="78"/>
  <c r="J248" i="78"/>
  <c r="J247" i="78"/>
  <c r="J246" i="78"/>
  <c r="J245" i="78"/>
  <c r="J244" i="78"/>
  <c r="X243" i="78"/>
  <c r="W243" i="78"/>
  <c r="V243" i="78"/>
  <c r="U243" i="78"/>
  <c r="T243" i="78"/>
  <c r="S243" i="78"/>
  <c r="R243" i="78"/>
  <c r="Q243" i="78"/>
  <c r="P243" i="78"/>
  <c r="O243" i="78"/>
  <c r="N243" i="78"/>
  <c r="M243" i="78"/>
  <c r="K243" i="78"/>
  <c r="J242" i="78"/>
  <c r="J241" i="78"/>
  <c r="J240" i="78"/>
  <c r="J239" i="78"/>
  <c r="J238" i="78"/>
  <c r="J237" i="78"/>
  <c r="J236" i="78"/>
  <c r="J235" i="78"/>
  <c r="J234" i="78"/>
  <c r="J233" i="78"/>
  <c r="J232" i="78"/>
  <c r="J231" i="78"/>
  <c r="J230" i="78"/>
  <c r="X229" i="78"/>
  <c r="W229" i="78"/>
  <c r="V229" i="78"/>
  <c r="U229" i="78"/>
  <c r="T229" i="78"/>
  <c r="S229" i="78"/>
  <c r="R229" i="78"/>
  <c r="Q229" i="78"/>
  <c r="P229" i="78"/>
  <c r="O229" i="78"/>
  <c r="N229" i="78"/>
  <c r="M229" i="78"/>
  <c r="K229" i="78"/>
  <c r="J228" i="78"/>
  <c r="J227" i="78"/>
  <c r="X226" i="78"/>
  <c r="W226" i="78"/>
  <c r="V226" i="78"/>
  <c r="U226" i="78"/>
  <c r="T226" i="78"/>
  <c r="S226" i="78"/>
  <c r="R226" i="78"/>
  <c r="Q226" i="78"/>
  <c r="P226" i="78"/>
  <c r="O226" i="78"/>
  <c r="N226" i="78"/>
  <c r="M226" i="78"/>
  <c r="K226" i="78"/>
  <c r="J225" i="78"/>
  <c r="J224" i="78"/>
  <c r="J223" i="78"/>
  <c r="J222" i="78"/>
  <c r="J221" i="78"/>
  <c r="J220" i="78"/>
  <c r="J219" i="78"/>
  <c r="J218" i="78"/>
  <c r="J217" i="78"/>
  <c r="J216" i="78"/>
  <c r="X215" i="78"/>
  <c r="W215" i="78"/>
  <c r="V215" i="78"/>
  <c r="U215" i="78"/>
  <c r="T215" i="78"/>
  <c r="S215" i="78"/>
  <c r="R215" i="78"/>
  <c r="Q215" i="78"/>
  <c r="P215" i="78"/>
  <c r="O215" i="78"/>
  <c r="N215" i="78"/>
  <c r="M215" i="78"/>
  <c r="K215" i="78"/>
  <c r="J214" i="78"/>
  <c r="J213" i="78"/>
  <c r="J212" i="78"/>
  <c r="J211" i="78"/>
  <c r="J210" i="78"/>
  <c r="J209" i="78"/>
  <c r="J208" i="78"/>
  <c r="J207" i="78"/>
  <c r="J206" i="78"/>
  <c r="J205" i="78"/>
  <c r="X204" i="78"/>
  <c r="W204" i="78"/>
  <c r="V204" i="78"/>
  <c r="U204" i="78"/>
  <c r="T204" i="78"/>
  <c r="S204" i="78"/>
  <c r="R204" i="78"/>
  <c r="Q204" i="78"/>
  <c r="P204" i="78"/>
  <c r="O204" i="78"/>
  <c r="N204" i="78"/>
  <c r="M204" i="78"/>
  <c r="K204" i="78"/>
  <c r="J203" i="78"/>
  <c r="J202" i="78"/>
  <c r="J201" i="78"/>
  <c r="J200" i="78"/>
  <c r="J199" i="78"/>
  <c r="J198" i="78"/>
  <c r="J197" i="78"/>
  <c r="J196" i="78"/>
  <c r="J195" i="78"/>
  <c r="J194" i="78"/>
  <c r="X193" i="78"/>
  <c r="W193" i="78"/>
  <c r="V193" i="78"/>
  <c r="U193" i="78"/>
  <c r="T193" i="78"/>
  <c r="S193" i="78"/>
  <c r="R193" i="78"/>
  <c r="Q193" i="78"/>
  <c r="P193" i="78"/>
  <c r="O193" i="78"/>
  <c r="N193" i="78"/>
  <c r="M193" i="78"/>
  <c r="K193" i="78"/>
  <c r="J192" i="78"/>
  <c r="J190" i="78"/>
  <c r="L190" i="78" s="1"/>
  <c r="J189" i="78"/>
  <c r="L189" i="78" s="1"/>
  <c r="J188" i="78"/>
  <c r="L188" i="78" s="1"/>
  <c r="J187" i="78"/>
  <c r="X186" i="78"/>
  <c r="W186" i="78"/>
  <c r="V186" i="78"/>
  <c r="U186" i="78"/>
  <c r="T186" i="78"/>
  <c r="S186" i="78"/>
  <c r="R186" i="78"/>
  <c r="Q186" i="78"/>
  <c r="P186" i="78"/>
  <c r="O186" i="78"/>
  <c r="N186" i="78"/>
  <c r="M186" i="78"/>
  <c r="K186" i="78"/>
  <c r="J185" i="78"/>
  <c r="L185" i="78" s="1"/>
  <c r="J184" i="78"/>
  <c r="L184" i="78" s="1"/>
  <c r="J183" i="78"/>
  <c r="L183" i="78" s="1"/>
  <c r="J181" i="78"/>
  <c r="J180" i="78"/>
  <c r="L180" i="78" s="1"/>
  <c r="J179" i="78"/>
  <c r="J178" i="78"/>
  <c r="K150" i="66" s="1"/>
  <c r="X177" i="78"/>
  <c r="W177" i="78"/>
  <c r="W175" i="78" s="1"/>
  <c r="V177" i="78"/>
  <c r="V175" i="78" s="1"/>
  <c r="S177" i="78"/>
  <c r="R177" i="78"/>
  <c r="Q177" i="78"/>
  <c r="Q175" i="78" s="1"/>
  <c r="P177" i="78"/>
  <c r="O177" i="78"/>
  <c r="O175" i="78" s="1"/>
  <c r="N177" i="78"/>
  <c r="M177" i="78"/>
  <c r="M175" i="78" s="1"/>
  <c r="K177" i="78"/>
  <c r="L149" i="66" s="1"/>
  <c r="J176" i="78"/>
  <c r="R171" i="78"/>
  <c r="S146" i="66" s="1"/>
  <c r="L172" i="78"/>
  <c r="X171" i="78"/>
  <c r="Y146" i="66" s="1"/>
  <c r="W171" i="78"/>
  <c r="X146" i="66" s="1"/>
  <c r="V171" i="78"/>
  <c r="W146" i="66" s="1"/>
  <c r="U171" i="78"/>
  <c r="T171" i="78"/>
  <c r="U146" i="66" s="1"/>
  <c r="S171" i="78"/>
  <c r="T146" i="66" s="1"/>
  <c r="Q171" i="78"/>
  <c r="R146" i="66" s="1"/>
  <c r="P171" i="78"/>
  <c r="Q146" i="66" s="1"/>
  <c r="O171" i="78"/>
  <c r="P146" i="66" s="1"/>
  <c r="N171" i="78"/>
  <c r="O146" i="66" s="1"/>
  <c r="M171" i="78"/>
  <c r="N146" i="66" s="1"/>
  <c r="K171" i="78"/>
  <c r="L146" i="66" s="1"/>
  <c r="J170" i="78"/>
  <c r="J169" i="78"/>
  <c r="J168" i="78"/>
  <c r="J167" i="78"/>
  <c r="J166" i="78"/>
  <c r="J165" i="78"/>
  <c r="J164" i="78"/>
  <c r="J163" i="78"/>
  <c r="J162" i="78"/>
  <c r="J161" i="78"/>
  <c r="X160" i="78"/>
  <c r="W160" i="78"/>
  <c r="V160" i="78"/>
  <c r="U160" i="78"/>
  <c r="T160" i="78"/>
  <c r="S160" i="78"/>
  <c r="R160" i="78"/>
  <c r="Q160" i="78"/>
  <c r="P160" i="78"/>
  <c r="O160" i="78"/>
  <c r="N160" i="78"/>
  <c r="M160" i="78"/>
  <c r="K160" i="78"/>
  <c r="J159" i="78"/>
  <c r="J158" i="78"/>
  <c r="J157" i="78"/>
  <c r="J156" i="78"/>
  <c r="J155" i="78"/>
  <c r="J154" i="78"/>
  <c r="J153" i="78"/>
  <c r="J152" i="78"/>
  <c r="J151" i="78"/>
  <c r="J150" i="78"/>
  <c r="J149" i="78"/>
  <c r="J148" i="78"/>
  <c r="J147" i="78"/>
  <c r="J146" i="78"/>
  <c r="X145" i="78"/>
  <c r="W145" i="78"/>
  <c r="V145" i="78"/>
  <c r="U145" i="78"/>
  <c r="T145" i="78"/>
  <c r="S145" i="78"/>
  <c r="R145" i="78"/>
  <c r="Q145" i="78"/>
  <c r="P145" i="78"/>
  <c r="O145" i="78"/>
  <c r="N145" i="78"/>
  <c r="M145" i="78"/>
  <c r="K145" i="78"/>
  <c r="J144" i="78"/>
  <c r="J143" i="78"/>
  <c r="X142" i="78"/>
  <c r="W142" i="78"/>
  <c r="V142" i="78"/>
  <c r="U142" i="78"/>
  <c r="T142" i="78"/>
  <c r="S142" i="78"/>
  <c r="R142" i="78"/>
  <c r="Q142" i="78"/>
  <c r="P142" i="78"/>
  <c r="O142" i="78"/>
  <c r="N142" i="78"/>
  <c r="M142" i="78"/>
  <c r="K142" i="78"/>
  <c r="J141" i="78"/>
  <c r="J140" i="78"/>
  <c r="J139" i="78"/>
  <c r="L138" i="78"/>
  <c r="J137" i="78"/>
  <c r="J136" i="78"/>
  <c r="J135" i="78"/>
  <c r="J134" i="78"/>
  <c r="J133" i="78"/>
  <c r="J132" i="78"/>
  <c r="X131" i="78"/>
  <c r="W131" i="78"/>
  <c r="V131" i="78"/>
  <c r="U131" i="78"/>
  <c r="T131" i="78"/>
  <c r="S131" i="78"/>
  <c r="R131" i="78"/>
  <c r="Q131" i="78"/>
  <c r="P131" i="78"/>
  <c r="O131" i="78"/>
  <c r="N131" i="78"/>
  <c r="M131" i="78"/>
  <c r="K131" i="78"/>
  <c r="J130" i="78"/>
  <c r="J129" i="78"/>
  <c r="J128" i="78"/>
  <c r="J127" i="78"/>
  <c r="J126" i="78"/>
  <c r="J125" i="78"/>
  <c r="J124" i="78"/>
  <c r="J123" i="78"/>
  <c r="J122" i="78"/>
  <c r="J121" i="78"/>
  <c r="X120" i="78"/>
  <c r="W120" i="78"/>
  <c r="V120" i="78"/>
  <c r="U120" i="78"/>
  <c r="T120" i="78"/>
  <c r="S120" i="78"/>
  <c r="R120" i="78"/>
  <c r="Q120" i="78"/>
  <c r="P120" i="78"/>
  <c r="O120" i="78"/>
  <c r="N120" i="78"/>
  <c r="M120" i="78"/>
  <c r="K120" i="78"/>
  <c r="J119" i="78"/>
  <c r="J118" i="78"/>
  <c r="J117" i="78"/>
  <c r="J116" i="78"/>
  <c r="J115" i="78"/>
  <c r="J114" i="78"/>
  <c r="J113" i="78"/>
  <c r="J112" i="78"/>
  <c r="J111" i="78"/>
  <c r="J110" i="78"/>
  <c r="X109" i="78"/>
  <c r="W109" i="78"/>
  <c r="V109" i="78"/>
  <c r="U109" i="78"/>
  <c r="T109" i="78"/>
  <c r="S109" i="78"/>
  <c r="R109" i="78"/>
  <c r="Q109" i="78"/>
  <c r="P109" i="78"/>
  <c r="O109" i="78"/>
  <c r="N109" i="78"/>
  <c r="M109" i="78"/>
  <c r="K109" i="78"/>
  <c r="J108" i="78"/>
  <c r="J107" i="78"/>
  <c r="J106" i="78"/>
  <c r="J105" i="78"/>
  <c r="X104" i="78"/>
  <c r="W104" i="78"/>
  <c r="V104" i="78"/>
  <c r="U104" i="78"/>
  <c r="T104" i="78"/>
  <c r="S104" i="78"/>
  <c r="R104" i="78"/>
  <c r="Q104" i="78"/>
  <c r="P104" i="78"/>
  <c r="O104" i="78"/>
  <c r="N104" i="78"/>
  <c r="M104" i="78"/>
  <c r="K104" i="78"/>
  <c r="J103" i="78"/>
  <c r="J102" i="78"/>
  <c r="X101" i="78"/>
  <c r="W101" i="78"/>
  <c r="V101" i="78"/>
  <c r="U101" i="78"/>
  <c r="T101" i="78"/>
  <c r="S101" i="78"/>
  <c r="R101" i="78"/>
  <c r="Q101" i="78"/>
  <c r="P101" i="78"/>
  <c r="O101" i="78"/>
  <c r="N101" i="78"/>
  <c r="M101" i="78"/>
  <c r="K101" i="78"/>
  <c r="J99" i="78"/>
  <c r="J98" i="78"/>
  <c r="J97" i="78"/>
  <c r="J96" i="78"/>
  <c r="X95" i="78"/>
  <c r="W95" i="78"/>
  <c r="V95" i="78"/>
  <c r="U95" i="78"/>
  <c r="T95" i="78"/>
  <c r="S95" i="78"/>
  <c r="R95" i="78"/>
  <c r="Q95" i="78"/>
  <c r="P95" i="78"/>
  <c r="O95" i="78"/>
  <c r="N95" i="78"/>
  <c r="M95" i="78"/>
  <c r="K95" i="78"/>
  <c r="J94" i="78"/>
  <c r="J93" i="78"/>
  <c r="J92" i="78"/>
  <c r="X91" i="78"/>
  <c r="W91" i="78"/>
  <c r="V91" i="78"/>
  <c r="U91" i="78"/>
  <c r="T91" i="78"/>
  <c r="S91" i="78"/>
  <c r="R91" i="78"/>
  <c r="Q91" i="78"/>
  <c r="P91" i="78"/>
  <c r="O91" i="78"/>
  <c r="N91" i="78"/>
  <c r="M91" i="78"/>
  <c r="K91" i="78"/>
  <c r="J90" i="78"/>
  <c r="J89" i="78"/>
  <c r="J88" i="78"/>
  <c r="J87" i="78"/>
  <c r="J86" i="78"/>
  <c r="J85" i="78"/>
  <c r="J83" i="78"/>
  <c r="J82" i="78"/>
  <c r="J81" i="78"/>
  <c r="J80" i="78"/>
  <c r="J79" i="78"/>
  <c r="L79" i="78" s="1"/>
  <c r="S77" i="78"/>
  <c r="S76" i="78" s="1"/>
  <c r="R77" i="78"/>
  <c r="Q77" i="78"/>
  <c r="Q76" i="78" s="1"/>
  <c r="P77" i="78"/>
  <c r="P76" i="78" s="1"/>
  <c r="O77" i="78"/>
  <c r="O76" i="78" s="1"/>
  <c r="N77" i="78"/>
  <c r="M77" i="78"/>
  <c r="M76" i="78" s="1"/>
  <c r="K77" i="78"/>
  <c r="L54" i="66" s="1"/>
  <c r="J75" i="78"/>
  <c r="J74" i="78"/>
  <c r="L74" i="78" s="1"/>
  <c r="X73" i="78"/>
  <c r="Y52" i="66" s="1"/>
  <c r="V73" i="78"/>
  <c r="V71" i="78" s="1"/>
  <c r="U73" i="78"/>
  <c r="T73" i="78"/>
  <c r="U52" i="66" s="1"/>
  <c r="S73" i="78"/>
  <c r="T52" i="66" s="1"/>
  <c r="R73" i="78"/>
  <c r="Q73" i="78"/>
  <c r="P73" i="78"/>
  <c r="O73" i="78"/>
  <c r="P52" i="66" s="1"/>
  <c r="N73" i="78"/>
  <c r="O52" i="66" s="1"/>
  <c r="M73" i="78"/>
  <c r="N52" i="66" s="1"/>
  <c r="K73" i="78"/>
  <c r="J72" i="78"/>
  <c r="W71" i="78"/>
  <c r="J70" i="78"/>
  <c r="L70" i="78" s="1"/>
  <c r="J69" i="78"/>
  <c r="L69" i="78" s="1"/>
  <c r="J68" i="78"/>
  <c r="J67" i="78"/>
  <c r="L67" i="78" s="1"/>
  <c r="J66" i="78"/>
  <c r="W65" i="78"/>
  <c r="V65" i="78"/>
  <c r="U65" i="78"/>
  <c r="T65" i="78"/>
  <c r="S65" i="78"/>
  <c r="R65" i="78"/>
  <c r="Q65" i="78"/>
  <c r="P65" i="78"/>
  <c r="O65" i="78"/>
  <c r="M65" i="78"/>
  <c r="K65" i="78"/>
  <c r="J64" i="78"/>
  <c r="L64" i="78" s="1"/>
  <c r="J63" i="78"/>
  <c r="L63" i="78" s="1"/>
  <c r="J62" i="78"/>
  <c r="L62" i="78" s="1"/>
  <c r="J61" i="78"/>
  <c r="L61" i="78" s="1"/>
  <c r="J60" i="78"/>
  <c r="L60" i="78" s="1"/>
  <c r="J59" i="78"/>
  <c r="L59" i="78" s="1"/>
  <c r="J58" i="78"/>
  <c r="L58" i="78" s="1"/>
  <c r="X57" i="78"/>
  <c r="Y48" i="66" s="1"/>
  <c r="W57" i="78"/>
  <c r="X48" i="66" s="1"/>
  <c r="V57" i="78"/>
  <c r="W48" i="66" s="1"/>
  <c r="U57" i="78"/>
  <c r="V48" i="66" s="1"/>
  <c r="T57" i="78"/>
  <c r="U48" i="66" s="1"/>
  <c r="S57" i="78"/>
  <c r="T48" i="66" s="1"/>
  <c r="R57" i="78"/>
  <c r="S48" i="66" s="1"/>
  <c r="Q57" i="78"/>
  <c r="R48" i="66" s="1"/>
  <c r="P57" i="78"/>
  <c r="Q48" i="66" s="1"/>
  <c r="O57" i="78"/>
  <c r="P48" i="66" s="1"/>
  <c r="N57" i="78"/>
  <c r="O48" i="66" s="1"/>
  <c r="M57" i="78"/>
  <c r="N48" i="66" s="1"/>
  <c r="K57" i="78"/>
  <c r="L48" i="66" s="1"/>
  <c r="J56" i="78"/>
  <c r="J55" i="78"/>
  <c r="X54" i="78"/>
  <c r="W54" i="78"/>
  <c r="V54" i="78"/>
  <c r="U54" i="78"/>
  <c r="T54" i="78"/>
  <c r="S54" i="78"/>
  <c r="R54" i="78"/>
  <c r="Q54" i="78"/>
  <c r="P54" i="78"/>
  <c r="O54" i="78"/>
  <c r="N54" i="78"/>
  <c r="M54" i="78"/>
  <c r="K54" i="78"/>
  <c r="J53" i="78"/>
  <c r="K52" i="78"/>
  <c r="L43" i="66" s="1"/>
  <c r="J51" i="78"/>
  <c r="J50" i="78"/>
  <c r="L50" i="78" s="1"/>
  <c r="J48" i="78"/>
  <c r="L48" i="78" s="1"/>
  <c r="X47" i="78"/>
  <c r="W47" i="78"/>
  <c r="V47" i="78"/>
  <c r="U47" i="78"/>
  <c r="U77" i="78" s="1"/>
  <c r="U76" i="78" s="1"/>
  <c r="T47" i="78"/>
  <c r="S47" i="78"/>
  <c r="Q47" i="78"/>
  <c r="P47" i="78"/>
  <c r="O47" i="78"/>
  <c r="N47" i="78"/>
  <c r="M47" i="78"/>
  <c r="K47" i="78"/>
  <c r="J45" i="78"/>
  <c r="J43" i="78"/>
  <c r="L43" i="78" s="1"/>
  <c r="J42" i="78"/>
  <c r="L42" i="78" s="1"/>
  <c r="J41" i="78"/>
  <c r="Y38" i="66"/>
  <c r="V39" i="78"/>
  <c r="U39" i="78"/>
  <c r="T39" i="78"/>
  <c r="S40" i="78"/>
  <c r="R40" i="78"/>
  <c r="R39" i="78" s="1"/>
  <c r="Q40" i="78"/>
  <c r="Q39" i="78" s="1"/>
  <c r="O40" i="78"/>
  <c r="N40" i="78"/>
  <c r="M40" i="78"/>
  <c r="M39" i="78" s="1"/>
  <c r="K40" i="78"/>
  <c r="L38" i="66" s="1"/>
  <c r="P39" i="78"/>
  <c r="J38" i="78"/>
  <c r="L38" i="78" s="1"/>
  <c r="K37" i="78"/>
  <c r="L37" i="78" s="1"/>
  <c r="J36" i="78"/>
  <c r="L36" i="78" s="1"/>
  <c r="X35" i="78"/>
  <c r="W35" i="78"/>
  <c r="W33" i="78" s="1"/>
  <c r="V35" i="78"/>
  <c r="U35" i="78"/>
  <c r="U33" i="78" s="1"/>
  <c r="T35" i="78"/>
  <c r="T33" i="78" s="1"/>
  <c r="S35" i="78"/>
  <c r="S33" i="78" s="1"/>
  <c r="R35" i="78"/>
  <c r="R33" i="78" s="1"/>
  <c r="Q35" i="78"/>
  <c r="Q33" i="78" s="1"/>
  <c r="P35" i="78"/>
  <c r="O35" i="78"/>
  <c r="O33" i="78" s="1"/>
  <c r="N35" i="78"/>
  <c r="N33" i="78" s="1"/>
  <c r="M35" i="78"/>
  <c r="M33" i="78" s="1"/>
  <c r="J34" i="78"/>
  <c r="W31" i="78"/>
  <c r="J31" i="78" s="1"/>
  <c r="J30" i="78"/>
  <c r="J29" i="78"/>
  <c r="Y28" i="66"/>
  <c r="W28" i="78"/>
  <c r="J27" i="78"/>
  <c r="J26" i="78"/>
  <c r="K24" i="78"/>
  <c r="J23" i="78"/>
  <c r="J21" i="78"/>
  <c r="X20" i="78"/>
  <c r="X25" i="78" s="1"/>
  <c r="V20" i="78"/>
  <c r="V25" i="78" s="1"/>
  <c r="U20" i="78"/>
  <c r="U25" i="78" s="1"/>
  <c r="T20" i="78"/>
  <c r="S20" i="78"/>
  <c r="S24" i="78" s="1"/>
  <c r="R20" i="78"/>
  <c r="R24" i="78" s="1"/>
  <c r="Q20" i="78"/>
  <c r="Q24" i="78" s="1"/>
  <c r="P20" i="78"/>
  <c r="P24" i="78" s="1"/>
  <c r="O20" i="78"/>
  <c r="O24" i="78" s="1"/>
  <c r="N20" i="78"/>
  <c r="M20" i="78"/>
  <c r="J19" i="78"/>
  <c r="J18" i="78"/>
  <c r="J17" i="78"/>
  <c r="J16" i="78"/>
  <c r="J15" i="78"/>
  <c r="J14" i="78"/>
  <c r="J13" i="78"/>
  <c r="L13" i="78" s="1"/>
  <c r="J12" i="78"/>
  <c r="J11" i="78"/>
  <c r="J10" i="78"/>
  <c r="L10" i="78" s="1"/>
  <c r="J9" i="78"/>
  <c r="J8" i="78"/>
  <c r="L8" i="78" s="1"/>
  <c r="X6" i="78"/>
  <c r="U6" i="78"/>
  <c r="T6" i="78"/>
  <c r="Q6" i="78"/>
  <c r="P6" i="78"/>
  <c r="K6" i="78"/>
  <c r="Y254" i="66"/>
  <c r="X254" i="66"/>
  <c r="W254" i="66"/>
  <c r="V254" i="66"/>
  <c r="U254" i="66"/>
  <c r="T254" i="66"/>
  <c r="S254" i="66"/>
  <c r="R254" i="66"/>
  <c r="Q254" i="66"/>
  <c r="P254" i="66"/>
  <c r="O254" i="66"/>
  <c r="N254" i="66"/>
  <c r="Y253" i="66"/>
  <c r="X253" i="66"/>
  <c r="W253" i="66"/>
  <c r="V253" i="66"/>
  <c r="U253" i="66"/>
  <c r="T253" i="66"/>
  <c r="S253" i="66"/>
  <c r="R253" i="66"/>
  <c r="Q253" i="66"/>
  <c r="P253" i="66"/>
  <c r="O253" i="66"/>
  <c r="N253" i="66"/>
  <c r="Y252" i="66"/>
  <c r="X252" i="66"/>
  <c r="W252" i="66"/>
  <c r="V252" i="66"/>
  <c r="U252" i="66"/>
  <c r="T252" i="66"/>
  <c r="S252" i="66"/>
  <c r="R252" i="66"/>
  <c r="Q252" i="66"/>
  <c r="P252" i="66"/>
  <c r="O252" i="66"/>
  <c r="N252" i="66"/>
  <c r="Y251" i="66"/>
  <c r="X251" i="66"/>
  <c r="W251" i="66"/>
  <c r="V251" i="66"/>
  <c r="U251" i="66"/>
  <c r="T251" i="66"/>
  <c r="S251" i="66"/>
  <c r="R251" i="66"/>
  <c r="Q251" i="66"/>
  <c r="P251" i="66"/>
  <c r="O251" i="66"/>
  <c r="N251" i="66"/>
  <c r="Y250" i="66"/>
  <c r="X250" i="66"/>
  <c r="W250" i="66"/>
  <c r="V250" i="66"/>
  <c r="U250" i="66"/>
  <c r="T250" i="66"/>
  <c r="S250" i="66"/>
  <c r="R250" i="66"/>
  <c r="Q250" i="66"/>
  <c r="P250" i="66"/>
  <c r="O250" i="66"/>
  <c r="N250" i="66"/>
  <c r="Y249" i="66"/>
  <c r="X249" i="66"/>
  <c r="W249" i="66"/>
  <c r="V249" i="66"/>
  <c r="U249" i="66"/>
  <c r="T249" i="66"/>
  <c r="S249" i="66"/>
  <c r="R249" i="66"/>
  <c r="Q249" i="66"/>
  <c r="P249" i="66"/>
  <c r="O249" i="66"/>
  <c r="N249" i="66"/>
  <c r="Y248" i="66"/>
  <c r="X248" i="66"/>
  <c r="W248" i="66"/>
  <c r="V248" i="66"/>
  <c r="U248" i="66"/>
  <c r="T248" i="66"/>
  <c r="S248" i="66"/>
  <c r="R248" i="66"/>
  <c r="Q248" i="66"/>
  <c r="P248" i="66"/>
  <c r="O248" i="66"/>
  <c r="N248" i="66"/>
  <c r="Y246" i="66"/>
  <c r="X246" i="66"/>
  <c r="W246" i="66"/>
  <c r="V246" i="66"/>
  <c r="U246" i="66"/>
  <c r="T246" i="66"/>
  <c r="S246" i="66"/>
  <c r="R246" i="66"/>
  <c r="Q246" i="66"/>
  <c r="P246" i="66"/>
  <c r="O246" i="66"/>
  <c r="N246" i="66"/>
  <c r="Y245" i="66"/>
  <c r="X245" i="66"/>
  <c r="W245" i="66"/>
  <c r="V245" i="66"/>
  <c r="U245" i="66"/>
  <c r="T245" i="66"/>
  <c r="S245" i="66"/>
  <c r="R245" i="66"/>
  <c r="Q245" i="66"/>
  <c r="P245" i="66"/>
  <c r="O245" i="66"/>
  <c r="N245" i="66"/>
  <c r="Y243" i="66"/>
  <c r="X243" i="66"/>
  <c r="W243" i="66"/>
  <c r="V243" i="66"/>
  <c r="U243" i="66"/>
  <c r="T243" i="66"/>
  <c r="S243" i="66"/>
  <c r="R243" i="66"/>
  <c r="Q243" i="66"/>
  <c r="P243" i="66"/>
  <c r="O243" i="66"/>
  <c r="N243" i="66"/>
  <c r="Y242" i="66"/>
  <c r="X242" i="66"/>
  <c r="W242" i="66"/>
  <c r="V242" i="66"/>
  <c r="U242" i="66"/>
  <c r="T242" i="66"/>
  <c r="S242" i="66"/>
  <c r="R242" i="66"/>
  <c r="Q242" i="66"/>
  <c r="P242" i="66"/>
  <c r="O242" i="66"/>
  <c r="N242" i="66"/>
  <c r="Y241" i="66"/>
  <c r="X241" i="66"/>
  <c r="W241" i="66"/>
  <c r="V241" i="66"/>
  <c r="U241" i="66"/>
  <c r="T241" i="66"/>
  <c r="S241" i="66"/>
  <c r="R241" i="66"/>
  <c r="Q241" i="66"/>
  <c r="P241" i="66"/>
  <c r="O241" i="66"/>
  <c r="N241" i="66"/>
  <c r="Y240" i="66"/>
  <c r="X240" i="66"/>
  <c r="W240" i="66"/>
  <c r="V240" i="66"/>
  <c r="U240" i="66"/>
  <c r="T240" i="66"/>
  <c r="S240" i="66"/>
  <c r="R240" i="66"/>
  <c r="Q240" i="66"/>
  <c r="P240" i="66"/>
  <c r="O240" i="66"/>
  <c r="N240" i="66"/>
  <c r="Y239" i="66"/>
  <c r="X239" i="66"/>
  <c r="W239" i="66"/>
  <c r="V239" i="66"/>
  <c r="U239" i="66"/>
  <c r="T239" i="66"/>
  <c r="S239" i="66"/>
  <c r="R239" i="66"/>
  <c r="Q239" i="66"/>
  <c r="P239" i="66"/>
  <c r="O239" i="66"/>
  <c r="N239" i="66"/>
  <c r="Y238" i="66"/>
  <c r="X238" i="66"/>
  <c r="W238" i="66"/>
  <c r="V238" i="66"/>
  <c r="U238" i="66"/>
  <c r="T238" i="66"/>
  <c r="S238" i="66"/>
  <c r="R238" i="66"/>
  <c r="Q238" i="66"/>
  <c r="P238" i="66"/>
  <c r="O238" i="66"/>
  <c r="N238" i="66"/>
  <c r="Y237" i="66"/>
  <c r="X237" i="66"/>
  <c r="W237" i="66"/>
  <c r="V237" i="66"/>
  <c r="U237" i="66"/>
  <c r="T237" i="66"/>
  <c r="S237" i="66"/>
  <c r="R237" i="66"/>
  <c r="Q237" i="66"/>
  <c r="P237" i="66"/>
  <c r="O237" i="66"/>
  <c r="N237" i="66"/>
  <c r="Y236" i="66"/>
  <c r="X236" i="66"/>
  <c r="W236" i="66"/>
  <c r="V236" i="66"/>
  <c r="U236" i="66"/>
  <c r="T236" i="66"/>
  <c r="S236" i="66"/>
  <c r="R236" i="66"/>
  <c r="Q236" i="66"/>
  <c r="P236" i="66"/>
  <c r="O236" i="66"/>
  <c r="N236" i="66"/>
  <c r="Y235" i="66"/>
  <c r="X235" i="66"/>
  <c r="W235" i="66"/>
  <c r="V235" i="66"/>
  <c r="U235" i="66"/>
  <c r="T235" i="66"/>
  <c r="S235" i="66"/>
  <c r="R235" i="66"/>
  <c r="Q235" i="66"/>
  <c r="P235" i="66"/>
  <c r="O235" i="66"/>
  <c r="N235" i="66"/>
  <c r="Y234" i="66"/>
  <c r="X234" i="66"/>
  <c r="W234" i="66"/>
  <c r="V234" i="66"/>
  <c r="U234" i="66"/>
  <c r="T234" i="66"/>
  <c r="S234" i="66"/>
  <c r="R234" i="66"/>
  <c r="Q234" i="66"/>
  <c r="P234" i="66"/>
  <c r="O234" i="66"/>
  <c r="N234" i="66"/>
  <c r="Y233" i="66"/>
  <c r="X233" i="66"/>
  <c r="W233" i="66"/>
  <c r="V233" i="66"/>
  <c r="U233" i="66"/>
  <c r="T233" i="66"/>
  <c r="S233" i="66"/>
  <c r="R233" i="66"/>
  <c r="Q233" i="66"/>
  <c r="P233" i="66"/>
  <c r="O233" i="66"/>
  <c r="N233" i="66"/>
  <c r="Y232" i="66"/>
  <c r="X232" i="66"/>
  <c r="W232" i="66"/>
  <c r="V232" i="66"/>
  <c r="U232" i="66"/>
  <c r="T232" i="66"/>
  <c r="S232" i="66"/>
  <c r="R232" i="66"/>
  <c r="Q232" i="66"/>
  <c r="P232" i="66"/>
  <c r="O232" i="66"/>
  <c r="N232" i="66"/>
  <c r="Y230" i="66"/>
  <c r="X230" i="66"/>
  <c r="W230" i="66"/>
  <c r="V230" i="66"/>
  <c r="U230" i="66"/>
  <c r="T230" i="66"/>
  <c r="S230" i="66"/>
  <c r="R230" i="66"/>
  <c r="Q230" i="66"/>
  <c r="P230" i="66"/>
  <c r="O230" i="66"/>
  <c r="N230" i="66"/>
  <c r="Y229" i="66"/>
  <c r="X229" i="66"/>
  <c r="W229" i="66"/>
  <c r="V229" i="66"/>
  <c r="U229" i="66"/>
  <c r="T229" i="66"/>
  <c r="S229" i="66"/>
  <c r="R229" i="66"/>
  <c r="Q229" i="66"/>
  <c r="P229" i="66"/>
  <c r="O229" i="66"/>
  <c r="N229" i="66"/>
  <c r="Y228" i="66"/>
  <c r="X228" i="66"/>
  <c r="W228" i="66"/>
  <c r="V228" i="66"/>
  <c r="U228" i="66"/>
  <c r="T228" i="66"/>
  <c r="S228" i="66"/>
  <c r="R228" i="66"/>
  <c r="Q228" i="66"/>
  <c r="P228" i="66"/>
  <c r="O228" i="66"/>
  <c r="N228" i="66"/>
  <c r="Y224" i="66"/>
  <c r="X224" i="66"/>
  <c r="W224" i="66"/>
  <c r="V224" i="66"/>
  <c r="U224" i="66"/>
  <c r="T224" i="66"/>
  <c r="S224" i="66"/>
  <c r="R224" i="66"/>
  <c r="Q224" i="66"/>
  <c r="P224" i="66"/>
  <c r="O224" i="66"/>
  <c r="N224" i="66"/>
  <c r="Y223" i="66"/>
  <c r="X223" i="66"/>
  <c r="W223" i="66"/>
  <c r="V223" i="66"/>
  <c r="U223" i="66"/>
  <c r="T223" i="66"/>
  <c r="S223" i="66"/>
  <c r="R223" i="66"/>
  <c r="Q223" i="66"/>
  <c r="P223" i="66"/>
  <c r="O223" i="66"/>
  <c r="N223" i="66"/>
  <c r="Y222" i="66"/>
  <c r="X222" i="66"/>
  <c r="W222" i="66"/>
  <c r="V222" i="66"/>
  <c r="U222" i="66"/>
  <c r="T222" i="66"/>
  <c r="S222" i="66"/>
  <c r="R222" i="66"/>
  <c r="Q222" i="66"/>
  <c r="P222" i="66"/>
  <c r="O222" i="66"/>
  <c r="N222" i="66"/>
  <c r="Y221" i="66"/>
  <c r="X221" i="66"/>
  <c r="W221" i="66"/>
  <c r="V221" i="66"/>
  <c r="U221" i="66"/>
  <c r="T221" i="66"/>
  <c r="S221" i="66"/>
  <c r="R221" i="66"/>
  <c r="Q221" i="66"/>
  <c r="P221" i="66"/>
  <c r="O221" i="66"/>
  <c r="N221" i="66"/>
  <c r="Y220" i="66"/>
  <c r="X220" i="66"/>
  <c r="W220" i="66"/>
  <c r="V220" i="66"/>
  <c r="U220" i="66"/>
  <c r="T220" i="66"/>
  <c r="S220" i="66"/>
  <c r="R220" i="66"/>
  <c r="Q220" i="66"/>
  <c r="P220" i="66"/>
  <c r="O220" i="66"/>
  <c r="N220" i="66"/>
  <c r="Y219" i="66"/>
  <c r="X219" i="66"/>
  <c r="W219" i="66"/>
  <c r="V219" i="66"/>
  <c r="U219" i="66"/>
  <c r="T219" i="66"/>
  <c r="S219" i="66"/>
  <c r="R219" i="66"/>
  <c r="Q219" i="66"/>
  <c r="P219" i="66"/>
  <c r="O219" i="66"/>
  <c r="N219" i="66"/>
  <c r="Y218" i="66"/>
  <c r="X218" i="66"/>
  <c r="W218" i="66"/>
  <c r="V218" i="66"/>
  <c r="U218" i="66"/>
  <c r="T218" i="66"/>
  <c r="S218" i="66"/>
  <c r="R218" i="66"/>
  <c r="Q218" i="66"/>
  <c r="P218" i="66"/>
  <c r="O218" i="66"/>
  <c r="N218" i="66"/>
  <c r="Y217" i="66"/>
  <c r="X217" i="66"/>
  <c r="W217" i="66"/>
  <c r="V217" i="66"/>
  <c r="U217" i="66"/>
  <c r="T217" i="66"/>
  <c r="S217" i="66"/>
  <c r="R217" i="66"/>
  <c r="Q217" i="66"/>
  <c r="P217" i="66"/>
  <c r="O217" i="66"/>
  <c r="N217" i="66"/>
  <c r="Y216" i="66"/>
  <c r="X216" i="66"/>
  <c r="W216" i="66"/>
  <c r="V216" i="66"/>
  <c r="U216" i="66"/>
  <c r="T216" i="66"/>
  <c r="S216" i="66"/>
  <c r="R216" i="66"/>
  <c r="Q216" i="66"/>
  <c r="P216" i="66"/>
  <c r="O216" i="66"/>
  <c r="N216" i="66"/>
  <c r="Y215" i="66"/>
  <c r="X215" i="66"/>
  <c r="W215" i="66"/>
  <c r="V215" i="66"/>
  <c r="U215" i="66"/>
  <c r="T215" i="66"/>
  <c r="S215" i="66"/>
  <c r="R215" i="66"/>
  <c r="Q215" i="66"/>
  <c r="P215" i="66"/>
  <c r="O215" i="66"/>
  <c r="N215" i="66"/>
  <c r="Y213" i="66"/>
  <c r="X213" i="66"/>
  <c r="W213" i="66"/>
  <c r="V213" i="66"/>
  <c r="U213" i="66"/>
  <c r="T213" i="66"/>
  <c r="S213" i="66"/>
  <c r="R213" i="66"/>
  <c r="Q213" i="66"/>
  <c r="P213" i="66"/>
  <c r="O213" i="66"/>
  <c r="N213" i="66"/>
  <c r="Y212" i="66"/>
  <c r="X212" i="66"/>
  <c r="W212" i="66"/>
  <c r="V212" i="66"/>
  <c r="U212" i="66"/>
  <c r="T212" i="66"/>
  <c r="S212" i="66"/>
  <c r="R212" i="66"/>
  <c r="Q212" i="66"/>
  <c r="P212" i="66"/>
  <c r="O212" i="66"/>
  <c r="N212" i="66"/>
  <c r="Y211" i="66"/>
  <c r="X211" i="66"/>
  <c r="W211" i="66"/>
  <c r="V211" i="66"/>
  <c r="U211" i="66"/>
  <c r="T211" i="66"/>
  <c r="S211" i="66"/>
  <c r="R211" i="66"/>
  <c r="Q211" i="66"/>
  <c r="P211" i="66"/>
  <c r="O211" i="66"/>
  <c r="N211" i="66"/>
  <c r="Y210" i="66"/>
  <c r="X210" i="66"/>
  <c r="W210" i="66"/>
  <c r="V210" i="66"/>
  <c r="U210" i="66"/>
  <c r="T210" i="66"/>
  <c r="S210" i="66"/>
  <c r="R210" i="66"/>
  <c r="Q210" i="66"/>
  <c r="P210" i="66"/>
  <c r="O210" i="66"/>
  <c r="N210" i="66"/>
  <c r="Y209" i="66"/>
  <c r="X209" i="66"/>
  <c r="W209" i="66"/>
  <c r="V209" i="66"/>
  <c r="U209" i="66"/>
  <c r="T209" i="66"/>
  <c r="S209" i="66"/>
  <c r="R209" i="66"/>
  <c r="Q209" i="66"/>
  <c r="P209" i="66"/>
  <c r="O209" i="66"/>
  <c r="N209" i="66"/>
  <c r="Y208" i="66"/>
  <c r="X208" i="66"/>
  <c r="W208" i="66"/>
  <c r="V208" i="66"/>
  <c r="U208" i="66"/>
  <c r="T208" i="66"/>
  <c r="S208" i="66"/>
  <c r="R208" i="66"/>
  <c r="Q208" i="66"/>
  <c r="P208" i="66"/>
  <c r="O208" i="66"/>
  <c r="N208" i="66"/>
  <c r="Y207" i="66"/>
  <c r="X207" i="66"/>
  <c r="W207" i="66"/>
  <c r="V207" i="66"/>
  <c r="U207" i="66"/>
  <c r="T207" i="66"/>
  <c r="S207" i="66"/>
  <c r="R207" i="66"/>
  <c r="Q207" i="66"/>
  <c r="P207" i="66"/>
  <c r="O207" i="66"/>
  <c r="N207" i="66"/>
  <c r="Y206" i="66"/>
  <c r="X206" i="66"/>
  <c r="W206" i="66"/>
  <c r="V206" i="66"/>
  <c r="U206" i="66"/>
  <c r="T206" i="66"/>
  <c r="S206" i="66"/>
  <c r="R206" i="66"/>
  <c r="Q206" i="66"/>
  <c r="P206" i="66"/>
  <c r="O206" i="66"/>
  <c r="N206" i="66"/>
  <c r="Y205" i="66"/>
  <c r="X205" i="66"/>
  <c r="W205" i="66"/>
  <c r="V205" i="66"/>
  <c r="U205" i="66"/>
  <c r="T205" i="66"/>
  <c r="S205" i="66"/>
  <c r="R205" i="66"/>
  <c r="Q205" i="66"/>
  <c r="P205" i="66"/>
  <c r="O205" i="66"/>
  <c r="N205" i="66"/>
  <c r="Y204" i="66"/>
  <c r="X204" i="66"/>
  <c r="W204" i="66"/>
  <c r="V204" i="66"/>
  <c r="U204" i="66"/>
  <c r="T204" i="66"/>
  <c r="S204" i="66"/>
  <c r="R204" i="66"/>
  <c r="Q204" i="66"/>
  <c r="P204" i="66"/>
  <c r="O204" i="66"/>
  <c r="N204" i="66"/>
  <c r="Y203" i="66"/>
  <c r="X203" i="66"/>
  <c r="W203" i="66"/>
  <c r="V203" i="66"/>
  <c r="U203" i="66"/>
  <c r="T203" i="66"/>
  <c r="S203" i="66"/>
  <c r="R203" i="66"/>
  <c r="Q203" i="66"/>
  <c r="P203" i="66"/>
  <c r="O203" i="66"/>
  <c r="N203" i="66"/>
  <c r="Y202" i="66"/>
  <c r="X202" i="66"/>
  <c r="W202" i="66"/>
  <c r="V202" i="66"/>
  <c r="U202" i="66"/>
  <c r="T202" i="66"/>
  <c r="S202" i="66"/>
  <c r="R202" i="66"/>
  <c r="Q202" i="66"/>
  <c r="P202" i="66"/>
  <c r="O202" i="66"/>
  <c r="N202" i="66"/>
  <c r="Y201" i="66"/>
  <c r="X201" i="66"/>
  <c r="W201" i="66"/>
  <c r="V201" i="66"/>
  <c r="U201" i="66"/>
  <c r="T201" i="66"/>
  <c r="S201" i="66"/>
  <c r="R201" i="66"/>
  <c r="Q201" i="66"/>
  <c r="P201" i="66"/>
  <c r="O201" i="66"/>
  <c r="N201" i="66"/>
  <c r="Y199" i="66"/>
  <c r="X199" i="66"/>
  <c r="W199" i="66"/>
  <c r="V199" i="66"/>
  <c r="U199" i="66"/>
  <c r="T199" i="66"/>
  <c r="S199" i="66"/>
  <c r="R199" i="66"/>
  <c r="Q199" i="66"/>
  <c r="P199" i="66"/>
  <c r="O199" i="66"/>
  <c r="N199" i="66"/>
  <c r="Y198" i="66"/>
  <c r="X198" i="66"/>
  <c r="W198" i="66"/>
  <c r="V198" i="66"/>
  <c r="U198" i="66"/>
  <c r="T198" i="66"/>
  <c r="S198" i="66"/>
  <c r="R198" i="66"/>
  <c r="Q198" i="66"/>
  <c r="P198" i="66"/>
  <c r="O198" i="66"/>
  <c r="N198" i="66"/>
  <c r="Y196" i="66"/>
  <c r="X196" i="66"/>
  <c r="W196" i="66"/>
  <c r="V196" i="66"/>
  <c r="U196" i="66"/>
  <c r="T196" i="66"/>
  <c r="S196" i="66"/>
  <c r="R196" i="66"/>
  <c r="Q196" i="66"/>
  <c r="P196" i="66"/>
  <c r="O196" i="66"/>
  <c r="N196" i="66"/>
  <c r="Y195" i="66"/>
  <c r="X195" i="66"/>
  <c r="W195" i="66"/>
  <c r="V195" i="66"/>
  <c r="U195" i="66"/>
  <c r="T195" i="66"/>
  <c r="S195" i="66"/>
  <c r="R195" i="66"/>
  <c r="Q195" i="66"/>
  <c r="P195" i="66"/>
  <c r="O195" i="66"/>
  <c r="N195" i="66"/>
  <c r="Y194" i="66"/>
  <c r="X194" i="66"/>
  <c r="W194" i="66"/>
  <c r="V194" i="66"/>
  <c r="U194" i="66"/>
  <c r="T194" i="66"/>
  <c r="S194" i="66"/>
  <c r="R194" i="66"/>
  <c r="Q194" i="66"/>
  <c r="P194" i="66"/>
  <c r="O194" i="66"/>
  <c r="N194" i="66"/>
  <c r="Y193" i="66"/>
  <c r="X193" i="66"/>
  <c r="W193" i="66"/>
  <c r="V193" i="66"/>
  <c r="U193" i="66"/>
  <c r="T193" i="66"/>
  <c r="S193" i="66"/>
  <c r="R193" i="66"/>
  <c r="Q193" i="66"/>
  <c r="P193" i="66"/>
  <c r="O193" i="66"/>
  <c r="N193" i="66"/>
  <c r="Y192" i="66"/>
  <c r="X192" i="66"/>
  <c r="W192" i="66"/>
  <c r="V192" i="66"/>
  <c r="U192" i="66"/>
  <c r="T192" i="66"/>
  <c r="S192" i="66"/>
  <c r="R192" i="66"/>
  <c r="Q192" i="66"/>
  <c r="P192" i="66"/>
  <c r="O192" i="66"/>
  <c r="N192" i="66"/>
  <c r="Y191" i="66"/>
  <c r="X191" i="66"/>
  <c r="W191" i="66"/>
  <c r="V191" i="66"/>
  <c r="U191" i="66"/>
  <c r="T191" i="66"/>
  <c r="S191" i="66"/>
  <c r="R191" i="66"/>
  <c r="Q191" i="66"/>
  <c r="P191" i="66"/>
  <c r="O191" i="66"/>
  <c r="N191" i="66"/>
  <c r="Y190" i="66"/>
  <c r="X190" i="66"/>
  <c r="W190" i="66"/>
  <c r="V190" i="66"/>
  <c r="U190" i="66"/>
  <c r="T190" i="66"/>
  <c r="S190" i="66"/>
  <c r="R190" i="66"/>
  <c r="Q190" i="66"/>
  <c r="P190" i="66"/>
  <c r="O190" i="66"/>
  <c r="N190" i="66"/>
  <c r="Y189" i="66"/>
  <c r="X189" i="66"/>
  <c r="W189" i="66"/>
  <c r="V189" i="66"/>
  <c r="U189" i="66"/>
  <c r="T189" i="66"/>
  <c r="S189" i="66"/>
  <c r="R189" i="66"/>
  <c r="Q189" i="66"/>
  <c r="P189" i="66"/>
  <c r="O189" i="66"/>
  <c r="N189" i="66"/>
  <c r="Y188" i="66"/>
  <c r="X188" i="66"/>
  <c r="W188" i="66"/>
  <c r="V188" i="66"/>
  <c r="U188" i="66"/>
  <c r="T188" i="66"/>
  <c r="S188" i="66"/>
  <c r="R188" i="66"/>
  <c r="Q188" i="66"/>
  <c r="P188" i="66"/>
  <c r="O188" i="66"/>
  <c r="N188" i="66"/>
  <c r="Y187" i="66"/>
  <c r="X187" i="66"/>
  <c r="W187" i="66"/>
  <c r="V187" i="66"/>
  <c r="U187" i="66"/>
  <c r="T187" i="66"/>
  <c r="S187" i="66"/>
  <c r="R187" i="66"/>
  <c r="Q187" i="66"/>
  <c r="P187" i="66"/>
  <c r="O187" i="66"/>
  <c r="N187" i="66"/>
  <c r="Y185" i="66"/>
  <c r="X185" i="66"/>
  <c r="W185" i="66"/>
  <c r="V185" i="66"/>
  <c r="U185" i="66"/>
  <c r="T185" i="66"/>
  <c r="S185" i="66"/>
  <c r="R185" i="66"/>
  <c r="Q185" i="66"/>
  <c r="P185" i="66"/>
  <c r="O185" i="66"/>
  <c r="N185" i="66"/>
  <c r="Y184" i="66"/>
  <c r="X184" i="66"/>
  <c r="W184" i="66"/>
  <c r="V184" i="66"/>
  <c r="U184" i="66"/>
  <c r="T184" i="66"/>
  <c r="S184" i="66"/>
  <c r="R184" i="66"/>
  <c r="Q184" i="66"/>
  <c r="P184" i="66"/>
  <c r="O184" i="66"/>
  <c r="N184" i="66"/>
  <c r="Y183" i="66"/>
  <c r="X183" i="66"/>
  <c r="W183" i="66"/>
  <c r="V183" i="66"/>
  <c r="U183" i="66"/>
  <c r="T183" i="66"/>
  <c r="S183" i="66"/>
  <c r="R183" i="66"/>
  <c r="Q183" i="66"/>
  <c r="P183" i="66"/>
  <c r="O183" i="66"/>
  <c r="N183" i="66"/>
  <c r="Y182" i="66"/>
  <c r="X182" i="66"/>
  <c r="W182" i="66"/>
  <c r="V182" i="66"/>
  <c r="U182" i="66"/>
  <c r="T182" i="66"/>
  <c r="S182" i="66"/>
  <c r="R182" i="66"/>
  <c r="Q182" i="66"/>
  <c r="P182" i="66"/>
  <c r="O182" i="66"/>
  <c r="N182" i="66"/>
  <c r="Y181" i="66"/>
  <c r="X181" i="66"/>
  <c r="W181" i="66"/>
  <c r="V181" i="66"/>
  <c r="U181" i="66"/>
  <c r="T181" i="66"/>
  <c r="S181" i="66"/>
  <c r="R181" i="66"/>
  <c r="Q181" i="66"/>
  <c r="P181" i="66"/>
  <c r="O181" i="66"/>
  <c r="N181" i="66"/>
  <c r="Y180" i="66"/>
  <c r="X180" i="66"/>
  <c r="W180" i="66"/>
  <c r="V180" i="66"/>
  <c r="U180" i="66"/>
  <c r="T180" i="66"/>
  <c r="S180" i="66"/>
  <c r="R180" i="66"/>
  <c r="Q180" i="66"/>
  <c r="P180" i="66"/>
  <c r="O180" i="66"/>
  <c r="N180" i="66"/>
  <c r="Y179" i="66"/>
  <c r="X179" i="66"/>
  <c r="W179" i="66"/>
  <c r="V179" i="66"/>
  <c r="U179" i="66"/>
  <c r="T179" i="66"/>
  <c r="S179" i="66"/>
  <c r="R179" i="66"/>
  <c r="Q179" i="66"/>
  <c r="P179" i="66"/>
  <c r="O179" i="66"/>
  <c r="N179" i="66"/>
  <c r="Y178" i="66"/>
  <c r="X178" i="66"/>
  <c r="W178" i="66"/>
  <c r="V178" i="66"/>
  <c r="U178" i="66"/>
  <c r="T178" i="66"/>
  <c r="S178" i="66"/>
  <c r="R178" i="66"/>
  <c r="Q178" i="66"/>
  <c r="P178" i="66"/>
  <c r="O178" i="66"/>
  <c r="N178" i="66"/>
  <c r="Y177" i="66"/>
  <c r="X177" i="66"/>
  <c r="W177" i="66"/>
  <c r="V177" i="66"/>
  <c r="U177" i="66"/>
  <c r="T177" i="66"/>
  <c r="S177" i="66"/>
  <c r="R177" i="66"/>
  <c r="Q177" i="66"/>
  <c r="P177" i="66"/>
  <c r="O177" i="66"/>
  <c r="N177" i="66"/>
  <c r="Y176" i="66"/>
  <c r="X176" i="66"/>
  <c r="W176" i="66"/>
  <c r="V176" i="66"/>
  <c r="U176" i="66"/>
  <c r="T176" i="66"/>
  <c r="S176" i="66"/>
  <c r="R176" i="66"/>
  <c r="Q176" i="66"/>
  <c r="P176" i="66"/>
  <c r="O176" i="66"/>
  <c r="N176" i="66"/>
  <c r="Y174" i="66"/>
  <c r="X174" i="66"/>
  <c r="W174" i="66"/>
  <c r="V174" i="66"/>
  <c r="U174" i="66"/>
  <c r="T174" i="66"/>
  <c r="S174" i="66"/>
  <c r="R174" i="66"/>
  <c r="Q174" i="66"/>
  <c r="P174" i="66"/>
  <c r="O174" i="66"/>
  <c r="N174" i="66"/>
  <c r="Y173" i="66"/>
  <c r="X173" i="66"/>
  <c r="W173" i="66"/>
  <c r="V173" i="66"/>
  <c r="U173" i="66"/>
  <c r="T173" i="66"/>
  <c r="S173" i="66"/>
  <c r="R173" i="66"/>
  <c r="Q173" i="66"/>
  <c r="P173" i="66"/>
  <c r="O173" i="66"/>
  <c r="N173" i="66"/>
  <c r="Y172" i="66"/>
  <c r="X172" i="66"/>
  <c r="W172" i="66"/>
  <c r="V172" i="66"/>
  <c r="U172" i="66"/>
  <c r="T172" i="66"/>
  <c r="S172" i="66"/>
  <c r="R172" i="66"/>
  <c r="Q172" i="66"/>
  <c r="P172" i="66"/>
  <c r="O172" i="66"/>
  <c r="N172" i="66"/>
  <c r="Y171" i="66"/>
  <c r="X171" i="66"/>
  <c r="W171" i="66"/>
  <c r="V171" i="66"/>
  <c r="U171" i="66"/>
  <c r="T171" i="66"/>
  <c r="S171" i="66"/>
  <c r="R171" i="66"/>
  <c r="Q171" i="66"/>
  <c r="P171" i="66"/>
  <c r="O171" i="66"/>
  <c r="N171" i="66"/>
  <c r="Y170" i="66"/>
  <c r="X170" i="66"/>
  <c r="W170" i="66"/>
  <c r="V170" i="66"/>
  <c r="U170" i="66"/>
  <c r="T170" i="66"/>
  <c r="S170" i="66"/>
  <c r="R170" i="66"/>
  <c r="Q170" i="66"/>
  <c r="P170" i="66"/>
  <c r="O170" i="66"/>
  <c r="N170" i="66"/>
  <c r="Y169" i="66"/>
  <c r="X169" i="66"/>
  <c r="W169" i="66"/>
  <c r="V169" i="66"/>
  <c r="U169" i="66"/>
  <c r="T169" i="66"/>
  <c r="S169" i="66"/>
  <c r="R169" i="66"/>
  <c r="Q169" i="66"/>
  <c r="P169" i="66"/>
  <c r="O169" i="66"/>
  <c r="N169" i="66"/>
  <c r="Y168" i="66"/>
  <c r="X168" i="66"/>
  <c r="W168" i="66"/>
  <c r="V168" i="66"/>
  <c r="U168" i="66"/>
  <c r="T168" i="66"/>
  <c r="S168" i="66"/>
  <c r="R168" i="66"/>
  <c r="Q168" i="66"/>
  <c r="P168" i="66"/>
  <c r="O168" i="66"/>
  <c r="N168" i="66"/>
  <c r="Y167" i="66"/>
  <c r="X167" i="66"/>
  <c r="W167" i="66"/>
  <c r="V167" i="66"/>
  <c r="U167" i="66"/>
  <c r="T167" i="66"/>
  <c r="S167" i="66"/>
  <c r="R167" i="66"/>
  <c r="Q167" i="66"/>
  <c r="P167" i="66"/>
  <c r="O167" i="66"/>
  <c r="N167" i="66"/>
  <c r="Y166" i="66"/>
  <c r="X166" i="66"/>
  <c r="W166" i="66"/>
  <c r="V166" i="66"/>
  <c r="U166" i="66"/>
  <c r="T166" i="66"/>
  <c r="S166" i="66"/>
  <c r="R166" i="66"/>
  <c r="Q166" i="66"/>
  <c r="P166" i="66"/>
  <c r="O166" i="66"/>
  <c r="N166" i="66"/>
  <c r="Y165" i="66"/>
  <c r="X165" i="66"/>
  <c r="W165" i="66"/>
  <c r="V165" i="66"/>
  <c r="U165" i="66"/>
  <c r="T165" i="66"/>
  <c r="S165" i="66"/>
  <c r="R165" i="66"/>
  <c r="Q165" i="66"/>
  <c r="P165" i="66"/>
  <c r="O165" i="66"/>
  <c r="N165" i="66"/>
  <c r="Y163" i="66"/>
  <c r="X163" i="66"/>
  <c r="W163" i="66"/>
  <c r="V163" i="66"/>
  <c r="U163" i="66"/>
  <c r="T163" i="66"/>
  <c r="S163" i="66"/>
  <c r="R163" i="66"/>
  <c r="Q163" i="66"/>
  <c r="P163" i="66"/>
  <c r="O163" i="66"/>
  <c r="N163" i="66"/>
  <c r="Y161" i="66"/>
  <c r="W161" i="66"/>
  <c r="T161" i="66"/>
  <c r="S161" i="66"/>
  <c r="R161" i="66"/>
  <c r="Q161" i="66"/>
  <c r="P161" i="66"/>
  <c r="O161" i="66"/>
  <c r="N161" i="66"/>
  <c r="Y160" i="66"/>
  <c r="X160" i="66"/>
  <c r="W160" i="66"/>
  <c r="V160" i="66"/>
  <c r="U160" i="66"/>
  <c r="T160" i="66"/>
  <c r="S160" i="66"/>
  <c r="R160" i="66"/>
  <c r="Q160" i="66"/>
  <c r="P160" i="66"/>
  <c r="O160" i="66"/>
  <c r="N160" i="66"/>
  <c r="Y159" i="66"/>
  <c r="X159" i="66"/>
  <c r="W159" i="66"/>
  <c r="V159" i="66"/>
  <c r="U159" i="66"/>
  <c r="T159" i="66"/>
  <c r="S159" i="66"/>
  <c r="R159" i="66"/>
  <c r="Q159" i="66"/>
  <c r="P159" i="66"/>
  <c r="O159" i="66"/>
  <c r="N159" i="66"/>
  <c r="Y158" i="66"/>
  <c r="W158" i="66"/>
  <c r="T158" i="66"/>
  <c r="S158" i="66"/>
  <c r="R158" i="66"/>
  <c r="Q158" i="66"/>
  <c r="P158" i="66"/>
  <c r="O158" i="66"/>
  <c r="N158" i="66"/>
  <c r="X156" i="66"/>
  <c r="W156" i="66"/>
  <c r="V156" i="66"/>
  <c r="U156" i="66"/>
  <c r="R156" i="66"/>
  <c r="Q156" i="66"/>
  <c r="O156" i="66"/>
  <c r="Y155" i="66"/>
  <c r="X155" i="66"/>
  <c r="W155" i="66"/>
  <c r="V155" i="66"/>
  <c r="U155" i="66"/>
  <c r="T155" i="66"/>
  <c r="S155" i="66"/>
  <c r="R155" i="66"/>
  <c r="Q155" i="66"/>
  <c r="P155" i="66"/>
  <c r="O155" i="66"/>
  <c r="N155" i="66"/>
  <c r="Y154" i="66"/>
  <c r="X154" i="66"/>
  <c r="W154" i="66"/>
  <c r="V154" i="66"/>
  <c r="U154" i="66"/>
  <c r="T154" i="66"/>
  <c r="S154" i="66"/>
  <c r="R154" i="66"/>
  <c r="Q154" i="66"/>
  <c r="P154" i="66"/>
  <c r="O154" i="66"/>
  <c r="N154" i="66"/>
  <c r="Y153" i="66"/>
  <c r="X153" i="66"/>
  <c r="W153" i="66"/>
  <c r="V153" i="66"/>
  <c r="U153" i="66"/>
  <c r="T153" i="66"/>
  <c r="S153" i="66"/>
  <c r="O153" i="66"/>
  <c r="Y152" i="66"/>
  <c r="X152" i="66"/>
  <c r="W152" i="66"/>
  <c r="V152" i="66"/>
  <c r="U152" i="66"/>
  <c r="T152" i="66"/>
  <c r="S152" i="66"/>
  <c r="R152" i="66"/>
  <c r="Q152" i="66"/>
  <c r="P152" i="66"/>
  <c r="O152" i="66"/>
  <c r="N152" i="66"/>
  <c r="Y151" i="66"/>
  <c r="X151" i="66"/>
  <c r="W151" i="66"/>
  <c r="V151" i="66"/>
  <c r="U151" i="66"/>
  <c r="T151" i="66"/>
  <c r="S151" i="66"/>
  <c r="R151" i="66"/>
  <c r="Q151" i="66"/>
  <c r="P151" i="66"/>
  <c r="O151" i="66"/>
  <c r="N151" i="66"/>
  <c r="X150" i="66"/>
  <c r="W150" i="66"/>
  <c r="U150" i="66"/>
  <c r="R150" i="66"/>
  <c r="Q150" i="66"/>
  <c r="P150" i="66"/>
  <c r="O150" i="66"/>
  <c r="N150" i="66"/>
  <c r="Y148" i="66"/>
  <c r="X148" i="66"/>
  <c r="W148" i="66"/>
  <c r="V148" i="66"/>
  <c r="U148" i="66"/>
  <c r="T148" i="66"/>
  <c r="S148" i="66"/>
  <c r="R148" i="66"/>
  <c r="Q148" i="66"/>
  <c r="P148" i="66"/>
  <c r="O148" i="66"/>
  <c r="N148" i="66"/>
  <c r="Y145" i="66"/>
  <c r="X145" i="66"/>
  <c r="W145" i="66"/>
  <c r="V145" i="66"/>
  <c r="U145" i="66"/>
  <c r="T145" i="66"/>
  <c r="S145" i="66"/>
  <c r="R145" i="66"/>
  <c r="Q145" i="66"/>
  <c r="P145" i="66"/>
  <c r="O145" i="66"/>
  <c r="N145" i="66"/>
  <c r="Y144" i="66"/>
  <c r="X144" i="66"/>
  <c r="W144" i="66"/>
  <c r="V144" i="66"/>
  <c r="U144" i="66"/>
  <c r="T144" i="66"/>
  <c r="S144" i="66"/>
  <c r="R144" i="66"/>
  <c r="Q144" i="66"/>
  <c r="P144" i="66"/>
  <c r="O144" i="66"/>
  <c r="N144" i="66"/>
  <c r="Y143" i="66"/>
  <c r="X143" i="66"/>
  <c r="W143" i="66"/>
  <c r="V143" i="66"/>
  <c r="U143" i="66"/>
  <c r="T143" i="66"/>
  <c r="S143" i="66"/>
  <c r="R143" i="66"/>
  <c r="Q143" i="66"/>
  <c r="P143" i="66"/>
  <c r="O143" i="66"/>
  <c r="N143" i="66"/>
  <c r="Y142" i="66"/>
  <c r="X142" i="66"/>
  <c r="W142" i="66"/>
  <c r="V142" i="66"/>
  <c r="U142" i="66"/>
  <c r="T142" i="66"/>
  <c r="S142" i="66"/>
  <c r="R142" i="66"/>
  <c r="Q142" i="66"/>
  <c r="P142" i="66"/>
  <c r="O142" i="66"/>
  <c r="N142" i="66"/>
  <c r="Y141" i="66"/>
  <c r="X141" i="66"/>
  <c r="W141" i="66"/>
  <c r="V141" i="66"/>
  <c r="U141" i="66"/>
  <c r="T141" i="66"/>
  <c r="S141" i="66"/>
  <c r="R141" i="66"/>
  <c r="Q141" i="66"/>
  <c r="P141" i="66"/>
  <c r="O141" i="66"/>
  <c r="N141" i="66"/>
  <c r="Y140" i="66"/>
  <c r="X140" i="66"/>
  <c r="W140" i="66"/>
  <c r="V140" i="66"/>
  <c r="U140" i="66"/>
  <c r="T140" i="66"/>
  <c r="S140" i="66"/>
  <c r="R140" i="66"/>
  <c r="Q140" i="66"/>
  <c r="P140" i="66"/>
  <c r="O140" i="66"/>
  <c r="N140" i="66"/>
  <c r="Y139" i="66"/>
  <c r="X139" i="66"/>
  <c r="W139" i="66"/>
  <c r="V139" i="66"/>
  <c r="U139" i="66"/>
  <c r="T139" i="66"/>
  <c r="S139" i="66"/>
  <c r="R139" i="66"/>
  <c r="Q139" i="66"/>
  <c r="P139" i="66"/>
  <c r="O139" i="66"/>
  <c r="N139" i="66"/>
  <c r="X138" i="66"/>
  <c r="Y137" i="66"/>
  <c r="X137" i="66"/>
  <c r="W137" i="66"/>
  <c r="V137" i="66"/>
  <c r="U137" i="66"/>
  <c r="T137" i="66"/>
  <c r="S137" i="66"/>
  <c r="R137" i="66"/>
  <c r="Q137" i="66"/>
  <c r="P137" i="66"/>
  <c r="O137" i="66"/>
  <c r="N137" i="66"/>
  <c r="Y136" i="66"/>
  <c r="X136" i="66"/>
  <c r="W136" i="66"/>
  <c r="V136" i="66"/>
  <c r="U136" i="66"/>
  <c r="T136" i="66"/>
  <c r="S136" i="66"/>
  <c r="R136" i="66"/>
  <c r="Q136" i="66"/>
  <c r="P136" i="66"/>
  <c r="O136" i="66"/>
  <c r="N136" i="66"/>
  <c r="Y134" i="66"/>
  <c r="X134" i="66"/>
  <c r="W134" i="66"/>
  <c r="V134" i="66"/>
  <c r="U134" i="66"/>
  <c r="T134" i="66"/>
  <c r="S134" i="66"/>
  <c r="R134" i="66"/>
  <c r="Q134" i="66"/>
  <c r="P134" i="66"/>
  <c r="O134" i="66"/>
  <c r="N134" i="66"/>
  <c r="Y133" i="66"/>
  <c r="X133" i="66"/>
  <c r="W133" i="66"/>
  <c r="V133" i="66"/>
  <c r="U133" i="66"/>
  <c r="T133" i="66"/>
  <c r="S133" i="66"/>
  <c r="R133" i="66"/>
  <c r="Q133" i="66"/>
  <c r="P133" i="66"/>
  <c r="O133" i="66"/>
  <c r="N133" i="66"/>
  <c r="Y132" i="66"/>
  <c r="X132" i="66"/>
  <c r="W132" i="66"/>
  <c r="V132" i="66"/>
  <c r="U132" i="66"/>
  <c r="T132" i="66"/>
  <c r="S132" i="66"/>
  <c r="R132" i="66"/>
  <c r="Q132" i="66"/>
  <c r="P132" i="66"/>
  <c r="O132" i="66"/>
  <c r="N132" i="66"/>
  <c r="Y131" i="66"/>
  <c r="X131" i="66"/>
  <c r="W131" i="66"/>
  <c r="V131" i="66"/>
  <c r="U131" i="66"/>
  <c r="T131" i="66"/>
  <c r="S131" i="66"/>
  <c r="R131" i="66"/>
  <c r="Q131" i="66"/>
  <c r="P131" i="66"/>
  <c r="O131" i="66"/>
  <c r="N131" i="66"/>
  <c r="Y130" i="66"/>
  <c r="X130" i="66"/>
  <c r="W130" i="66"/>
  <c r="V130" i="66"/>
  <c r="U130" i="66"/>
  <c r="T130" i="66"/>
  <c r="S130" i="66"/>
  <c r="R130" i="66"/>
  <c r="Q130" i="66"/>
  <c r="P130" i="66"/>
  <c r="O130" i="66"/>
  <c r="N130" i="66"/>
  <c r="Y129" i="66"/>
  <c r="X129" i="66"/>
  <c r="W129" i="66"/>
  <c r="V129" i="66"/>
  <c r="U129" i="66"/>
  <c r="T129" i="66"/>
  <c r="S129" i="66"/>
  <c r="R129" i="66"/>
  <c r="Q129" i="66"/>
  <c r="P129" i="66"/>
  <c r="O129" i="66"/>
  <c r="N129" i="66"/>
  <c r="Y128" i="66"/>
  <c r="X128" i="66"/>
  <c r="W128" i="66"/>
  <c r="V128" i="66"/>
  <c r="U128" i="66"/>
  <c r="T128" i="66"/>
  <c r="S128" i="66"/>
  <c r="R128" i="66"/>
  <c r="Q128" i="66"/>
  <c r="P128" i="66"/>
  <c r="O128" i="66"/>
  <c r="N128" i="66"/>
  <c r="Y127" i="66"/>
  <c r="X127" i="66"/>
  <c r="W127" i="66"/>
  <c r="V127" i="66"/>
  <c r="U127" i="66"/>
  <c r="T127" i="66"/>
  <c r="S127" i="66"/>
  <c r="R127" i="66"/>
  <c r="Q127" i="66"/>
  <c r="P127" i="66"/>
  <c r="O127" i="66"/>
  <c r="N127" i="66"/>
  <c r="Y126" i="66"/>
  <c r="X126" i="66"/>
  <c r="W126" i="66"/>
  <c r="V126" i="66"/>
  <c r="U126" i="66"/>
  <c r="T126" i="66"/>
  <c r="S126" i="66"/>
  <c r="R126" i="66"/>
  <c r="Q126" i="66"/>
  <c r="P126" i="66"/>
  <c r="O126" i="66"/>
  <c r="N126" i="66"/>
  <c r="Y125" i="66"/>
  <c r="X125" i="66"/>
  <c r="W125" i="66"/>
  <c r="V125" i="66"/>
  <c r="U125" i="66"/>
  <c r="T125" i="66"/>
  <c r="S125" i="66"/>
  <c r="R125" i="66"/>
  <c r="Q125" i="66"/>
  <c r="P125" i="66"/>
  <c r="O125" i="66"/>
  <c r="N125" i="66"/>
  <c r="Y124" i="66"/>
  <c r="X124" i="66"/>
  <c r="W124" i="66"/>
  <c r="V124" i="66"/>
  <c r="U124" i="66"/>
  <c r="T124" i="66"/>
  <c r="S124" i="66"/>
  <c r="R124" i="66"/>
  <c r="Q124" i="66"/>
  <c r="P124" i="66"/>
  <c r="O124" i="66"/>
  <c r="N124" i="66"/>
  <c r="Y123" i="66"/>
  <c r="X123" i="66"/>
  <c r="W123" i="66"/>
  <c r="V123" i="66"/>
  <c r="U123" i="66"/>
  <c r="T123" i="66"/>
  <c r="S123" i="66"/>
  <c r="R123" i="66"/>
  <c r="Q123" i="66"/>
  <c r="P123" i="66"/>
  <c r="O123" i="66"/>
  <c r="N123" i="66"/>
  <c r="Y122" i="66"/>
  <c r="X122" i="66"/>
  <c r="W122" i="66"/>
  <c r="V122" i="66"/>
  <c r="U122" i="66"/>
  <c r="T122" i="66"/>
  <c r="S122" i="66"/>
  <c r="R122" i="66"/>
  <c r="Q122" i="66"/>
  <c r="P122" i="66"/>
  <c r="O122" i="66"/>
  <c r="N122" i="66"/>
  <c r="Y121" i="66"/>
  <c r="X121" i="66"/>
  <c r="W121" i="66"/>
  <c r="V121" i="66"/>
  <c r="U121" i="66"/>
  <c r="T121" i="66"/>
  <c r="S121" i="66"/>
  <c r="R121" i="66"/>
  <c r="Q121" i="66"/>
  <c r="P121" i="66"/>
  <c r="O121" i="66"/>
  <c r="N121" i="66"/>
  <c r="Y119" i="66"/>
  <c r="X119" i="66"/>
  <c r="W119" i="66"/>
  <c r="V119" i="66"/>
  <c r="U119" i="66"/>
  <c r="T119" i="66"/>
  <c r="S119" i="66"/>
  <c r="R119" i="66"/>
  <c r="Q119" i="66"/>
  <c r="P119" i="66"/>
  <c r="O119" i="66"/>
  <c r="N119" i="66"/>
  <c r="Y118" i="66"/>
  <c r="X118" i="66"/>
  <c r="W118" i="66"/>
  <c r="V118" i="66"/>
  <c r="U118" i="66"/>
  <c r="T118" i="66"/>
  <c r="S118" i="66"/>
  <c r="R118" i="66"/>
  <c r="Q118" i="66"/>
  <c r="P118" i="66"/>
  <c r="O118" i="66"/>
  <c r="N118" i="66"/>
  <c r="Y116" i="66"/>
  <c r="X116" i="66"/>
  <c r="W116" i="66"/>
  <c r="V116" i="66"/>
  <c r="U116" i="66"/>
  <c r="T116" i="66"/>
  <c r="S116" i="66"/>
  <c r="R116" i="66"/>
  <c r="Q116" i="66"/>
  <c r="P116" i="66"/>
  <c r="O116" i="66"/>
  <c r="N116" i="66"/>
  <c r="Y115" i="66"/>
  <c r="X115" i="66"/>
  <c r="W115" i="66"/>
  <c r="V115" i="66"/>
  <c r="U115" i="66"/>
  <c r="T115" i="66"/>
  <c r="S115" i="66"/>
  <c r="R115" i="66"/>
  <c r="Q115" i="66"/>
  <c r="P115" i="66"/>
  <c r="O115" i="66"/>
  <c r="N115" i="66"/>
  <c r="V114" i="66"/>
  <c r="R114" i="66"/>
  <c r="P113" i="66"/>
  <c r="Y112" i="66"/>
  <c r="X112" i="66"/>
  <c r="W112" i="66"/>
  <c r="V112" i="66"/>
  <c r="U112" i="66"/>
  <c r="T112" i="66"/>
  <c r="S112" i="66"/>
  <c r="R112" i="66"/>
  <c r="Q112" i="66"/>
  <c r="P112" i="66"/>
  <c r="O112" i="66"/>
  <c r="N112" i="66"/>
  <c r="Y111" i="66"/>
  <c r="X111" i="66"/>
  <c r="W111" i="66"/>
  <c r="V111" i="66"/>
  <c r="U111" i="66"/>
  <c r="T111" i="66"/>
  <c r="S111" i="66"/>
  <c r="R111" i="66"/>
  <c r="Q111" i="66"/>
  <c r="P111" i="66"/>
  <c r="O111" i="66"/>
  <c r="N111" i="66"/>
  <c r="Y110" i="66"/>
  <c r="X110" i="66"/>
  <c r="W110" i="66"/>
  <c r="V110" i="66"/>
  <c r="U110" i="66"/>
  <c r="T110" i="66"/>
  <c r="S110" i="66"/>
  <c r="R110" i="66"/>
  <c r="Q110" i="66"/>
  <c r="P110" i="66"/>
  <c r="O110" i="66"/>
  <c r="N110" i="66"/>
  <c r="Y109" i="66"/>
  <c r="X109" i="66"/>
  <c r="W109" i="66"/>
  <c r="V109" i="66"/>
  <c r="U109" i="66"/>
  <c r="T109" i="66"/>
  <c r="S109" i="66"/>
  <c r="R109" i="66"/>
  <c r="Q109" i="66"/>
  <c r="P109" i="66"/>
  <c r="O109" i="66"/>
  <c r="N109" i="66"/>
  <c r="Y108" i="66"/>
  <c r="X108" i="66"/>
  <c r="W108" i="66"/>
  <c r="V108" i="66"/>
  <c r="U108" i="66"/>
  <c r="T108" i="66"/>
  <c r="S108" i="66"/>
  <c r="R108" i="66"/>
  <c r="Q108" i="66"/>
  <c r="P108" i="66"/>
  <c r="O108" i="66"/>
  <c r="N108" i="66"/>
  <c r="Y107" i="66"/>
  <c r="X107" i="66"/>
  <c r="W107" i="66"/>
  <c r="V107" i="66"/>
  <c r="U107" i="66"/>
  <c r="T107" i="66"/>
  <c r="S107" i="66"/>
  <c r="R107" i="66"/>
  <c r="Q107" i="66"/>
  <c r="P107" i="66"/>
  <c r="O107" i="66"/>
  <c r="N107" i="66"/>
  <c r="Y105" i="66"/>
  <c r="X105" i="66"/>
  <c r="W105" i="66"/>
  <c r="V105" i="66"/>
  <c r="U105" i="66"/>
  <c r="T105" i="66"/>
  <c r="S105" i="66"/>
  <c r="R105" i="66"/>
  <c r="Q105" i="66"/>
  <c r="P105" i="66"/>
  <c r="O105" i="66"/>
  <c r="N105" i="66"/>
  <c r="Y104" i="66"/>
  <c r="X104" i="66"/>
  <c r="W104" i="66"/>
  <c r="V104" i="66"/>
  <c r="U104" i="66"/>
  <c r="T104" i="66"/>
  <c r="S104" i="66"/>
  <c r="R104" i="66"/>
  <c r="Q104" i="66"/>
  <c r="P104" i="66"/>
  <c r="O104" i="66"/>
  <c r="N104" i="66"/>
  <c r="Y103" i="66"/>
  <c r="X103" i="66"/>
  <c r="W103" i="66"/>
  <c r="V103" i="66"/>
  <c r="U103" i="66"/>
  <c r="T103" i="66"/>
  <c r="S103" i="66"/>
  <c r="R103" i="66"/>
  <c r="Q103" i="66"/>
  <c r="P103" i="66"/>
  <c r="O103" i="66"/>
  <c r="N103" i="66"/>
  <c r="Y102" i="66"/>
  <c r="X102" i="66"/>
  <c r="W102" i="66"/>
  <c r="V102" i="66"/>
  <c r="U102" i="66"/>
  <c r="T102" i="66"/>
  <c r="S102" i="66"/>
  <c r="R102" i="66"/>
  <c r="Q102" i="66"/>
  <c r="P102" i="66"/>
  <c r="O102" i="66"/>
  <c r="N102" i="66"/>
  <c r="Y101" i="66"/>
  <c r="X101" i="66"/>
  <c r="W101" i="66"/>
  <c r="V101" i="66"/>
  <c r="U101" i="66"/>
  <c r="T101" i="66"/>
  <c r="S101" i="66"/>
  <c r="R101" i="66"/>
  <c r="Q101" i="66"/>
  <c r="P101" i="66"/>
  <c r="O101" i="66"/>
  <c r="N101" i="66"/>
  <c r="Y100" i="66"/>
  <c r="X100" i="66"/>
  <c r="W100" i="66"/>
  <c r="V100" i="66"/>
  <c r="U100" i="66"/>
  <c r="T100" i="66"/>
  <c r="S100" i="66"/>
  <c r="R100" i="66"/>
  <c r="Q100" i="66"/>
  <c r="P100" i="66"/>
  <c r="O100" i="66"/>
  <c r="N100" i="66"/>
  <c r="Y99" i="66"/>
  <c r="X99" i="66"/>
  <c r="W99" i="66"/>
  <c r="V99" i="66"/>
  <c r="U99" i="66"/>
  <c r="T99" i="66"/>
  <c r="S99" i="66"/>
  <c r="R99" i="66"/>
  <c r="Q99" i="66"/>
  <c r="P99" i="66"/>
  <c r="O99" i="66"/>
  <c r="N99" i="66"/>
  <c r="Y98" i="66"/>
  <c r="X98" i="66"/>
  <c r="W98" i="66"/>
  <c r="V98" i="66"/>
  <c r="U98" i="66"/>
  <c r="T98" i="66"/>
  <c r="S98" i="66"/>
  <c r="R98" i="66"/>
  <c r="Q98" i="66"/>
  <c r="P98" i="66"/>
  <c r="O98" i="66"/>
  <c r="N98" i="66"/>
  <c r="Y97" i="66"/>
  <c r="X97" i="66"/>
  <c r="W97" i="66"/>
  <c r="V97" i="66"/>
  <c r="U97" i="66"/>
  <c r="T97" i="66"/>
  <c r="S97" i="66"/>
  <c r="R97" i="66"/>
  <c r="Q97" i="66"/>
  <c r="P97" i="66"/>
  <c r="O97" i="66"/>
  <c r="N97" i="66"/>
  <c r="Y96" i="66"/>
  <c r="X96" i="66"/>
  <c r="W96" i="66"/>
  <c r="V96" i="66"/>
  <c r="U96" i="66"/>
  <c r="T96" i="66"/>
  <c r="S96" i="66"/>
  <c r="R96" i="66"/>
  <c r="Q96" i="66"/>
  <c r="P96" i="66"/>
  <c r="O96" i="66"/>
  <c r="N96" i="66"/>
  <c r="Y94" i="66"/>
  <c r="X94" i="66"/>
  <c r="W94" i="66"/>
  <c r="V94" i="66"/>
  <c r="U94" i="66"/>
  <c r="T94" i="66"/>
  <c r="S94" i="66"/>
  <c r="R94" i="66"/>
  <c r="Q94" i="66"/>
  <c r="P94" i="66"/>
  <c r="O94" i="66"/>
  <c r="N94" i="66"/>
  <c r="Y93" i="66"/>
  <c r="X93" i="66"/>
  <c r="W93" i="66"/>
  <c r="V93" i="66"/>
  <c r="U93" i="66"/>
  <c r="T93" i="66"/>
  <c r="S93" i="66"/>
  <c r="R93" i="66"/>
  <c r="Q93" i="66"/>
  <c r="P93" i="66"/>
  <c r="O93" i="66"/>
  <c r="N93" i="66"/>
  <c r="Y92" i="66"/>
  <c r="X92" i="66"/>
  <c r="W92" i="66"/>
  <c r="V92" i="66"/>
  <c r="U92" i="66"/>
  <c r="T92" i="66"/>
  <c r="S92" i="66"/>
  <c r="R92" i="66"/>
  <c r="Q92" i="66"/>
  <c r="P92" i="66"/>
  <c r="O92" i="66"/>
  <c r="N92" i="66"/>
  <c r="Y91" i="66"/>
  <c r="X91" i="66"/>
  <c r="W91" i="66"/>
  <c r="V91" i="66"/>
  <c r="U91" i="66"/>
  <c r="T91" i="66"/>
  <c r="S91" i="66"/>
  <c r="R91" i="66"/>
  <c r="Q91" i="66"/>
  <c r="P91" i="66"/>
  <c r="O91" i="66"/>
  <c r="N91" i="66"/>
  <c r="Y90" i="66"/>
  <c r="X90" i="66"/>
  <c r="W90" i="66"/>
  <c r="V90" i="66"/>
  <c r="U90" i="66"/>
  <c r="T90" i="66"/>
  <c r="S90" i="66"/>
  <c r="R90" i="66"/>
  <c r="Q90" i="66"/>
  <c r="P90" i="66"/>
  <c r="O90" i="66"/>
  <c r="N90" i="66"/>
  <c r="Y89" i="66"/>
  <c r="X89" i="66"/>
  <c r="W89" i="66"/>
  <c r="V89" i="66"/>
  <c r="U89" i="66"/>
  <c r="T89" i="66"/>
  <c r="S89" i="66"/>
  <c r="R89" i="66"/>
  <c r="Q89" i="66"/>
  <c r="P89" i="66"/>
  <c r="O89" i="66"/>
  <c r="N89" i="66"/>
  <c r="Y88" i="66"/>
  <c r="X88" i="66"/>
  <c r="W88" i="66"/>
  <c r="V88" i="66"/>
  <c r="U88" i="66"/>
  <c r="T88" i="66"/>
  <c r="S88" i="66"/>
  <c r="R88" i="66"/>
  <c r="Q88" i="66"/>
  <c r="P88" i="66"/>
  <c r="O88" i="66"/>
  <c r="N88" i="66"/>
  <c r="Y87" i="66"/>
  <c r="X87" i="66"/>
  <c r="W87" i="66"/>
  <c r="V87" i="66"/>
  <c r="U87" i="66"/>
  <c r="T87" i="66"/>
  <c r="S87" i="66"/>
  <c r="R87" i="66"/>
  <c r="Q87" i="66"/>
  <c r="P87" i="66"/>
  <c r="O87" i="66"/>
  <c r="N87" i="66"/>
  <c r="Y86" i="66"/>
  <c r="X86" i="66"/>
  <c r="W86" i="66"/>
  <c r="V86" i="66"/>
  <c r="U86" i="66"/>
  <c r="T86" i="66"/>
  <c r="S86" i="66"/>
  <c r="R86" i="66"/>
  <c r="Q86" i="66"/>
  <c r="P86" i="66"/>
  <c r="O86" i="66"/>
  <c r="N86" i="66"/>
  <c r="Y85" i="66"/>
  <c r="X85" i="66"/>
  <c r="W85" i="66"/>
  <c r="V85" i="66"/>
  <c r="U85" i="66"/>
  <c r="T85" i="66"/>
  <c r="S85" i="66"/>
  <c r="R85" i="66"/>
  <c r="Q85" i="66"/>
  <c r="P85" i="66"/>
  <c r="O85" i="66"/>
  <c r="N85" i="66"/>
  <c r="Y83" i="66"/>
  <c r="X83" i="66"/>
  <c r="W83" i="66"/>
  <c r="V83" i="66"/>
  <c r="U83" i="66"/>
  <c r="T83" i="66"/>
  <c r="S83" i="66"/>
  <c r="R83" i="66"/>
  <c r="Q83" i="66"/>
  <c r="P83" i="66"/>
  <c r="O83" i="66"/>
  <c r="N83" i="66"/>
  <c r="Y82" i="66"/>
  <c r="X82" i="66"/>
  <c r="W82" i="66"/>
  <c r="V82" i="66"/>
  <c r="U82" i="66"/>
  <c r="T82" i="66"/>
  <c r="S82" i="66"/>
  <c r="R82" i="66"/>
  <c r="Q82" i="66"/>
  <c r="P82" i="66"/>
  <c r="O82" i="66"/>
  <c r="N82" i="66"/>
  <c r="Y81" i="66"/>
  <c r="X81" i="66"/>
  <c r="W81" i="66"/>
  <c r="V81" i="66"/>
  <c r="U81" i="66"/>
  <c r="T81" i="66"/>
  <c r="S81" i="66"/>
  <c r="R81" i="66"/>
  <c r="Q81" i="66"/>
  <c r="P81" i="66"/>
  <c r="O81" i="66"/>
  <c r="N81" i="66"/>
  <c r="Y80" i="66"/>
  <c r="X80" i="66"/>
  <c r="W80" i="66"/>
  <c r="V80" i="66"/>
  <c r="U80" i="66"/>
  <c r="T80" i="66"/>
  <c r="S80" i="66"/>
  <c r="R80" i="66"/>
  <c r="Q80" i="66"/>
  <c r="P80" i="66"/>
  <c r="O80" i="66"/>
  <c r="N80" i="66"/>
  <c r="Y78" i="66"/>
  <c r="X78" i="66"/>
  <c r="W78" i="66"/>
  <c r="V78" i="66"/>
  <c r="U78" i="66"/>
  <c r="T78" i="66"/>
  <c r="S78" i="66"/>
  <c r="R78" i="66"/>
  <c r="Q78" i="66"/>
  <c r="P78" i="66"/>
  <c r="O78" i="66"/>
  <c r="N78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Y74" i="66"/>
  <c r="X74" i="66"/>
  <c r="W74" i="66"/>
  <c r="V74" i="66"/>
  <c r="U74" i="66"/>
  <c r="T74" i="66"/>
  <c r="S74" i="66"/>
  <c r="R74" i="66"/>
  <c r="Q74" i="66"/>
  <c r="P74" i="66"/>
  <c r="O74" i="66"/>
  <c r="N74" i="66"/>
  <c r="Y73" i="66"/>
  <c r="X73" i="66"/>
  <c r="W73" i="66"/>
  <c r="V73" i="66"/>
  <c r="T73" i="66"/>
  <c r="S73" i="66"/>
  <c r="Q73" i="66"/>
  <c r="O73" i="66"/>
  <c r="Y72" i="66"/>
  <c r="X72" i="66"/>
  <c r="W72" i="66"/>
  <c r="V72" i="66"/>
  <c r="U72" i="66"/>
  <c r="T72" i="66"/>
  <c r="S72" i="66"/>
  <c r="R72" i="66"/>
  <c r="Q72" i="66"/>
  <c r="P72" i="66"/>
  <c r="O72" i="66"/>
  <c r="N72" i="66"/>
  <c r="Y69" i="66"/>
  <c r="X69" i="66"/>
  <c r="W69" i="66"/>
  <c r="V69" i="66"/>
  <c r="U69" i="66"/>
  <c r="T69" i="66"/>
  <c r="S69" i="66"/>
  <c r="R69" i="66"/>
  <c r="Q69" i="66"/>
  <c r="P69" i="66"/>
  <c r="O69" i="66"/>
  <c r="N69" i="66"/>
  <c r="Y68" i="66"/>
  <c r="X68" i="66"/>
  <c r="W68" i="66"/>
  <c r="V68" i="66"/>
  <c r="U68" i="66"/>
  <c r="T68" i="66"/>
  <c r="S68" i="66"/>
  <c r="R68" i="66"/>
  <c r="Q68" i="66"/>
  <c r="P68" i="66"/>
  <c r="O68" i="66"/>
  <c r="N68" i="66"/>
  <c r="Y67" i="66"/>
  <c r="X67" i="66"/>
  <c r="W67" i="66"/>
  <c r="V67" i="66"/>
  <c r="U67" i="66"/>
  <c r="T67" i="66"/>
  <c r="S67" i="66"/>
  <c r="R67" i="66"/>
  <c r="Q67" i="66"/>
  <c r="P67" i="66"/>
  <c r="O67" i="66"/>
  <c r="N67" i="66"/>
  <c r="Y65" i="66"/>
  <c r="X65" i="66"/>
  <c r="W65" i="66"/>
  <c r="V65" i="66"/>
  <c r="U65" i="66"/>
  <c r="T65" i="66"/>
  <c r="S65" i="66"/>
  <c r="R65" i="66"/>
  <c r="Q65" i="66"/>
  <c r="P65" i="66"/>
  <c r="O65" i="66"/>
  <c r="N65" i="66"/>
  <c r="Y64" i="66"/>
  <c r="X64" i="66"/>
  <c r="W64" i="66"/>
  <c r="V64" i="66"/>
  <c r="U64" i="66"/>
  <c r="T64" i="66"/>
  <c r="S64" i="66"/>
  <c r="R64" i="66"/>
  <c r="Q64" i="66"/>
  <c r="P64" i="66"/>
  <c r="O64" i="66"/>
  <c r="N64" i="66"/>
  <c r="Y63" i="66"/>
  <c r="X63" i="66"/>
  <c r="W63" i="66"/>
  <c r="V63" i="66"/>
  <c r="U63" i="66"/>
  <c r="T63" i="66"/>
  <c r="S63" i="66"/>
  <c r="R63" i="66"/>
  <c r="Q63" i="66"/>
  <c r="P63" i="66"/>
  <c r="O63" i="66"/>
  <c r="N63" i="66"/>
  <c r="Y62" i="66"/>
  <c r="X62" i="66"/>
  <c r="W62" i="66"/>
  <c r="V62" i="66"/>
  <c r="U62" i="66"/>
  <c r="T62" i="66"/>
  <c r="S62" i="66"/>
  <c r="R62" i="66"/>
  <c r="Q62" i="66"/>
  <c r="P62" i="66"/>
  <c r="O62" i="66"/>
  <c r="N62" i="66"/>
  <c r="Y61" i="66"/>
  <c r="X61" i="66"/>
  <c r="W61" i="66"/>
  <c r="V61" i="66"/>
  <c r="U61" i="66"/>
  <c r="T61" i="66"/>
  <c r="S61" i="66"/>
  <c r="R61" i="66"/>
  <c r="Q61" i="66"/>
  <c r="P61" i="66"/>
  <c r="O61" i="66"/>
  <c r="N61" i="66"/>
  <c r="Y60" i="66"/>
  <c r="X60" i="66"/>
  <c r="W60" i="66"/>
  <c r="V60" i="66"/>
  <c r="U60" i="66"/>
  <c r="T60" i="66"/>
  <c r="S60" i="66"/>
  <c r="R60" i="66"/>
  <c r="Q60" i="66"/>
  <c r="P60" i="66"/>
  <c r="O60" i="66"/>
  <c r="N60" i="66"/>
  <c r="Q58" i="66"/>
  <c r="Y57" i="66"/>
  <c r="X57" i="66"/>
  <c r="W57" i="66"/>
  <c r="V57" i="66"/>
  <c r="U57" i="66"/>
  <c r="T57" i="66"/>
  <c r="S57" i="66"/>
  <c r="R57" i="66"/>
  <c r="Q57" i="66"/>
  <c r="P57" i="66"/>
  <c r="O57" i="66"/>
  <c r="N57" i="66"/>
  <c r="Y56" i="66"/>
  <c r="X56" i="66"/>
  <c r="W56" i="66"/>
  <c r="V56" i="66"/>
  <c r="U56" i="66"/>
  <c r="T56" i="66"/>
  <c r="S56" i="66"/>
  <c r="R56" i="66"/>
  <c r="Q56" i="66"/>
  <c r="P56" i="66"/>
  <c r="O56" i="66"/>
  <c r="N56" i="66"/>
  <c r="Y55" i="66"/>
  <c r="X55" i="66"/>
  <c r="W55" i="66"/>
  <c r="V55" i="66"/>
  <c r="U55" i="66"/>
  <c r="T55" i="66"/>
  <c r="S55" i="66"/>
  <c r="R55" i="66"/>
  <c r="Q55" i="66"/>
  <c r="P55" i="66"/>
  <c r="O55" i="66"/>
  <c r="N55" i="66"/>
  <c r="Y51" i="66"/>
  <c r="X51" i="66"/>
  <c r="W51" i="66"/>
  <c r="V51" i="66"/>
  <c r="U51" i="66"/>
  <c r="T51" i="66"/>
  <c r="S51" i="66"/>
  <c r="R51" i="66"/>
  <c r="Q51" i="66"/>
  <c r="P51" i="66"/>
  <c r="O51" i="66"/>
  <c r="N51" i="66"/>
  <c r="Y47" i="66"/>
  <c r="X47" i="66"/>
  <c r="W47" i="66"/>
  <c r="V47" i="66"/>
  <c r="U47" i="66"/>
  <c r="T47" i="66"/>
  <c r="S47" i="66"/>
  <c r="R47" i="66"/>
  <c r="Q47" i="66"/>
  <c r="P47" i="66"/>
  <c r="O47" i="66"/>
  <c r="N47" i="66"/>
  <c r="Y46" i="66"/>
  <c r="X46" i="66"/>
  <c r="W46" i="66"/>
  <c r="V46" i="66"/>
  <c r="U46" i="66"/>
  <c r="T46" i="66"/>
  <c r="S46" i="66"/>
  <c r="R46" i="66"/>
  <c r="Q46" i="66"/>
  <c r="P46" i="66"/>
  <c r="O46" i="66"/>
  <c r="N46" i="66"/>
  <c r="Y43" i="66"/>
  <c r="X43" i="66"/>
  <c r="W43" i="66"/>
  <c r="V43" i="66"/>
  <c r="U43" i="66"/>
  <c r="T43" i="66"/>
  <c r="S43" i="66"/>
  <c r="R43" i="66"/>
  <c r="Q43" i="66"/>
  <c r="O43" i="66"/>
  <c r="N43" i="66"/>
  <c r="Y42" i="66"/>
  <c r="X42" i="66"/>
  <c r="W42" i="66"/>
  <c r="V42" i="66"/>
  <c r="U42" i="66"/>
  <c r="T42" i="66"/>
  <c r="S42" i="66"/>
  <c r="R42" i="66"/>
  <c r="Q42" i="66"/>
  <c r="P42" i="66"/>
  <c r="O42" i="66"/>
  <c r="N42" i="66"/>
  <c r="Y39" i="66"/>
  <c r="X39" i="66"/>
  <c r="W39" i="66"/>
  <c r="V39" i="66"/>
  <c r="U39" i="66"/>
  <c r="T39" i="66"/>
  <c r="S39" i="66"/>
  <c r="R39" i="66"/>
  <c r="Q39" i="66"/>
  <c r="P39" i="66"/>
  <c r="O39" i="66"/>
  <c r="N39" i="66"/>
  <c r="R38" i="66"/>
  <c r="Q38" i="66"/>
  <c r="Y36" i="66"/>
  <c r="X36" i="66"/>
  <c r="W36" i="66"/>
  <c r="V36" i="66"/>
  <c r="U36" i="66"/>
  <c r="T36" i="66"/>
  <c r="S36" i="66"/>
  <c r="R36" i="66"/>
  <c r="Q36" i="66"/>
  <c r="P36" i="66"/>
  <c r="O36" i="66"/>
  <c r="N36" i="66"/>
  <c r="Y34" i="66"/>
  <c r="X34" i="66"/>
  <c r="W34" i="66"/>
  <c r="V34" i="66"/>
  <c r="U34" i="66"/>
  <c r="T34" i="66"/>
  <c r="S34" i="66"/>
  <c r="R34" i="66"/>
  <c r="Q34" i="66"/>
  <c r="P34" i="66"/>
  <c r="O34" i="66"/>
  <c r="N34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Y26" i="66"/>
  <c r="X26" i="66"/>
  <c r="W26" i="66"/>
  <c r="V26" i="66"/>
  <c r="U26" i="66"/>
  <c r="T26" i="66"/>
  <c r="S26" i="66"/>
  <c r="R26" i="66"/>
  <c r="Q26" i="66"/>
  <c r="P26" i="66"/>
  <c r="O26" i="66"/>
  <c r="N26" i="66"/>
  <c r="Y23" i="66"/>
  <c r="X23" i="66"/>
  <c r="W23" i="66"/>
  <c r="V23" i="66"/>
  <c r="U23" i="66"/>
  <c r="T23" i="66"/>
  <c r="S23" i="66"/>
  <c r="R23" i="66"/>
  <c r="Q23" i="66"/>
  <c r="P23" i="66"/>
  <c r="O23" i="66"/>
  <c r="N23" i="66"/>
  <c r="Y22" i="66"/>
  <c r="X22" i="66"/>
  <c r="W22" i="66"/>
  <c r="V22" i="66"/>
  <c r="U22" i="66"/>
  <c r="T22" i="66"/>
  <c r="R22" i="66"/>
  <c r="Q22" i="66"/>
  <c r="P22" i="66"/>
  <c r="O22" i="66"/>
  <c r="N22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Y19" i="66"/>
  <c r="X19" i="66"/>
  <c r="W19" i="66"/>
  <c r="V19" i="66"/>
  <c r="U19" i="66"/>
  <c r="T19" i="66"/>
  <c r="S19" i="66"/>
  <c r="R19" i="66"/>
  <c r="Q19" i="66"/>
  <c r="P19" i="66"/>
  <c r="O19" i="66"/>
  <c r="N19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Y17" i="66"/>
  <c r="X17" i="66"/>
  <c r="W17" i="66"/>
  <c r="V17" i="66"/>
  <c r="U17" i="66"/>
  <c r="T17" i="66"/>
  <c r="S17" i="66"/>
  <c r="R17" i="66"/>
  <c r="Q17" i="66"/>
  <c r="P17" i="66"/>
  <c r="O17" i="66"/>
  <c r="N17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Y15" i="66"/>
  <c r="X15" i="66"/>
  <c r="W15" i="66"/>
  <c r="V15" i="66"/>
  <c r="U15" i="66"/>
  <c r="T15" i="66"/>
  <c r="S15" i="66"/>
  <c r="R15" i="66"/>
  <c r="Q15" i="66"/>
  <c r="P15" i="66"/>
  <c r="O15" i="66"/>
  <c r="N15" i="66"/>
  <c r="W13" i="66"/>
  <c r="Y12" i="66"/>
  <c r="X12" i="66"/>
  <c r="W12" i="66"/>
  <c r="V12" i="66"/>
  <c r="U12" i="66"/>
  <c r="T12" i="66"/>
  <c r="S12" i="66"/>
  <c r="R12" i="66"/>
  <c r="Q12" i="66"/>
  <c r="P12" i="66"/>
  <c r="O12" i="66"/>
  <c r="N12" i="66"/>
  <c r="Y11" i="66"/>
  <c r="X11" i="66"/>
  <c r="W11" i="66"/>
  <c r="V11" i="66"/>
  <c r="U11" i="66"/>
  <c r="T11" i="66"/>
  <c r="S11" i="66"/>
  <c r="R11" i="66"/>
  <c r="Q11" i="66"/>
  <c r="P11" i="66"/>
  <c r="O11" i="66"/>
  <c r="N11" i="66"/>
  <c r="X10" i="66"/>
  <c r="R10" i="66"/>
  <c r="O10" i="66"/>
  <c r="N10" i="66"/>
  <c r="Y9" i="66"/>
  <c r="X9" i="66"/>
  <c r="W9" i="66"/>
  <c r="V9" i="66"/>
  <c r="U9" i="66"/>
  <c r="T9" i="66"/>
  <c r="S9" i="66"/>
  <c r="R9" i="66"/>
  <c r="Q9" i="66"/>
  <c r="P9" i="66"/>
  <c r="O9" i="66"/>
  <c r="N9" i="66"/>
  <c r="R8" i="66"/>
  <c r="N8" i="66"/>
  <c r="K269" i="68"/>
  <c r="AF269" i="68" s="1"/>
  <c r="K268" i="68"/>
  <c r="AF268" i="68" s="1"/>
  <c r="K267" i="68"/>
  <c r="AF267" i="68" s="1"/>
  <c r="K266" i="68"/>
  <c r="AF266" i="68" s="1"/>
  <c r="K265" i="68"/>
  <c r="AF265" i="68" s="1"/>
  <c r="K264" i="68"/>
  <c r="AF264" i="68" s="1"/>
  <c r="K263" i="68"/>
  <c r="AF263" i="68" s="1"/>
  <c r="AE262" i="68"/>
  <c r="AD262" i="68"/>
  <c r="AC262" i="68"/>
  <c r="AB262" i="68"/>
  <c r="AA262" i="68"/>
  <c r="Z262" i="68"/>
  <c r="Y262" i="68"/>
  <c r="W262" i="68"/>
  <c r="V262" i="68"/>
  <c r="U262" i="68"/>
  <c r="T262" i="68"/>
  <c r="R262" i="68"/>
  <c r="P262" i="68"/>
  <c r="O262" i="68"/>
  <c r="N262" i="68"/>
  <c r="M262" i="68"/>
  <c r="L262" i="68"/>
  <c r="K261" i="68"/>
  <c r="AF261" i="68" s="1"/>
  <c r="K260" i="68"/>
  <c r="AF260" i="68" s="1"/>
  <c r="AE259" i="68"/>
  <c r="AD259" i="68"/>
  <c r="AC259" i="68"/>
  <c r="AB259" i="68"/>
  <c r="AA259" i="68"/>
  <c r="Z259" i="68"/>
  <c r="Y259" i="68"/>
  <c r="W259" i="68"/>
  <c r="V259" i="68"/>
  <c r="U259" i="68"/>
  <c r="T259" i="68"/>
  <c r="R259" i="68"/>
  <c r="P259" i="68"/>
  <c r="O259" i="68"/>
  <c r="N259" i="68"/>
  <c r="M259" i="68"/>
  <c r="L259" i="68"/>
  <c r="K258" i="68"/>
  <c r="AF258" i="68" s="1"/>
  <c r="K257" i="68"/>
  <c r="AF257" i="68" s="1"/>
  <c r="K256" i="68"/>
  <c r="AF256" i="68" s="1"/>
  <c r="K255" i="68"/>
  <c r="AF255" i="68" s="1"/>
  <c r="K254" i="68"/>
  <c r="AF254" i="68" s="1"/>
  <c r="K253" i="68"/>
  <c r="AF253" i="68" s="1"/>
  <c r="P252" i="68"/>
  <c r="P251" i="68" s="1"/>
  <c r="L5" i="39" s="1"/>
  <c r="AE251" i="68"/>
  <c r="AD251" i="68"/>
  <c r="AC251" i="68"/>
  <c r="AB251" i="68"/>
  <c r="AA251" i="68"/>
  <c r="Z251" i="68"/>
  <c r="Y251" i="68"/>
  <c r="X251" i="68"/>
  <c r="W251" i="68"/>
  <c r="V251" i="68"/>
  <c r="U251" i="68"/>
  <c r="T251" i="68"/>
  <c r="R251" i="68"/>
  <c r="X5" i="39" s="1"/>
  <c r="O251" i="68"/>
  <c r="K5" i="39" s="1"/>
  <c r="N251" i="68"/>
  <c r="J5" i="39" s="1"/>
  <c r="M251" i="68"/>
  <c r="I5" i="39" s="1"/>
  <c r="L251" i="68"/>
  <c r="H5" i="39" s="1"/>
  <c r="K250" i="68"/>
  <c r="AF250" i="68" s="1"/>
  <c r="K249" i="68"/>
  <c r="AF249" i="68" s="1"/>
  <c r="K248" i="68"/>
  <c r="AF248" i="68" s="1"/>
  <c r="K247" i="68"/>
  <c r="AF247" i="68" s="1"/>
  <c r="K246" i="68"/>
  <c r="AF246" i="68" s="1"/>
  <c r="K245" i="68"/>
  <c r="AF245" i="68" s="1"/>
  <c r="AE244" i="68"/>
  <c r="AE243" i="68" s="1"/>
  <c r="AD244" i="68"/>
  <c r="AD243" i="68" s="1"/>
  <c r="AC244" i="68"/>
  <c r="AB244" i="68"/>
  <c r="AA244" i="68"/>
  <c r="AA243" i="68" s="1"/>
  <c r="Z244" i="68"/>
  <c r="Z243" i="68" s="1"/>
  <c r="Y244" i="68"/>
  <c r="Y243" i="68" s="1"/>
  <c r="X244" i="68"/>
  <c r="X243" i="68" s="1"/>
  <c r="W244" i="68"/>
  <c r="W243" i="68" s="1"/>
  <c r="V244" i="68"/>
  <c r="U244" i="68"/>
  <c r="U243" i="68" s="1"/>
  <c r="T244" i="68"/>
  <c r="T243" i="68" s="1"/>
  <c r="R244" i="68"/>
  <c r="R243" i="68" s="1"/>
  <c r="P244" i="68"/>
  <c r="P243" i="68" s="1"/>
  <c r="O244" i="68"/>
  <c r="O243" i="68" s="1"/>
  <c r="N244" i="68"/>
  <c r="N243" i="68" s="1"/>
  <c r="M244" i="68"/>
  <c r="M243" i="68" s="1"/>
  <c r="L244" i="68"/>
  <c r="L243" i="68" s="1"/>
  <c r="AC243" i="68"/>
  <c r="AB243" i="68"/>
  <c r="K242" i="68"/>
  <c r="K241" i="68"/>
  <c r="AF241" i="68" s="1"/>
  <c r="K240" i="68"/>
  <c r="AF240" i="68" s="1"/>
  <c r="AE239" i="68"/>
  <c r="AD239" i="68"/>
  <c r="AC239" i="68"/>
  <c r="AB239" i="68"/>
  <c r="AA239" i="68"/>
  <c r="Z239" i="68"/>
  <c r="Y239" i="68"/>
  <c r="X239" i="68"/>
  <c r="W239" i="68"/>
  <c r="V239" i="68"/>
  <c r="U239" i="68"/>
  <c r="T239" i="68"/>
  <c r="R239" i="68"/>
  <c r="P239" i="68"/>
  <c r="O239" i="68"/>
  <c r="N239" i="68"/>
  <c r="M239" i="68"/>
  <c r="L239" i="68"/>
  <c r="K236" i="68"/>
  <c r="AF236" i="68" s="1"/>
  <c r="K235" i="68"/>
  <c r="AF235" i="68" s="1"/>
  <c r="K234" i="68"/>
  <c r="AF234" i="68" s="1"/>
  <c r="K233" i="68"/>
  <c r="AF233" i="68" s="1"/>
  <c r="K232" i="68"/>
  <c r="AF232" i="68" s="1"/>
  <c r="K231" i="68"/>
  <c r="AF231" i="68" s="1"/>
  <c r="K230" i="68"/>
  <c r="AF230" i="68" s="1"/>
  <c r="K229" i="68"/>
  <c r="K228" i="68"/>
  <c r="AF228" i="68" s="1"/>
  <c r="K227" i="68"/>
  <c r="AF227" i="68" s="1"/>
  <c r="K226" i="68"/>
  <c r="AF226" i="68" s="1"/>
  <c r="AE225" i="68"/>
  <c r="AD225" i="68"/>
  <c r="AC225" i="68"/>
  <c r="AB225" i="68"/>
  <c r="AA225" i="68"/>
  <c r="Z225" i="68"/>
  <c r="Y225" i="68"/>
  <c r="X225" i="68"/>
  <c r="W225" i="68"/>
  <c r="V225" i="68"/>
  <c r="U225" i="68"/>
  <c r="T225" i="68"/>
  <c r="R225" i="68"/>
  <c r="P225" i="68"/>
  <c r="O225" i="68"/>
  <c r="N225" i="68"/>
  <c r="M225" i="68"/>
  <c r="L225" i="68"/>
  <c r="K224" i="68"/>
  <c r="AF224" i="68" s="1"/>
  <c r="K223" i="68"/>
  <c r="AF223" i="68" s="1"/>
  <c r="K222" i="68"/>
  <c r="AF222" i="68" s="1"/>
  <c r="K221" i="68"/>
  <c r="AF221" i="68" s="1"/>
  <c r="K220" i="68"/>
  <c r="AF220" i="68" s="1"/>
  <c r="K219" i="68"/>
  <c r="AF219" i="68" s="1"/>
  <c r="K218" i="68"/>
  <c r="AF218" i="68" s="1"/>
  <c r="K217" i="68"/>
  <c r="AF217" i="68" s="1"/>
  <c r="K216" i="68"/>
  <c r="AF216" i="68" s="1"/>
  <c r="AE215" i="68"/>
  <c r="AD215" i="68"/>
  <c r="AC215" i="68"/>
  <c r="AB215" i="68"/>
  <c r="AA215" i="68"/>
  <c r="Z215" i="68"/>
  <c r="Y215" i="68"/>
  <c r="X215" i="68"/>
  <c r="W215" i="68"/>
  <c r="V215" i="68"/>
  <c r="U215" i="68"/>
  <c r="T215" i="68"/>
  <c r="R215" i="68"/>
  <c r="P215" i="68"/>
  <c r="O215" i="68"/>
  <c r="N215" i="68"/>
  <c r="M215" i="68"/>
  <c r="L215" i="68"/>
  <c r="K214" i="68"/>
  <c r="AF214" i="68" s="1"/>
  <c r="K213" i="68"/>
  <c r="AF213" i="68" s="1"/>
  <c r="K212" i="68"/>
  <c r="AF212" i="68" s="1"/>
  <c r="K210" i="68"/>
  <c r="AF210" i="68" s="1"/>
  <c r="K209" i="68"/>
  <c r="AF209" i="68" s="1"/>
  <c r="K208" i="68"/>
  <c r="AF208" i="68" s="1"/>
  <c r="K207" i="68"/>
  <c r="AF207" i="68" s="1"/>
  <c r="K206" i="68"/>
  <c r="AF206" i="68" s="1"/>
  <c r="K205" i="68"/>
  <c r="AF205" i="68" s="1"/>
  <c r="K204" i="68"/>
  <c r="AF204" i="68" s="1"/>
  <c r="K203" i="68"/>
  <c r="AF203" i="68" s="1"/>
  <c r="K202" i="68"/>
  <c r="AF202" i="68" s="1"/>
  <c r="K201" i="68"/>
  <c r="AF201" i="68" s="1"/>
  <c r="K200" i="68"/>
  <c r="AF200" i="68" s="1"/>
  <c r="AE199" i="68"/>
  <c r="AD199" i="68"/>
  <c r="AC199" i="68"/>
  <c r="AB199" i="68"/>
  <c r="AA199" i="68"/>
  <c r="Z199" i="68"/>
  <c r="Y199" i="68"/>
  <c r="X199" i="68"/>
  <c r="W199" i="68"/>
  <c r="V199" i="68"/>
  <c r="U199" i="68"/>
  <c r="T199" i="68"/>
  <c r="R199" i="68"/>
  <c r="P199" i="68"/>
  <c r="O199" i="68"/>
  <c r="N199" i="68"/>
  <c r="M199" i="68"/>
  <c r="L199" i="68"/>
  <c r="K198" i="68"/>
  <c r="AF198" i="68" s="1"/>
  <c r="K197" i="68"/>
  <c r="AF197" i="68" s="1"/>
  <c r="K196" i="68"/>
  <c r="AF196" i="68" s="1"/>
  <c r="K195" i="68"/>
  <c r="AF195" i="68" s="1"/>
  <c r="K194" i="68"/>
  <c r="AF194" i="68" s="1"/>
  <c r="K193" i="68"/>
  <c r="AF193" i="68" s="1"/>
  <c r="K192" i="68"/>
  <c r="AF192" i="68" s="1"/>
  <c r="K191" i="68"/>
  <c r="AF191" i="68" s="1"/>
  <c r="K190" i="68"/>
  <c r="AF190" i="68" s="1"/>
  <c r="AE189" i="68"/>
  <c r="AD189" i="68"/>
  <c r="AC189" i="68"/>
  <c r="AB189" i="68"/>
  <c r="AA189" i="68"/>
  <c r="Z189" i="68"/>
  <c r="Y189" i="68"/>
  <c r="X189" i="68"/>
  <c r="W189" i="68"/>
  <c r="V189" i="68"/>
  <c r="U189" i="68"/>
  <c r="T189" i="68"/>
  <c r="R189" i="68"/>
  <c r="P189" i="68"/>
  <c r="O189" i="68"/>
  <c r="N189" i="68"/>
  <c r="M189" i="68"/>
  <c r="L189" i="68"/>
  <c r="K188" i="68"/>
  <c r="AF188" i="68" s="1"/>
  <c r="K187" i="68"/>
  <c r="AF187" i="68" s="1"/>
  <c r="K186" i="68"/>
  <c r="AF186" i="68" s="1"/>
  <c r="K184" i="68"/>
  <c r="AF184" i="68" s="1"/>
  <c r="K183" i="68"/>
  <c r="AF183" i="68" s="1"/>
  <c r="K182" i="68"/>
  <c r="AF182" i="68" s="1"/>
  <c r="AE181" i="68"/>
  <c r="AD181" i="68"/>
  <c r="AC181" i="68"/>
  <c r="AB181" i="68"/>
  <c r="AA181" i="68"/>
  <c r="Z181" i="68"/>
  <c r="Y181" i="68"/>
  <c r="X181" i="68"/>
  <c r="W181" i="68"/>
  <c r="V181" i="68"/>
  <c r="U181" i="68"/>
  <c r="T181" i="68"/>
  <c r="R181" i="68"/>
  <c r="P181" i="68"/>
  <c r="O181" i="68"/>
  <c r="N181" i="68"/>
  <c r="M181" i="68"/>
  <c r="L181" i="68"/>
  <c r="K180" i="68"/>
  <c r="AF180" i="68" s="1"/>
  <c r="K179" i="68"/>
  <c r="K178" i="68"/>
  <c r="AE177" i="68"/>
  <c r="AD177" i="68"/>
  <c r="AC177" i="68"/>
  <c r="AB177" i="68"/>
  <c r="AA177" i="68"/>
  <c r="Z177" i="68"/>
  <c r="Y177" i="68"/>
  <c r="X177" i="68"/>
  <c r="W177" i="68"/>
  <c r="V177" i="68"/>
  <c r="U177" i="68"/>
  <c r="T177" i="68"/>
  <c r="R177" i="68"/>
  <c r="P177" i="68"/>
  <c r="O177" i="68"/>
  <c r="M177" i="68"/>
  <c r="M175" i="68" s="1"/>
  <c r="L177" i="68"/>
  <c r="L175" i="68" s="1"/>
  <c r="K176" i="68"/>
  <c r="K169" i="68"/>
  <c r="AF169" i="68" s="1"/>
  <c r="AE168" i="68"/>
  <c r="AD168" i="68"/>
  <c r="AC168" i="68"/>
  <c r="AB168" i="68"/>
  <c r="AA168" i="68"/>
  <c r="Z168" i="68"/>
  <c r="Y168" i="68"/>
  <c r="X168" i="68"/>
  <c r="W168" i="68"/>
  <c r="V168" i="68"/>
  <c r="U168" i="68"/>
  <c r="T168" i="68"/>
  <c r="R168" i="68"/>
  <c r="O168" i="68"/>
  <c r="N168" i="68"/>
  <c r="M168" i="68"/>
  <c r="K167" i="68"/>
  <c r="AF167" i="68" s="1"/>
  <c r="K166" i="68"/>
  <c r="AF166" i="68" s="1"/>
  <c r="K165" i="68"/>
  <c r="AF165" i="68" s="1"/>
  <c r="AE164" i="68"/>
  <c r="AD164" i="68"/>
  <c r="AC164" i="68"/>
  <c r="AB164" i="68"/>
  <c r="AA164" i="68"/>
  <c r="Z164" i="68"/>
  <c r="Y164" i="68"/>
  <c r="X164" i="68"/>
  <c r="W164" i="68"/>
  <c r="V164" i="68"/>
  <c r="U164" i="68"/>
  <c r="T164" i="68"/>
  <c r="R164" i="68"/>
  <c r="P164" i="68"/>
  <c r="O164" i="68"/>
  <c r="N164" i="68"/>
  <c r="M164" i="68"/>
  <c r="L164" i="68"/>
  <c r="L163" i="68"/>
  <c r="L160" i="68" s="1"/>
  <c r="L158" i="68" s="1"/>
  <c r="K162" i="68"/>
  <c r="AF162" i="68" s="1"/>
  <c r="K161" i="68"/>
  <c r="AF161" i="68" s="1"/>
  <c r="AE160" i="68"/>
  <c r="AE158" i="68" s="1"/>
  <c r="AD160" i="68"/>
  <c r="AD158" i="68" s="1"/>
  <c r="AC160" i="68"/>
  <c r="AC158" i="68" s="1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R160" i="68"/>
  <c r="R158" i="68" s="1"/>
  <c r="P160" i="68"/>
  <c r="P158" i="68" s="1"/>
  <c r="O160" i="68"/>
  <c r="O158" i="68" s="1"/>
  <c r="N160" i="68"/>
  <c r="N158" i="68" s="1"/>
  <c r="M160" i="68"/>
  <c r="M158" i="68" s="1"/>
  <c r="K159" i="68"/>
  <c r="AF159" i="68" s="1"/>
  <c r="K157" i="68"/>
  <c r="AF157" i="68" s="1"/>
  <c r="K156" i="68"/>
  <c r="AF156" i="68" s="1"/>
  <c r="K155" i="68"/>
  <c r="AF155" i="68" s="1"/>
  <c r="K154" i="68"/>
  <c r="AF154" i="68" s="1"/>
  <c r="K153" i="68"/>
  <c r="AF153" i="68" s="1"/>
  <c r="K152" i="68"/>
  <c r="AF152" i="68" s="1"/>
  <c r="K151" i="68"/>
  <c r="AF151" i="68" s="1"/>
  <c r="K150" i="68"/>
  <c r="K149" i="68"/>
  <c r="K148" i="68"/>
  <c r="AF148" i="68" s="1"/>
  <c r="AE147" i="68"/>
  <c r="AD147" i="68"/>
  <c r="AC147" i="68"/>
  <c r="AB147" i="68"/>
  <c r="AA147" i="68"/>
  <c r="Z147" i="68"/>
  <c r="Y147" i="68"/>
  <c r="X147" i="68"/>
  <c r="W147" i="68"/>
  <c r="V147" i="68"/>
  <c r="U147" i="68"/>
  <c r="T147" i="68"/>
  <c r="R147" i="68"/>
  <c r="P147" i="68"/>
  <c r="O147" i="68"/>
  <c r="M147" i="68"/>
  <c r="L147" i="68"/>
  <c r="L146" i="68"/>
  <c r="L145" i="68"/>
  <c r="M144" i="68"/>
  <c r="M143" i="68" s="1"/>
  <c r="AE143" i="68"/>
  <c r="AD143" i="68"/>
  <c r="AC143" i="68"/>
  <c r="AC139" i="68" s="1"/>
  <c r="AB143" i="68"/>
  <c r="AA143" i="68"/>
  <c r="Z143" i="68"/>
  <c r="X143" i="68"/>
  <c r="W143" i="68"/>
  <c r="V143" i="68"/>
  <c r="U143" i="68"/>
  <c r="T143" i="68"/>
  <c r="R143" i="68"/>
  <c r="P143" i="68"/>
  <c r="O143" i="68"/>
  <c r="N143" i="68"/>
  <c r="L142" i="68"/>
  <c r="L141" i="68"/>
  <c r="AE140" i="68"/>
  <c r="AD140" i="68"/>
  <c r="AB140" i="68"/>
  <c r="AB139" i="68" s="1"/>
  <c r="AA140" i="68"/>
  <c r="Z140" i="68"/>
  <c r="Z139" i="68" s="1"/>
  <c r="Y140" i="68"/>
  <c r="Y139" i="68" s="1"/>
  <c r="X140" i="68"/>
  <c r="W140" i="68"/>
  <c r="V140" i="68"/>
  <c r="U140" i="68"/>
  <c r="T140" i="68"/>
  <c r="R140" i="68"/>
  <c r="P140" i="68"/>
  <c r="O140" i="68"/>
  <c r="N140" i="68"/>
  <c r="M140" i="68"/>
  <c r="K138" i="68"/>
  <c r="K137" i="68"/>
  <c r="AE131" i="68"/>
  <c r="AD131" i="68"/>
  <c r="AC134" i="68"/>
  <c r="AC131" i="68" s="1"/>
  <c r="AB134" i="68"/>
  <c r="AB131" i="68" s="1"/>
  <c r="AA134" i="68"/>
  <c r="AA131" i="68" s="1"/>
  <c r="Z134" i="68"/>
  <c r="Y134" i="68"/>
  <c r="Y131" i="68" s="1"/>
  <c r="X134" i="68"/>
  <c r="X131" i="68" s="1"/>
  <c r="W134" i="68"/>
  <c r="W131" i="68" s="1"/>
  <c r="V134" i="68"/>
  <c r="V131" i="68" s="1"/>
  <c r="U134" i="68"/>
  <c r="U131" i="68" s="1"/>
  <c r="T134" i="68"/>
  <c r="R134" i="68"/>
  <c r="R131" i="68" s="1"/>
  <c r="P134" i="68"/>
  <c r="P131" i="68" s="1"/>
  <c r="O134" i="68"/>
  <c r="O131" i="68" s="1"/>
  <c r="K133" i="68"/>
  <c r="AF133" i="68" s="1"/>
  <c r="K132" i="68"/>
  <c r="AF132" i="68" s="1"/>
  <c r="Z131" i="68"/>
  <c r="N131" i="68"/>
  <c r="M131" i="68"/>
  <c r="K130" i="68"/>
  <c r="AF130" i="68" s="1"/>
  <c r="K128" i="68"/>
  <c r="Z116" i="68"/>
  <c r="Y116" i="68"/>
  <c r="X116" i="68"/>
  <c r="V116" i="68"/>
  <c r="U116" i="68"/>
  <c r="K126" i="68"/>
  <c r="AH125" i="68"/>
  <c r="K125" i="68"/>
  <c r="AH124" i="68"/>
  <c r="K124" i="68"/>
  <c r="AH123" i="68"/>
  <c r="K123" i="68"/>
  <c r="AH122" i="68"/>
  <c r="K122" i="68"/>
  <c r="AH121" i="68"/>
  <c r="K121" i="68"/>
  <c r="AH120" i="68"/>
  <c r="K120" i="68"/>
  <c r="AH119" i="68"/>
  <c r="K119" i="68"/>
  <c r="AH118" i="68"/>
  <c r="K118" i="68"/>
  <c r="AH117" i="68"/>
  <c r="K117" i="68"/>
  <c r="AE116" i="68"/>
  <c r="AD116" i="68"/>
  <c r="AC116" i="68"/>
  <c r="AB116" i="68"/>
  <c r="AA116" i="68"/>
  <c r="W116" i="68"/>
  <c r="T116" i="68"/>
  <c r="P116" i="68"/>
  <c r="O116" i="68"/>
  <c r="N116" i="68"/>
  <c r="M116" i="68"/>
  <c r="L116" i="68"/>
  <c r="K115" i="68"/>
  <c r="K114" i="68"/>
  <c r="K113" i="68"/>
  <c r="AE112" i="68"/>
  <c r="AD112" i="68"/>
  <c r="AC112" i="68"/>
  <c r="AB112" i="68"/>
  <c r="AA112" i="68"/>
  <c r="Z112" i="68"/>
  <c r="Y112" i="68"/>
  <c r="X112" i="68"/>
  <c r="W112" i="68"/>
  <c r="V112" i="68"/>
  <c r="U112" i="68"/>
  <c r="T112" i="68"/>
  <c r="P112" i="68"/>
  <c r="O112" i="68"/>
  <c r="N112" i="68"/>
  <c r="M112" i="68"/>
  <c r="L112" i="68"/>
  <c r="K111" i="68"/>
  <c r="K110" i="68"/>
  <c r="K109" i="68"/>
  <c r="K108" i="68"/>
  <c r="R107" i="68"/>
  <c r="AE106" i="68"/>
  <c r="AD106" i="68"/>
  <c r="AC106" i="68"/>
  <c r="AB106" i="68"/>
  <c r="AA106" i="68"/>
  <c r="Z106" i="68"/>
  <c r="Y106" i="68"/>
  <c r="X106" i="68"/>
  <c r="W106" i="68"/>
  <c r="V106" i="68"/>
  <c r="U106" i="68"/>
  <c r="T106" i="68"/>
  <c r="P106" i="68"/>
  <c r="O106" i="68"/>
  <c r="N106" i="68"/>
  <c r="M106" i="68"/>
  <c r="L106" i="68"/>
  <c r="K104" i="68"/>
  <c r="K103" i="68"/>
  <c r="K102" i="68"/>
  <c r="K101" i="68"/>
  <c r="AE100" i="68"/>
  <c r="AD100" i="68"/>
  <c r="AC100" i="68"/>
  <c r="AB100" i="68"/>
  <c r="AA100" i="68"/>
  <c r="Z100" i="68"/>
  <c r="Y100" i="68"/>
  <c r="X100" i="68"/>
  <c r="W100" i="68"/>
  <c r="V100" i="68"/>
  <c r="U100" i="68"/>
  <c r="T100" i="68"/>
  <c r="P100" i="68"/>
  <c r="O100" i="68"/>
  <c r="N100" i="68"/>
  <c r="M100" i="68"/>
  <c r="L100" i="68"/>
  <c r="K99" i="68"/>
  <c r="K98" i="68"/>
  <c r="K97" i="68"/>
  <c r="K96" i="68"/>
  <c r="AE95" i="68"/>
  <c r="AD95" i="68"/>
  <c r="AC95" i="68"/>
  <c r="AB95" i="68"/>
  <c r="AA95" i="68"/>
  <c r="Z95" i="68"/>
  <c r="Y95" i="68"/>
  <c r="X95" i="68"/>
  <c r="W95" i="68"/>
  <c r="V95" i="68"/>
  <c r="U95" i="68"/>
  <c r="T95" i="68"/>
  <c r="P95" i="68"/>
  <c r="O95" i="68"/>
  <c r="N95" i="68"/>
  <c r="M95" i="68"/>
  <c r="L95" i="68"/>
  <c r="K93" i="68"/>
  <c r="AF93" i="68" s="1"/>
  <c r="K92" i="68"/>
  <c r="AF92" i="68" s="1"/>
  <c r="K91" i="68"/>
  <c r="AF91" i="68" s="1"/>
  <c r="K90" i="68"/>
  <c r="AF90" i="68" s="1"/>
  <c r="K89" i="68"/>
  <c r="AF89" i="68" s="1"/>
  <c r="K88" i="68"/>
  <c r="AF88" i="68" s="1"/>
  <c r="K87" i="68"/>
  <c r="K86" i="68"/>
  <c r="K85" i="68"/>
  <c r="AE83" i="68"/>
  <c r="AD83" i="68"/>
  <c r="AC83" i="68"/>
  <c r="AA83" i="68"/>
  <c r="Z83" i="68"/>
  <c r="Y83" i="68"/>
  <c r="X83" i="68"/>
  <c r="W83" i="68"/>
  <c r="V83" i="68"/>
  <c r="U83" i="68"/>
  <c r="T83" i="68"/>
  <c r="J83" i="68" s="1"/>
  <c r="J58" i="68" s="1"/>
  <c r="J270" i="68" s="1"/>
  <c r="R83" i="68"/>
  <c r="P83" i="68"/>
  <c r="N83" i="68"/>
  <c r="M83" i="68"/>
  <c r="L83" i="68"/>
  <c r="K82" i="68"/>
  <c r="AF82" i="68" s="1"/>
  <c r="K81" i="68"/>
  <c r="AF81" i="68" s="1"/>
  <c r="K80" i="68"/>
  <c r="AF80" i="68" s="1"/>
  <c r="K79" i="68"/>
  <c r="AF79" i="68" s="1"/>
  <c r="K78" i="68"/>
  <c r="AF78" i="68" s="1"/>
  <c r="K77" i="68"/>
  <c r="AF77" i="68" s="1"/>
  <c r="K76" i="68"/>
  <c r="AF76" i="68" s="1"/>
  <c r="K75" i="68"/>
  <c r="AF75" i="68" s="1"/>
  <c r="K74" i="68"/>
  <c r="AF74" i="68" s="1"/>
  <c r="K73" i="68"/>
  <c r="AF73" i="68" s="1"/>
  <c r="AE72" i="68"/>
  <c r="AD72" i="68"/>
  <c r="AC72" i="68"/>
  <c r="AB72" i="68"/>
  <c r="AA72" i="68"/>
  <c r="Z72" i="68"/>
  <c r="Y72" i="68"/>
  <c r="X72" i="68"/>
  <c r="W72" i="68"/>
  <c r="V72" i="68"/>
  <c r="U72" i="68"/>
  <c r="T72" i="68"/>
  <c r="R72" i="68"/>
  <c r="P72" i="68"/>
  <c r="O72" i="68"/>
  <c r="N72" i="68"/>
  <c r="M72" i="68"/>
  <c r="L72" i="68"/>
  <c r="K71" i="68"/>
  <c r="AF71" i="68" s="1"/>
  <c r="K70" i="68"/>
  <c r="AF70" i="68" s="1"/>
  <c r="K69" i="68"/>
  <c r="AF69" i="68" s="1"/>
  <c r="K68" i="68"/>
  <c r="AF68" i="68" s="1"/>
  <c r="K67" i="68"/>
  <c r="AF67" i="68" s="1"/>
  <c r="K66" i="68"/>
  <c r="AF66" i="68" s="1"/>
  <c r="K65" i="68"/>
  <c r="AF65" i="68" s="1"/>
  <c r="K64" i="68"/>
  <c r="AF64" i="68" s="1"/>
  <c r="K63" i="68"/>
  <c r="AF63" i="68" s="1"/>
  <c r="K62" i="68"/>
  <c r="AF62" i="68" s="1"/>
  <c r="AE61" i="68"/>
  <c r="AD61" i="68"/>
  <c r="AC61" i="68"/>
  <c r="AB61" i="68"/>
  <c r="AA61" i="68"/>
  <c r="Z61" i="68"/>
  <c r="Y61" i="68"/>
  <c r="X61" i="68"/>
  <c r="W61" i="68"/>
  <c r="V61" i="68"/>
  <c r="U61" i="68"/>
  <c r="T61" i="68"/>
  <c r="R61" i="68"/>
  <c r="P61" i="68"/>
  <c r="O61" i="68"/>
  <c r="N61" i="68"/>
  <c r="M61" i="68"/>
  <c r="L61" i="68"/>
  <c r="L58" i="68" s="1"/>
  <c r="K60" i="68"/>
  <c r="AF60" i="68" s="1"/>
  <c r="K59" i="68"/>
  <c r="K57" i="68"/>
  <c r="AF57" i="68" s="1"/>
  <c r="K56" i="68"/>
  <c r="AF56" i="68" s="1"/>
  <c r="K55" i="68"/>
  <c r="AF55" i="68" s="1"/>
  <c r="K54" i="68"/>
  <c r="AF54" i="68" s="1"/>
  <c r="K53" i="68"/>
  <c r="AF53" i="68" s="1"/>
  <c r="K52" i="68"/>
  <c r="AF52" i="68" s="1"/>
  <c r="K51" i="68"/>
  <c r="AF51" i="68" s="1"/>
  <c r="K50" i="68"/>
  <c r="AF50" i="68" s="1"/>
  <c r="K49" i="68"/>
  <c r="AF49" i="68" s="1"/>
  <c r="AE47" i="68"/>
  <c r="AD47" i="68"/>
  <c r="AC47" i="68"/>
  <c r="AA47" i="68"/>
  <c r="Z47" i="68"/>
  <c r="Y47" i="68"/>
  <c r="X47" i="68"/>
  <c r="W47" i="68"/>
  <c r="V47" i="68"/>
  <c r="U47" i="68"/>
  <c r="T47" i="68"/>
  <c r="R47" i="68"/>
  <c r="P47" i="68"/>
  <c r="O47" i="68"/>
  <c r="N47" i="68"/>
  <c r="M47" i="68"/>
  <c r="L47" i="68"/>
  <c r="K46" i="68"/>
  <c r="AF46" i="68" s="1"/>
  <c r="K45" i="68"/>
  <c r="AF45" i="68" s="1"/>
  <c r="K44" i="68"/>
  <c r="AF44" i="68" s="1"/>
  <c r="K43" i="68"/>
  <c r="AF43" i="68" s="1"/>
  <c r="K42" i="68"/>
  <c r="AF42" i="68" s="1"/>
  <c r="K41" i="68"/>
  <c r="AF41" i="68" s="1"/>
  <c r="K40" i="68"/>
  <c r="AF40" i="68" s="1"/>
  <c r="K39" i="68"/>
  <c r="AF39" i="68" s="1"/>
  <c r="K38" i="68"/>
  <c r="AF38" i="68" s="1"/>
  <c r="K37" i="68"/>
  <c r="AF37" i="68" s="1"/>
  <c r="AE36" i="68"/>
  <c r="AD36" i="68"/>
  <c r="AC36" i="68"/>
  <c r="AB36" i="68"/>
  <c r="AA36" i="68"/>
  <c r="Z36" i="68"/>
  <c r="Y36" i="68"/>
  <c r="X36" i="68"/>
  <c r="W36" i="68"/>
  <c r="V36" i="68"/>
  <c r="U36" i="68"/>
  <c r="T36" i="68"/>
  <c r="R36" i="68"/>
  <c r="P36" i="68"/>
  <c r="O36" i="68"/>
  <c r="N36" i="68"/>
  <c r="M36" i="68"/>
  <c r="L36" i="68"/>
  <c r="K35" i="68"/>
  <c r="AF35" i="68" s="1"/>
  <c r="K34" i="68"/>
  <c r="AF34" i="68" s="1"/>
  <c r="K33" i="68"/>
  <c r="AF33" i="68" s="1"/>
  <c r="K32" i="68"/>
  <c r="AF32" i="68" s="1"/>
  <c r="K31" i="68"/>
  <c r="AF31" i="68" s="1"/>
  <c r="K30" i="68"/>
  <c r="AF30" i="68" s="1"/>
  <c r="K29" i="68"/>
  <c r="AF29" i="68" s="1"/>
  <c r="K28" i="68"/>
  <c r="AF28" i="68" s="1"/>
  <c r="K27" i="68"/>
  <c r="AF27" i="68" s="1"/>
  <c r="K26" i="68"/>
  <c r="AF26" i="68" s="1"/>
  <c r="AE25" i="68"/>
  <c r="AD25" i="68"/>
  <c r="AC25" i="68"/>
  <c r="AB25" i="68"/>
  <c r="AA25" i="68"/>
  <c r="Z25" i="68"/>
  <c r="Y25" i="68"/>
  <c r="X25" i="68"/>
  <c r="W25" i="68"/>
  <c r="V25" i="68"/>
  <c r="U25" i="68"/>
  <c r="T25" i="68"/>
  <c r="R25" i="68"/>
  <c r="P25" i="68"/>
  <c r="O25" i="68"/>
  <c r="N25" i="68"/>
  <c r="M25" i="68"/>
  <c r="L25" i="68"/>
  <c r="K24" i="68"/>
  <c r="AF24" i="68" s="1"/>
  <c r="K23" i="68"/>
  <c r="AF23" i="68" s="1"/>
  <c r="K22" i="68"/>
  <c r="AF22" i="68" s="1"/>
  <c r="K20" i="68"/>
  <c r="K19" i="68"/>
  <c r="K18" i="68"/>
  <c r="AF18" i="68" s="1"/>
  <c r="K16" i="68"/>
  <c r="K15" i="68"/>
  <c r="K14" i="68"/>
  <c r="K13" i="68"/>
  <c r="K11" i="68"/>
  <c r="K10" i="68"/>
  <c r="K9" i="68"/>
  <c r="K8" i="68"/>
  <c r="AD6" i="68"/>
  <c r="AC6" i="68"/>
  <c r="AB6" i="68"/>
  <c r="Y6" i="68"/>
  <c r="X6" i="68"/>
  <c r="W6" i="68"/>
  <c r="V6" i="68"/>
  <c r="U6" i="68"/>
  <c r="R7" i="68"/>
  <c r="R6" i="68" s="1"/>
  <c r="P7" i="68"/>
  <c r="P6" i="68" s="1"/>
  <c r="N7" i="68"/>
  <c r="N6" i="68" s="1"/>
  <c r="M7" i="68"/>
  <c r="M6" i="68" s="1"/>
  <c r="L7" i="68"/>
  <c r="L6" i="68" s="1"/>
  <c r="AE6" i="68"/>
  <c r="Z6" i="68"/>
  <c r="X11" i="39"/>
  <c r="W7" i="39"/>
  <c r="U7" i="39"/>
  <c r="T7" i="39"/>
  <c r="R7" i="39"/>
  <c r="Q7" i="39"/>
  <c r="P7" i="39"/>
  <c r="O7" i="39"/>
  <c r="M7" i="39"/>
  <c r="Q21" i="69"/>
  <c r="I21" i="69"/>
  <c r="H21" i="69"/>
  <c r="I17" i="69"/>
  <c r="H17" i="69"/>
  <c r="Q13" i="69"/>
  <c r="I13" i="69"/>
  <c r="H13" i="69"/>
  <c r="Q12" i="69"/>
  <c r="I12" i="69"/>
  <c r="H12" i="69"/>
  <c r="Q11" i="69"/>
  <c r="Q14" i="69" s="1"/>
  <c r="I11" i="69"/>
  <c r="I14" i="69" s="1"/>
  <c r="H11" i="69"/>
  <c r="H14" i="69" s="1"/>
  <c r="Q9" i="69"/>
  <c r="I9" i="69"/>
  <c r="H9" i="69"/>
  <c r="Q8" i="69"/>
  <c r="Q7" i="69"/>
  <c r="I7" i="69"/>
  <c r="H7" i="69"/>
  <c r="Q6" i="69"/>
  <c r="I6" i="69"/>
  <c r="H6" i="69"/>
  <c r="Q5" i="69"/>
  <c r="Q10" i="69" s="1"/>
  <c r="I5" i="69"/>
  <c r="I10" i="69" s="1"/>
  <c r="H5" i="69"/>
  <c r="H10" i="69" s="1"/>
  <c r="O11" i="68" l="1"/>
  <c r="AF11" i="68"/>
  <c r="O86" i="68"/>
  <c r="AF86" i="68"/>
  <c r="R103" i="68"/>
  <c r="AF103" i="68"/>
  <c r="R119" i="68"/>
  <c r="AF119" i="68"/>
  <c r="R121" i="68"/>
  <c r="AF121" i="68"/>
  <c r="R123" i="68"/>
  <c r="AF123" i="68"/>
  <c r="R125" i="68"/>
  <c r="AF125" i="68"/>
  <c r="R128" i="68"/>
  <c r="AF128" i="68"/>
  <c r="N178" i="68"/>
  <c r="AF178" i="68"/>
  <c r="J49" i="83"/>
  <c r="L49" i="83" s="1"/>
  <c r="M49" i="83" s="1"/>
  <c r="P43" i="66"/>
  <c r="K161" i="66"/>
  <c r="O16" i="68"/>
  <c r="AF16" i="68"/>
  <c r="R99" i="68"/>
  <c r="AF99" i="68"/>
  <c r="R108" i="68"/>
  <c r="AF108" i="68"/>
  <c r="R117" i="68"/>
  <c r="AF117" i="68"/>
  <c r="O8" i="68"/>
  <c r="AF8" i="68"/>
  <c r="O13" i="68"/>
  <c r="AF13" i="68"/>
  <c r="O59" i="68"/>
  <c r="AF59" i="68"/>
  <c r="O87" i="68"/>
  <c r="AF87" i="68"/>
  <c r="R96" i="68"/>
  <c r="AF96" i="68"/>
  <c r="R104" i="68"/>
  <c r="AF104" i="68"/>
  <c r="R109" i="68"/>
  <c r="AF109" i="68"/>
  <c r="R113" i="68"/>
  <c r="AF113" i="68"/>
  <c r="AF179" i="68"/>
  <c r="N179" i="68"/>
  <c r="P41" i="66"/>
  <c r="P40" i="66" s="1"/>
  <c r="L49" i="66"/>
  <c r="O54" i="66"/>
  <c r="M40" i="84"/>
  <c r="J45" i="84"/>
  <c r="J50" i="84"/>
  <c r="L50" i="84" s="1"/>
  <c r="M202" i="80"/>
  <c r="O9" i="68"/>
  <c r="AF9" i="68"/>
  <c r="O14" i="68"/>
  <c r="AF14" i="68"/>
  <c r="O19" i="68"/>
  <c r="AF19" i="68"/>
  <c r="U58" i="68"/>
  <c r="Y58" i="68"/>
  <c r="R97" i="68"/>
  <c r="AF97" i="68"/>
  <c r="R101" i="68"/>
  <c r="AF101" i="68"/>
  <c r="R110" i="68"/>
  <c r="AF110" i="68"/>
  <c r="R114" i="68"/>
  <c r="R112" i="68" s="1"/>
  <c r="AF114" i="68"/>
  <c r="R118" i="68"/>
  <c r="AF118" i="68"/>
  <c r="R120" i="68"/>
  <c r="AF120" i="68"/>
  <c r="R122" i="68"/>
  <c r="AF122" i="68"/>
  <c r="R124" i="68"/>
  <c r="AF124" i="68"/>
  <c r="R126" i="68"/>
  <c r="AF126" i="68"/>
  <c r="L137" i="68"/>
  <c r="L134" i="68" s="1"/>
  <c r="L131" i="68" s="1"/>
  <c r="AF137" i="68"/>
  <c r="N149" i="68"/>
  <c r="AF149" i="68"/>
  <c r="AF176" i="68"/>
  <c r="Q229" i="68"/>
  <c r="Q225" i="68" s="1"/>
  <c r="Q211" i="68" s="1"/>
  <c r="AF229" i="68"/>
  <c r="S242" i="68"/>
  <c r="AF242" i="68"/>
  <c r="Q71" i="66"/>
  <c r="P138" i="66"/>
  <c r="R175" i="78"/>
  <c r="S147" i="66" s="1"/>
  <c r="S149" i="66"/>
  <c r="X175" i="78"/>
  <c r="Y147" i="66" s="1"/>
  <c r="Y149" i="66"/>
  <c r="X157" i="66"/>
  <c r="L175" i="66"/>
  <c r="K203" i="66"/>
  <c r="X162" i="83"/>
  <c r="V149" i="66"/>
  <c r="J53" i="84"/>
  <c r="O5" i="82"/>
  <c r="S5" i="82"/>
  <c r="W5" i="82"/>
  <c r="O228" i="82"/>
  <c r="O227" i="82" s="1"/>
  <c r="S228" i="82"/>
  <c r="S227" i="82" s="1"/>
  <c r="W228" i="82"/>
  <c r="W227" i="82" s="1"/>
  <c r="O10" i="68"/>
  <c r="AF10" i="68"/>
  <c r="O15" i="68"/>
  <c r="AF15" i="68"/>
  <c r="O20" i="68"/>
  <c r="AF20" i="68"/>
  <c r="O85" i="68"/>
  <c r="O83" i="68" s="1"/>
  <c r="O58" i="68" s="1"/>
  <c r="AF85" i="68"/>
  <c r="R98" i="68"/>
  <c r="AF98" i="68"/>
  <c r="R102" i="68"/>
  <c r="AF102" i="68"/>
  <c r="R111" i="68"/>
  <c r="AF111" i="68"/>
  <c r="R115" i="68"/>
  <c r="AF115" i="68"/>
  <c r="L138" i="68"/>
  <c r="AF138" i="68"/>
  <c r="N150" i="68"/>
  <c r="N147" i="68" s="1"/>
  <c r="AF150" i="68"/>
  <c r="T138" i="66"/>
  <c r="S175" i="78"/>
  <c r="T147" i="66" s="1"/>
  <c r="T149" i="66"/>
  <c r="L157" i="66"/>
  <c r="R90" i="80"/>
  <c r="R100" i="80"/>
  <c r="L109" i="79"/>
  <c r="K107" i="66"/>
  <c r="J203" i="80"/>
  <c r="K158" i="66" s="1"/>
  <c r="V158" i="66"/>
  <c r="V90" i="80"/>
  <c r="L41" i="78"/>
  <c r="J40" i="78"/>
  <c r="Z5" i="83"/>
  <c r="V5" i="83"/>
  <c r="W58" i="68"/>
  <c r="O175" i="68"/>
  <c r="U175" i="68"/>
  <c r="Y175" i="68"/>
  <c r="AC175" i="68"/>
  <c r="L79" i="66"/>
  <c r="M82" i="79"/>
  <c r="M81" i="79" s="1"/>
  <c r="M80" i="66"/>
  <c r="Z5" i="79"/>
  <c r="AD5" i="79"/>
  <c r="L53" i="84"/>
  <c r="AA58" i="68"/>
  <c r="R58" i="68"/>
  <c r="P58" i="68"/>
  <c r="Z58" i="68"/>
  <c r="M58" i="68"/>
  <c r="P5" i="78"/>
  <c r="K55" i="66"/>
  <c r="M85" i="80"/>
  <c r="N85" i="80"/>
  <c r="N62" i="80"/>
  <c r="K12" i="68"/>
  <c r="AE58" i="68"/>
  <c r="S71" i="78"/>
  <c r="T50" i="66" s="1"/>
  <c r="L164" i="66"/>
  <c r="Q175" i="66"/>
  <c r="U175" i="66"/>
  <c r="Y175" i="66"/>
  <c r="K178" i="66"/>
  <c r="K182" i="66"/>
  <c r="L186" i="66"/>
  <c r="L200" i="66"/>
  <c r="S44" i="66"/>
  <c r="L181" i="78"/>
  <c r="J182" i="78"/>
  <c r="L182" i="78" s="1"/>
  <c r="N25" i="66"/>
  <c r="X62" i="80"/>
  <c r="X61" i="80" s="1"/>
  <c r="T135" i="66"/>
  <c r="Q74" i="83"/>
  <c r="K70" i="79"/>
  <c r="L70" i="66" s="1"/>
  <c r="T62" i="80"/>
  <c r="T61" i="80" s="1"/>
  <c r="L227" i="66"/>
  <c r="K230" i="66"/>
  <c r="J201" i="81"/>
  <c r="L201" i="81" s="1"/>
  <c r="J28" i="78"/>
  <c r="L28" i="78" s="1"/>
  <c r="L82" i="78"/>
  <c r="K57" i="66"/>
  <c r="R74" i="83"/>
  <c r="Z74" i="83"/>
  <c r="N5" i="82"/>
  <c r="L81" i="78"/>
  <c r="K56" i="66"/>
  <c r="U62" i="80"/>
  <c r="T41" i="66" s="1"/>
  <c r="T40" i="66" s="1"/>
  <c r="AD58" i="68"/>
  <c r="R49" i="66"/>
  <c r="AC58" i="68"/>
  <c r="Q138" i="66"/>
  <c r="X49" i="66"/>
  <c r="K116" i="66"/>
  <c r="K168" i="66"/>
  <c r="M241" i="83"/>
  <c r="M240" i="83" s="1"/>
  <c r="I10" i="39" s="1"/>
  <c r="U241" i="83"/>
  <c r="U240" i="83" s="1"/>
  <c r="Z147" i="79"/>
  <c r="L211" i="68"/>
  <c r="H4" i="39" s="1"/>
  <c r="K77" i="66"/>
  <c r="L117" i="66"/>
  <c r="R241" i="83"/>
  <c r="R240" i="83" s="1"/>
  <c r="T164" i="66"/>
  <c r="R5" i="82"/>
  <c r="V5" i="82"/>
  <c r="K5" i="79"/>
  <c r="L120" i="79"/>
  <c r="N120" i="79"/>
  <c r="Y138" i="66"/>
  <c r="T49" i="66"/>
  <c r="L66" i="66"/>
  <c r="K172" i="66"/>
  <c r="N197" i="66"/>
  <c r="Q241" i="83"/>
  <c r="Q240" i="83" s="1"/>
  <c r="Y241" i="83"/>
  <c r="Y240" i="83" s="1"/>
  <c r="J75" i="79"/>
  <c r="L75" i="79" s="1"/>
  <c r="R75" i="79" s="1"/>
  <c r="K251" i="68"/>
  <c r="V71" i="66"/>
  <c r="K148" i="66"/>
  <c r="V95" i="66"/>
  <c r="J119" i="82"/>
  <c r="L119" i="82" s="1"/>
  <c r="L11" i="78"/>
  <c r="K11" i="66"/>
  <c r="L30" i="78"/>
  <c r="M30" i="66" s="1"/>
  <c r="K30" i="66"/>
  <c r="S147" i="79"/>
  <c r="N135" i="66" s="1"/>
  <c r="N138" i="66"/>
  <c r="AA147" i="79"/>
  <c r="V135" i="66" s="1"/>
  <c r="V138" i="66"/>
  <c r="L89" i="78"/>
  <c r="M64" i="66" s="1"/>
  <c r="K64" i="66"/>
  <c r="N73" i="66"/>
  <c r="R138" i="66"/>
  <c r="U33" i="66"/>
  <c r="S39" i="78"/>
  <c r="T37" i="66" s="1"/>
  <c r="T38" i="66"/>
  <c r="L53" i="78"/>
  <c r="L56" i="78"/>
  <c r="K47" i="66"/>
  <c r="L108" i="78"/>
  <c r="M83" i="66" s="1"/>
  <c r="K83" i="66"/>
  <c r="L111" i="78"/>
  <c r="K86" i="66"/>
  <c r="K90" i="66"/>
  <c r="L119" i="78"/>
  <c r="M94" i="66" s="1"/>
  <c r="K94" i="66"/>
  <c r="L122" i="78"/>
  <c r="K97" i="66"/>
  <c r="L126" i="78"/>
  <c r="M101" i="66" s="1"/>
  <c r="K101" i="66"/>
  <c r="L130" i="78"/>
  <c r="M105" i="66" s="1"/>
  <c r="K105" i="66"/>
  <c r="L133" i="78"/>
  <c r="M108" i="66" s="1"/>
  <c r="K108" i="66"/>
  <c r="L137" i="78"/>
  <c r="M112" i="66" s="1"/>
  <c r="K112" i="66"/>
  <c r="L144" i="78"/>
  <c r="M119" i="66" s="1"/>
  <c r="K119" i="66"/>
  <c r="L147" i="78"/>
  <c r="M122" i="66" s="1"/>
  <c r="K122" i="66"/>
  <c r="L151" i="78"/>
  <c r="M126" i="66" s="1"/>
  <c r="K126" i="66"/>
  <c r="L155" i="78"/>
  <c r="M130" i="66" s="1"/>
  <c r="K130" i="66"/>
  <c r="L159" i="78"/>
  <c r="K134" i="66"/>
  <c r="L162" i="78"/>
  <c r="M137" i="66" s="1"/>
  <c r="K137" i="66"/>
  <c r="L166" i="78"/>
  <c r="K141" i="66"/>
  <c r="L170" i="78"/>
  <c r="M145" i="66" s="1"/>
  <c r="K145" i="66"/>
  <c r="K175" i="78"/>
  <c r="L196" i="78"/>
  <c r="K167" i="66"/>
  <c r="L200" i="78"/>
  <c r="M171" i="66" s="1"/>
  <c r="K171" i="66"/>
  <c r="L218" i="78"/>
  <c r="K189" i="66"/>
  <c r="L222" i="78"/>
  <c r="K193" i="66"/>
  <c r="L197" i="66"/>
  <c r="L236" i="78"/>
  <c r="K207" i="66"/>
  <c r="L240" i="78"/>
  <c r="M211" i="66" s="1"/>
  <c r="K211" i="66"/>
  <c r="L247" i="78"/>
  <c r="M218" i="66" s="1"/>
  <c r="K218" i="66"/>
  <c r="L251" i="78"/>
  <c r="M222" i="66" s="1"/>
  <c r="K222" i="66"/>
  <c r="L231" i="66"/>
  <c r="L263" i="78"/>
  <c r="M234" i="66" s="1"/>
  <c r="K234" i="66"/>
  <c r="L267" i="78"/>
  <c r="M238" i="66" s="1"/>
  <c r="K238" i="66"/>
  <c r="L271" i="78"/>
  <c r="M242" i="66" s="1"/>
  <c r="K242" i="66"/>
  <c r="L274" i="78"/>
  <c r="K245" i="66"/>
  <c r="L277" i="78"/>
  <c r="K248" i="66"/>
  <c r="L281" i="78"/>
  <c r="K252" i="66"/>
  <c r="L15" i="78"/>
  <c r="M15" i="66" s="1"/>
  <c r="K15" i="66"/>
  <c r="L19" i="78"/>
  <c r="M19" i="66" s="1"/>
  <c r="K19" i="66"/>
  <c r="L98" i="78"/>
  <c r="L85" i="78"/>
  <c r="K60" i="66"/>
  <c r="L140" i="68"/>
  <c r="W45" i="66"/>
  <c r="O71" i="66"/>
  <c r="S71" i="66"/>
  <c r="Q71" i="78"/>
  <c r="R50" i="66" s="1"/>
  <c r="R52" i="66"/>
  <c r="U71" i="78"/>
  <c r="V50" i="66" s="1"/>
  <c r="V52" i="66"/>
  <c r="L12" i="78"/>
  <c r="M12" i="66" s="1"/>
  <c r="K12" i="66"/>
  <c r="L16" i="78"/>
  <c r="M16" i="66" s="1"/>
  <c r="K16" i="66"/>
  <c r="K21" i="66"/>
  <c r="L86" i="78"/>
  <c r="M61" i="66" s="1"/>
  <c r="K61" i="66"/>
  <c r="L105" i="78"/>
  <c r="L95" i="66"/>
  <c r="L123" i="78"/>
  <c r="M98" i="66" s="1"/>
  <c r="K98" i="66"/>
  <c r="L134" i="78"/>
  <c r="M109" i="66" s="1"/>
  <c r="K109" i="66"/>
  <c r="L120" i="66"/>
  <c r="K208" i="66"/>
  <c r="L244" i="78"/>
  <c r="K215" i="66"/>
  <c r="L252" i="78"/>
  <c r="K223" i="66"/>
  <c r="V231" i="66"/>
  <c r="K235" i="66"/>
  <c r="L272" i="78"/>
  <c r="M243" i="66" s="1"/>
  <c r="K243" i="66"/>
  <c r="K253" i="66"/>
  <c r="T5" i="82"/>
  <c r="Q62" i="80"/>
  <c r="Q61" i="80" s="1"/>
  <c r="N35" i="66"/>
  <c r="L14" i="78"/>
  <c r="L18" i="78"/>
  <c r="M18" i="66" s="1"/>
  <c r="K18" i="66"/>
  <c r="L23" i="78"/>
  <c r="K23" i="66"/>
  <c r="L27" i="78"/>
  <c r="M27" i="66" s="1"/>
  <c r="K27" i="66"/>
  <c r="K29" i="66"/>
  <c r="K36" i="66"/>
  <c r="L55" i="78"/>
  <c r="N49" i="66"/>
  <c r="N71" i="78"/>
  <c r="O50" i="66" s="1"/>
  <c r="K71" i="78"/>
  <c r="L50" i="66" s="1"/>
  <c r="L52" i="66"/>
  <c r="L83" i="78"/>
  <c r="L88" i="78"/>
  <c r="M63" i="66" s="1"/>
  <c r="K63" i="66"/>
  <c r="L94" i="78"/>
  <c r="M69" i="66" s="1"/>
  <c r="K69" i="66"/>
  <c r="K72" i="66"/>
  <c r="L76" i="66"/>
  <c r="L107" i="78"/>
  <c r="K82" i="66"/>
  <c r="L110" i="78"/>
  <c r="K85" i="66"/>
  <c r="L114" i="78"/>
  <c r="M89" i="66" s="1"/>
  <c r="K89" i="66"/>
  <c r="L118" i="78"/>
  <c r="K93" i="66"/>
  <c r="L121" i="78"/>
  <c r="K96" i="66"/>
  <c r="L125" i="78"/>
  <c r="M100" i="66" s="1"/>
  <c r="K100" i="66"/>
  <c r="L129" i="78"/>
  <c r="M104" i="66" s="1"/>
  <c r="K104" i="66"/>
  <c r="L136" i="78"/>
  <c r="M111" i="66" s="1"/>
  <c r="K111" i="66"/>
  <c r="L140" i="78"/>
  <c r="M115" i="66" s="1"/>
  <c r="K115" i="66"/>
  <c r="L143" i="78"/>
  <c r="K118" i="66"/>
  <c r="L146" i="78"/>
  <c r="K121" i="66"/>
  <c r="L150" i="78"/>
  <c r="M125" i="66" s="1"/>
  <c r="K125" i="66"/>
  <c r="L154" i="78"/>
  <c r="M129" i="66" s="1"/>
  <c r="K129" i="66"/>
  <c r="L158" i="78"/>
  <c r="M133" i="66" s="1"/>
  <c r="K133" i="66"/>
  <c r="L161" i="78"/>
  <c r="K136" i="66"/>
  <c r="L165" i="78"/>
  <c r="K140" i="66"/>
  <c r="L169" i="78"/>
  <c r="M144" i="66" s="1"/>
  <c r="K144" i="66"/>
  <c r="L192" i="78"/>
  <c r="K163" i="66"/>
  <c r="K166" i="66"/>
  <c r="L199" i="78"/>
  <c r="K170" i="66"/>
  <c r="L203" i="78"/>
  <c r="M174" i="66" s="1"/>
  <c r="K174" i="66"/>
  <c r="K177" i="66"/>
  <c r="L210" i="78"/>
  <c r="K181" i="66"/>
  <c r="K185" i="66"/>
  <c r="K188" i="66"/>
  <c r="K192" i="66"/>
  <c r="L225" i="78"/>
  <c r="M196" i="66" s="1"/>
  <c r="K196" i="66"/>
  <c r="K199" i="66"/>
  <c r="K202" i="66"/>
  <c r="L235" i="78"/>
  <c r="K206" i="66"/>
  <c r="L239" i="78"/>
  <c r="M210" i="66" s="1"/>
  <c r="K210" i="66"/>
  <c r="L214" i="66"/>
  <c r="K217" i="66"/>
  <c r="L250" i="78"/>
  <c r="K221" i="66"/>
  <c r="K233" i="66"/>
  <c r="L266" i="78"/>
  <c r="K237" i="66"/>
  <c r="L270" i="78"/>
  <c r="M241" i="66" s="1"/>
  <c r="K241" i="66"/>
  <c r="N247" i="66"/>
  <c r="K251" i="66"/>
  <c r="P44" i="66"/>
  <c r="T44" i="66"/>
  <c r="X44" i="66"/>
  <c r="K22" i="66"/>
  <c r="O40" i="82"/>
  <c r="O32" i="82" s="1"/>
  <c r="S40" i="82"/>
  <c r="S32" i="82" s="1"/>
  <c r="W40" i="82"/>
  <c r="J249" i="82"/>
  <c r="L249" i="82" s="1"/>
  <c r="S62" i="80"/>
  <c r="S61" i="80" s="1"/>
  <c r="K147" i="79"/>
  <c r="L135" i="66" s="1"/>
  <c r="L138" i="66"/>
  <c r="L45" i="66"/>
  <c r="L90" i="78"/>
  <c r="M65" i="66" s="1"/>
  <c r="K65" i="66"/>
  <c r="L92" i="78"/>
  <c r="K67" i="66"/>
  <c r="L99" i="78"/>
  <c r="K74" i="66"/>
  <c r="L84" i="66"/>
  <c r="K87" i="66"/>
  <c r="L116" i="78"/>
  <c r="M91" i="66" s="1"/>
  <c r="K91" i="66"/>
  <c r="K102" i="66"/>
  <c r="L148" i="78"/>
  <c r="M123" i="66" s="1"/>
  <c r="K123" i="66"/>
  <c r="L152" i="78"/>
  <c r="M127" i="66" s="1"/>
  <c r="K127" i="66"/>
  <c r="L156" i="78"/>
  <c r="M131" i="66" s="1"/>
  <c r="K131" i="66"/>
  <c r="L163" i="78"/>
  <c r="L167" i="78"/>
  <c r="K142" i="66"/>
  <c r="L208" i="78"/>
  <c r="K179" i="66"/>
  <c r="L212" i="78"/>
  <c r="K183" i="66"/>
  <c r="K190" i="66"/>
  <c r="K194" i="66"/>
  <c r="L233" i="78"/>
  <c r="K204" i="66"/>
  <c r="L241" i="78"/>
  <c r="K212" i="66"/>
  <c r="K219" i="66"/>
  <c r="L257" i="78"/>
  <c r="K228" i="66"/>
  <c r="L268" i="78"/>
  <c r="K239" i="66"/>
  <c r="K246" i="66"/>
  <c r="K249" i="66"/>
  <c r="N5" i="79"/>
  <c r="AB185" i="68"/>
  <c r="L9" i="78"/>
  <c r="L17" i="78"/>
  <c r="K17" i="66"/>
  <c r="L22" i="78"/>
  <c r="L22" i="66"/>
  <c r="L26" i="78"/>
  <c r="K26" i="66"/>
  <c r="L45" i="78"/>
  <c r="K39" i="66"/>
  <c r="K42" i="66"/>
  <c r="L72" i="78"/>
  <c r="K51" i="66"/>
  <c r="L87" i="78"/>
  <c r="M62" i="66" s="1"/>
  <c r="K62" i="66"/>
  <c r="J91" i="78"/>
  <c r="L93" i="78"/>
  <c r="K68" i="66"/>
  <c r="O70" i="66"/>
  <c r="R84" i="78"/>
  <c r="V84" i="78"/>
  <c r="L96" i="78"/>
  <c r="J101" i="78"/>
  <c r="P76" i="66"/>
  <c r="T76" i="66"/>
  <c r="X76" i="66"/>
  <c r="L103" i="78"/>
  <c r="K78" i="66"/>
  <c r="L106" i="78"/>
  <c r="K81" i="66"/>
  <c r="N84" i="66"/>
  <c r="R84" i="66"/>
  <c r="V84" i="66"/>
  <c r="L113" i="78"/>
  <c r="M88" i="66" s="1"/>
  <c r="K88" i="66"/>
  <c r="L117" i="78"/>
  <c r="M92" i="66" s="1"/>
  <c r="K92" i="66"/>
  <c r="L124" i="78"/>
  <c r="M99" i="66" s="1"/>
  <c r="K99" i="66"/>
  <c r="L128" i="78"/>
  <c r="M103" i="66" s="1"/>
  <c r="K103" i="66"/>
  <c r="K110" i="66"/>
  <c r="L139" i="78"/>
  <c r="L149" i="78"/>
  <c r="K124" i="66"/>
  <c r="L153" i="78"/>
  <c r="M128" i="66" s="1"/>
  <c r="K128" i="66"/>
  <c r="L157" i="78"/>
  <c r="M132" i="66" s="1"/>
  <c r="K132" i="66"/>
  <c r="L164" i="78"/>
  <c r="M139" i="66" s="1"/>
  <c r="K139" i="66"/>
  <c r="L168" i="78"/>
  <c r="M143" i="66" s="1"/>
  <c r="K143" i="66"/>
  <c r="L178" i="78"/>
  <c r="L194" i="78"/>
  <c r="K165" i="66"/>
  <c r="L198" i="78"/>
  <c r="K169" i="66"/>
  <c r="L202" i="78"/>
  <c r="M173" i="66" s="1"/>
  <c r="K173" i="66"/>
  <c r="L205" i="78"/>
  <c r="K176" i="66"/>
  <c r="L209" i="78"/>
  <c r="M180" i="66" s="1"/>
  <c r="K180" i="66"/>
  <c r="L213" i="78"/>
  <c r="K184" i="66"/>
  <c r="L216" i="78"/>
  <c r="K187" i="66"/>
  <c r="L220" i="78"/>
  <c r="M191" i="66" s="1"/>
  <c r="K191" i="66"/>
  <c r="L224" i="78"/>
  <c r="M195" i="66" s="1"/>
  <c r="K195" i="66"/>
  <c r="O197" i="66"/>
  <c r="S197" i="66"/>
  <c r="W197" i="66"/>
  <c r="L227" i="78"/>
  <c r="K198" i="66"/>
  <c r="L230" i="78"/>
  <c r="K201" i="66"/>
  <c r="L234" i="78"/>
  <c r="K205" i="66"/>
  <c r="L238" i="78"/>
  <c r="M209" i="66" s="1"/>
  <c r="K209" i="66"/>
  <c r="L242" i="78"/>
  <c r="K213" i="66"/>
  <c r="K216" i="66"/>
  <c r="L249" i="78"/>
  <c r="M220" i="66" s="1"/>
  <c r="K220" i="66"/>
  <c r="L253" i="78"/>
  <c r="K224" i="66"/>
  <c r="L258" i="78"/>
  <c r="K229" i="66"/>
  <c r="L261" i="78"/>
  <c r="K232" i="66"/>
  <c r="L265" i="78"/>
  <c r="K236" i="66"/>
  <c r="L269" i="78"/>
  <c r="M240" i="66" s="1"/>
  <c r="K240" i="66"/>
  <c r="L244" i="66"/>
  <c r="L247" i="66"/>
  <c r="L279" i="78"/>
  <c r="K250" i="66"/>
  <c r="K254" i="66"/>
  <c r="K43" i="66"/>
  <c r="K62" i="80"/>
  <c r="K61" i="80" s="1"/>
  <c r="V62" i="80"/>
  <c r="U41" i="66" s="1"/>
  <c r="Z62" i="80"/>
  <c r="Y41" i="66" s="1"/>
  <c r="L158" i="80"/>
  <c r="T5" i="79"/>
  <c r="AB5" i="79"/>
  <c r="L161" i="81"/>
  <c r="M159" i="66" s="1"/>
  <c r="K159" i="66"/>
  <c r="L162" i="81"/>
  <c r="M160" i="66" s="1"/>
  <c r="K160" i="66"/>
  <c r="K90" i="80"/>
  <c r="L94" i="80"/>
  <c r="L96" i="80"/>
  <c r="L34" i="78"/>
  <c r="K34" i="66"/>
  <c r="L8" i="83"/>
  <c r="L166" i="79"/>
  <c r="K151" i="66"/>
  <c r="L168" i="79"/>
  <c r="L170" i="79"/>
  <c r="K155" i="66"/>
  <c r="L167" i="79"/>
  <c r="K152" i="66"/>
  <c r="L169" i="79"/>
  <c r="K154" i="66"/>
  <c r="L171" i="79"/>
  <c r="L35" i="81"/>
  <c r="L163" i="81"/>
  <c r="M161" i="66" s="1"/>
  <c r="K61" i="68"/>
  <c r="AF61" i="68" s="1"/>
  <c r="U5" i="68"/>
  <c r="Y5" i="68"/>
  <c r="P139" i="68"/>
  <c r="P129" i="68" s="1"/>
  <c r="V139" i="68"/>
  <c r="P175" i="68"/>
  <c r="V175" i="68"/>
  <c r="Z175" i="68"/>
  <c r="AD175" i="68"/>
  <c r="O185" i="68"/>
  <c r="U185" i="68"/>
  <c r="Y185" i="68"/>
  <c r="AC185" i="68"/>
  <c r="V58" i="68"/>
  <c r="Y62" i="80"/>
  <c r="X41" i="66" s="1"/>
  <c r="R62" i="80"/>
  <c r="P62" i="80"/>
  <c r="O41" i="66" s="1"/>
  <c r="O62" i="80"/>
  <c r="N41" i="66" s="1"/>
  <c r="U24" i="78"/>
  <c r="N84" i="78"/>
  <c r="J57" i="83"/>
  <c r="L57" i="83" s="1"/>
  <c r="U40" i="82"/>
  <c r="U32" i="82" s="1"/>
  <c r="Q61" i="82"/>
  <c r="N5" i="81"/>
  <c r="T5" i="81"/>
  <c r="T32" i="81"/>
  <c r="W226" i="84"/>
  <c r="W225" i="84" s="1"/>
  <c r="O71" i="78"/>
  <c r="P50" i="66" s="1"/>
  <c r="J120" i="78"/>
  <c r="L120" i="78" s="1"/>
  <c r="Q84" i="66"/>
  <c r="U84" i="66"/>
  <c r="Y84" i="66"/>
  <c r="Y117" i="66"/>
  <c r="X197" i="66"/>
  <c r="P231" i="66"/>
  <c r="Q41" i="66"/>
  <c r="T105" i="68"/>
  <c r="T94" i="68" s="1"/>
  <c r="AD185" i="68"/>
  <c r="P211" i="68"/>
  <c r="V211" i="68"/>
  <c r="AD211" i="68"/>
  <c r="N202" i="80"/>
  <c r="L187" i="81"/>
  <c r="L22" i="81"/>
  <c r="U214" i="66"/>
  <c r="L73" i="82"/>
  <c r="J72" i="82"/>
  <c r="L72" i="82" s="1"/>
  <c r="L5" i="68"/>
  <c r="K21" i="68"/>
  <c r="U105" i="68"/>
  <c r="U94" i="68" s="1"/>
  <c r="R211" i="68"/>
  <c r="W211" i="68"/>
  <c r="AA211" i="68"/>
  <c r="AE211" i="68"/>
  <c r="M238" i="68"/>
  <c r="M237" i="68" s="1"/>
  <c r="I6" i="39" s="1"/>
  <c r="W238" i="68"/>
  <c r="W237" i="68" s="1"/>
  <c r="AE238" i="68"/>
  <c r="AE237" i="68" s="1"/>
  <c r="P49" i="66"/>
  <c r="S200" i="66"/>
  <c r="R5" i="81"/>
  <c r="V5" i="81"/>
  <c r="L283" i="78"/>
  <c r="M254" i="66" s="1"/>
  <c r="L185" i="68"/>
  <c r="V185" i="68"/>
  <c r="O211" i="68"/>
  <c r="U211" i="68"/>
  <c r="Y211" i="68"/>
  <c r="AC211" i="68"/>
  <c r="P66" i="66"/>
  <c r="T66" i="66"/>
  <c r="X66" i="66"/>
  <c r="X79" i="66"/>
  <c r="T228" i="82"/>
  <c r="T227" i="82" s="1"/>
  <c r="W149" i="66"/>
  <c r="P164" i="66"/>
  <c r="X164" i="66"/>
  <c r="O175" i="66"/>
  <c r="S175" i="66"/>
  <c r="W175" i="66"/>
  <c r="P214" i="66"/>
  <c r="R255" i="78"/>
  <c r="R254" i="78" s="1"/>
  <c r="N5" i="83"/>
  <c r="K42" i="83"/>
  <c r="K32" i="83" s="1"/>
  <c r="N74" i="83"/>
  <c r="V74" i="83"/>
  <c r="N200" i="66"/>
  <c r="Q5" i="81"/>
  <c r="U5" i="81"/>
  <c r="K40" i="82"/>
  <c r="K32" i="82" s="1"/>
  <c r="T40" i="82"/>
  <c r="T32" i="82" s="1"/>
  <c r="M70" i="79"/>
  <c r="M59" i="79" s="1"/>
  <c r="Z70" i="79"/>
  <c r="Z59" i="79" s="1"/>
  <c r="J81" i="79"/>
  <c r="R35" i="66"/>
  <c r="P120" i="66"/>
  <c r="T120" i="66"/>
  <c r="X120" i="66"/>
  <c r="O200" i="66"/>
  <c r="W200" i="66"/>
  <c r="U227" i="66"/>
  <c r="Q5" i="83"/>
  <c r="Y5" i="83"/>
  <c r="Y76" i="66"/>
  <c r="O79" i="66"/>
  <c r="W79" i="66"/>
  <c r="N186" i="66"/>
  <c r="M40" i="82"/>
  <c r="M32" i="82" s="1"/>
  <c r="Q40" i="82"/>
  <c r="Q32" i="82" s="1"/>
  <c r="N100" i="80"/>
  <c r="P84" i="66"/>
  <c r="X84" i="66"/>
  <c r="S188" i="80"/>
  <c r="R147" i="66" s="1"/>
  <c r="M84" i="78"/>
  <c r="N79" i="66"/>
  <c r="R79" i="66"/>
  <c r="V79" i="66"/>
  <c r="P197" i="66"/>
  <c r="T197" i="66"/>
  <c r="N44" i="66"/>
  <c r="R44" i="66"/>
  <c r="U49" i="66"/>
  <c r="Y49" i="66"/>
  <c r="J242" i="83"/>
  <c r="L242" i="83" s="1"/>
  <c r="O5" i="84"/>
  <c r="S5" i="84"/>
  <c r="P162" i="84"/>
  <c r="T162" i="84"/>
  <c r="X162" i="84"/>
  <c r="N231" i="66"/>
  <c r="R231" i="66"/>
  <c r="P230" i="81"/>
  <c r="P229" i="81" s="1"/>
  <c r="P61" i="82"/>
  <c r="T61" i="82"/>
  <c r="X61" i="82"/>
  <c r="O61" i="82"/>
  <c r="S61" i="82"/>
  <c r="W61" i="82"/>
  <c r="O90" i="80"/>
  <c r="S90" i="80"/>
  <c r="M5" i="79"/>
  <c r="U5" i="79"/>
  <c r="AC5" i="79"/>
  <c r="P108" i="79"/>
  <c r="P77" i="79" s="1"/>
  <c r="O149" i="66"/>
  <c r="N175" i="78"/>
  <c r="L245" i="78"/>
  <c r="L115" i="80"/>
  <c r="K108" i="79"/>
  <c r="L106" i="66" s="1"/>
  <c r="J242" i="79"/>
  <c r="L242" i="79" s="1"/>
  <c r="L244" i="79"/>
  <c r="P185" i="68"/>
  <c r="Z185" i="68"/>
  <c r="S38" i="66"/>
  <c r="S46" i="78"/>
  <c r="S52" i="66"/>
  <c r="R71" i="78"/>
  <c r="S50" i="66" s="1"/>
  <c r="L141" i="78"/>
  <c r="M116" i="66" s="1"/>
  <c r="K191" i="78"/>
  <c r="W191" i="78"/>
  <c r="X186" i="66"/>
  <c r="L264" i="78"/>
  <c r="M235" i="66" s="1"/>
  <c r="L280" i="78"/>
  <c r="M251" i="66" s="1"/>
  <c r="L40" i="83"/>
  <c r="J39" i="83"/>
  <c r="L39" i="83" s="1"/>
  <c r="S63" i="83"/>
  <c r="Q54" i="66"/>
  <c r="L70" i="83"/>
  <c r="L214" i="83"/>
  <c r="K166" i="81"/>
  <c r="K77" i="82"/>
  <c r="T77" i="82"/>
  <c r="L231" i="82"/>
  <c r="J229" i="82"/>
  <c r="L229" i="82" s="1"/>
  <c r="L232" i="78"/>
  <c r="M203" i="66" s="1"/>
  <c r="V244" i="66"/>
  <c r="T108" i="79"/>
  <c r="T77" i="79" s="1"/>
  <c r="O113" i="66"/>
  <c r="K134" i="68"/>
  <c r="AF134" i="68" s="1"/>
  <c r="AE5" i="68"/>
  <c r="T131" i="68"/>
  <c r="K131" i="68" s="1"/>
  <c r="M185" i="68"/>
  <c r="R185" i="68"/>
  <c r="W185" i="68"/>
  <c r="AA185" i="68"/>
  <c r="AE185" i="68"/>
  <c r="P54" i="66"/>
  <c r="V33" i="78"/>
  <c r="W33" i="66" s="1"/>
  <c r="W35" i="66"/>
  <c r="O39" i="78"/>
  <c r="P37" i="66" s="1"/>
  <c r="P38" i="66"/>
  <c r="V66" i="66"/>
  <c r="T84" i="66"/>
  <c r="L115" i="78"/>
  <c r="M90" i="66" s="1"/>
  <c r="L135" i="78"/>
  <c r="L211" i="78"/>
  <c r="M182" i="66" s="1"/>
  <c r="L221" i="78"/>
  <c r="M192" i="66" s="1"/>
  <c r="K255" i="78"/>
  <c r="Q227" i="66"/>
  <c r="Y227" i="66"/>
  <c r="T244" i="66"/>
  <c r="X244" i="66"/>
  <c r="S247" i="66"/>
  <c r="N230" i="81"/>
  <c r="N229" i="81" s="1"/>
  <c r="R230" i="81"/>
  <c r="R229" i="81" s="1"/>
  <c r="V230" i="81"/>
  <c r="V229" i="81" s="1"/>
  <c r="Y214" i="66"/>
  <c r="L36" i="79"/>
  <c r="O105" i="68"/>
  <c r="O94" i="68" s="1"/>
  <c r="V105" i="68"/>
  <c r="V94" i="68" s="1"/>
  <c r="Z105" i="68"/>
  <c r="Z94" i="68" s="1"/>
  <c r="AD105" i="68"/>
  <c r="AD94" i="68" s="1"/>
  <c r="O139" i="68"/>
  <c r="O129" i="68" s="1"/>
  <c r="U139" i="68"/>
  <c r="U129" i="68" s="1"/>
  <c r="AD139" i="68"/>
  <c r="AD129" i="68" s="1"/>
  <c r="K177" i="68"/>
  <c r="AF177" i="68" s="1"/>
  <c r="T7" i="66"/>
  <c r="S6" i="78"/>
  <c r="S5" i="78" s="1"/>
  <c r="W6" i="78"/>
  <c r="W5" i="78" s="1"/>
  <c r="Q46" i="78"/>
  <c r="L52" i="78"/>
  <c r="N117" i="66"/>
  <c r="R117" i="66"/>
  <c r="V117" i="66"/>
  <c r="L182" i="83"/>
  <c r="P175" i="66"/>
  <c r="V177" i="83"/>
  <c r="Q177" i="83"/>
  <c r="U177" i="83"/>
  <c r="L239" i="83"/>
  <c r="R164" i="82"/>
  <c r="L179" i="82"/>
  <c r="N33" i="66"/>
  <c r="Q84" i="78"/>
  <c r="U84" i="78"/>
  <c r="W76" i="66"/>
  <c r="R247" i="66"/>
  <c r="V247" i="66"/>
  <c r="P5" i="83"/>
  <c r="R66" i="66"/>
  <c r="Y74" i="83"/>
  <c r="K90" i="83"/>
  <c r="M59" i="84"/>
  <c r="P79" i="66"/>
  <c r="T79" i="66"/>
  <c r="P59" i="81"/>
  <c r="X59" i="81"/>
  <c r="O241" i="79"/>
  <c r="O240" i="79" s="1"/>
  <c r="T10" i="39" s="1"/>
  <c r="X211" i="68"/>
  <c r="AB211" i="68"/>
  <c r="Y45" i="66"/>
  <c r="M71" i="78"/>
  <c r="N50" i="66" s="1"/>
  <c r="O84" i="66"/>
  <c r="S84" i="66"/>
  <c r="W84" i="66"/>
  <c r="T100" i="78"/>
  <c r="R200" i="66"/>
  <c r="V200" i="66"/>
  <c r="K5" i="83"/>
  <c r="W42" i="83"/>
  <c r="W32" i="83" s="1"/>
  <c r="J94" i="83"/>
  <c r="L94" i="83" s="1"/>
  <c r="J212" i="83"/>
  <c r="L212" i="83" s="1"/>
  <c r="T214" i="66"/>
  <c r="S241" i="83"/>
  <c r="S240" i="83" s="1"/>
  <c r="O241" i="83"/>
  <c r="O240" i="83" s="1"/>
  <c r="P10" i="39" s="1"/>
  <c r="W241" i="83"/>
  <c r="W240" i="83" s="1"/>
  <c r="AA241" i="83"/>
  <c r="AA240" i="83" s="1"/>
  <c r="T70" i="66"/>
  <c r="L68" i="81"/>
  <c r="J66" i="81"/>
  <c r="L66" i="81" s="1"/>
  <c r="P166" i="81"/>
  <c r="T166" i="81"/>
  <c r="X166" i="81"/>
  <c r="K5" i="82"/>
  <c r="P5" i="82"/>
  <c r="X5" i="82"/>
  <c r="J188" i="82"/>
  <c r="L188" i="82" s="1"/>
  <c r="Y90" i="80"/>
  <c r="K241" i="83"/>
  <c r="K240" i="83" s="1"/>
  <c r="X5" i="81"/>
  <c r="X32" i="81"/>
  <c r="Q75" i="81"/>
  <c r="O230" i="81"/>
  <c r="O229" i="81" s="1"/>
  <c r="S230" i="81"/>
  <c r="S229" i="81" s="1"/>
  <c r="W230" i="81"/>
  <c r="W229" i="81" s="1"/>
  <c r="N40" i="82"/>
  <c r="N32" i="82" s="1"/>
  <c r="R40" i="82"/>
  <c r="R32" i="82" s="1"/>
  <c r="V40" i="82"/>
  <c r="V32" i="82" s="1"/>
  <c r="M61" i="82"/>
  <c r="U61" i="82"/>
  <c r="K228" i="82"/>
  <c r="K227" i="82" s="1"/>
  <c r="P228" i="82"/>
  <c r="P227" i="82" s="1"/>
  <c r="X228" i="82"/>
  <c r="X227" i="82" s="1"/>
  <c r="Y7" i="80"/>
  <c r="X7" i="66" s="1"/>
  <c r="P59" i="79"/>
  <c r="V59" i="79"/>
  <c r="Y59" i="79"/>
  <c r="W70" i="79"/>
  <c r="W59" i="79" s="1"/>
  <c r="Z108" i="79"/>
  <c r="U106" i="66" s="1"/>
  <c r="AD108" i="79"/>
  <c r="Y106" i="66" s="1"/>
  <c r="T231" i="66"/>
  <c r="X231" i="66"/>
  <c r="Q66" i="66"/>
  <c r="U75" i="84"/>
  <c r="O226" i="84"/>
  <c r="O225" i="84" s="1"/>
  <c r="S226" i="84"/>
  <c r="S225" i="84" s="1"/>
  <c r="O5" i="81"/>
  <c r="S5" i="81"/>
  <c r="W5" i="81"/>
  <c r="J117" i="81"/>
  <c r="L117" i="81" s="1"/>
  <c r="J33" i="82"/>
  <c r="L33" i="82" s="1"/>
  <c r="J81" i="82"/>
  <c r="L81" i="82" s="1"/>
  <c r="M228" i="82"/>
  <c r="M227" i="82" s="1"/>
  <c r="Q228" i="82"/>
  <c r="Q227" i="82" s="1"/>
  <c r="U228" i="82"/>
  <c r="U227" i="82" s="1"/>
  <c r="V100" i="80"/>
  <c r="Z100" i="80"/>
  <c r="T188" i="80"/>
  <c r="O5" i="79"/>
  <c r="S5" i="79"/>
  <c r="W5" i="79"/>
  <c r="AA5" i="79"/>
  <c r="J6" i="79"/>
  <c r="L6" i="79" s="1"/>
  <c r="K32" i="79"/>
  <c r="U70" i="79"/>
  <c r="U59" i="79" s="1"/>
  <c r="X108" i="79"/>
  <c r="S106" i="66" s="1"/>
  <c r="AB108" i="79"/>
  <c r="W106" i="66" s="1"/>
  <c r="X24" i="78"/>
  <c r="Z5" i="68"/>
  <c r="N105" i="68"/>
  <c r="N94" i="68" s="1"/>
  <c r="Y105" i="68"/>
  <c r="Y94" i="68" s="1"/>
  <c r="N139" i="68"/>
  <c r="X139" i="68"/>
  <c r="X129" i="68" s="1"/>
  <c r="L143" i="68"/>
  <c r="K199" i="68"/>
  <c r="AF199" i="68" s="1"/>
  <c r="O238" i="68"/>
  <c r="O237" i="68" s="1"/>
  <c r="K6" i="39" s="1"/>
  <c r="U238" i="68"/>
  <c r="U237" i="68" s="1"/>
  <c r="X105" i="68"/>
  <c r="X94" i="68" s="1"/>
  <c r="R139" i="68"/>
  <c r="R129" i="68" s="1"/>
  <c r="W139" i="68"/>
  <c r="W129" i="68" s="1"/>
  <c r="R175" i="68"/>
  <c r="W175" i="68"/>
  <c r="AA175" i="68"/>
  <c r="AE175" i="68"/>
  <c r="L238" i="68"/>
  <c r="L237" i="68" s="1"/>
  <c r="H6" i="39" s="1"/>
  <c r="P238" i="68"/>
  <c r="P237" i="68" s="1"/>
  <c r="L6" i="39" s="1"/>
  <c r="K244" i="68"/>
  <c r="AF244" i="68" s="1"/>
  <c r="Z238" i="68"/>
  <c r="Z237" i="68" s="1"/>
  <c r="AD238" i="68"/>
  <c r="AD237" i="68" s="1"/>
  <c r="L66" i="78"/>
  <c r="J65" i="78"/>
  <c r="L65" i="78" s="1"/>
  <c r="X5" i="78"/>
  <c r="Q214" i="66"/>
  <c r="Q59" i="84"/>
  <c r="U59" i="84"/>
  <c r="P226" i="84"/>
  <c r="P225" i="84" s="1"/>
  <c r="X226" i="84"/>
  <c r="X225" i="84" s="1"/>
  <c r="M226" i="84"/>
  <c r="M225" i="84" s="1"/>
  <c r="Q226" i="84"/>
  <c r="Q225" i="84" s="1"/>
  <c r="Q117" i="66"/>
  <c r="U117" i="66"/>
  <c r="U135" i="66"/>
  <c r="V175" i="66"/>
  <c r="O231" i="66"/>
  <c r="W231" i="66"/>
  <c r="Q90" i="80"/>
  <c r="P53" i="66" s="1"/>
  <c r="R277" i="80"/>
  <c r="R276" i="80" s="1"/>
  <c r="Z277" i="80"/>
  <c r="Z276" i="80" s="1"/>
  <c r="Q76" i="66"/>
  <c r="O120" i="66"/>
  <c r="N157" i="66"/>
  <c r="R157" i="66"/>
  <c r="X200" i="66"/>
  <c r="J74" i="80"/>
  <c r="L74" i="80" s="1"/>
  <c r="Q277" i="80"/>
  <c r="Q276" i="80" s="1"/>
  <c r="R37" i="66"/>
  <c r="N164" i="66"/>
  <c r="R164" i="66"/>
  <c r="V164" i="66"/>
  <c r="X247" i="66"/>
  <c r="P5" i="68"/>
  <c r="N5" i="68"/>
  <c r="V5" i="68"/>
  <c r="W5" i="68"/>
  <c r="K36" i="68"/>
  <c r="AF36" i="68" s="1"/>
  <c r="Z129" i="68"/>
  <c r="N28" i="66"/>
  <c r="M24" i="78"/>
  <c r="X33" i="78"/>
  <c r="Y33" i="66" s="1"/>
  <c r="Y35" i="66"/>
  <c r="O46" i="78"/>
  <c r="X100" i="78"/>
  <c r="J45" i="81"/>
  <c r="L45" i="81" s="1"/>
  <c r="L46" i="81"/>
  <c r="L167" i="81"/>
  <c r="L256" i="81"/>
  <c r="J251" i="81"/>
  <c r="L251" i="81" s="1"/>
  <c r="J52" i="82"/>
  <c r="L53" i="82"/>
  <c r="R228" i="82"/>
  <c r="R227" i="82" s="1"/>
  <c r="S231" i="66"/>
  <c r="X37" i="80"/>
  <c r="X36" i="80" s="1"/>
  <c r="X7" i="80"/>
  <c r="W7" i="66" s="1"/>
  <c r="U90" i="80"/>
  <c r="T53" i="66" s="1"/>
  <c r="T58" i="66"/>
  <c r="L264" i="80"/>
  <c r="P105" i="68"/>
  <c r="P94" i="68" s="1"/>
  <c r="AA105" i="68"/>
  <c r="AA94" i="68" s="1"/>
  <c r="U38" i="66"/>
  <c r="P58" i="66"/>
  <c r="S138" i="66"/>
  <c r="P71" i="78"/>
  <c r="Q50" i="66" s="1"/>
  <c r="Q52" i="66"/>
  <c r="K100" i="78"/>
  <c r="P95" i="66"/>
  <c r="T95" i="66"/>
  <c r="L207" i="78"/>
  <c r="M178" i="66" s="1"/>
  <c r="O191" i="78"/>
  <c r="P186" i="66"/>
  <c r="S191" i="78"/>
  <c r="T186" i="66"/>
  <c r="S255" i="78"/>
  <c r="S254" i="78" s="1"/>
  <c r="L184" i="83"/>
  <c r="J179" i="83"/>
  <c r="L179" i="83" s="1"/>
  <c r="L204" i="83"/>
  <c r="L138" i="81"/>
  <c r="J135" i="81"/>
  <c r="L135" i="81" s="1"/>
  <c r="AA6" i="68"/>
  <c r="AA5" i="68" s="1"/>
  <c r="K25" i="68"/>
  <c r="AF25" i="68" s="1"/>
  <c r="M105" i="68"/>
  <c r="M94" i="68" s="1"/>
  <c r="AB105" i="68"/>
  <c r="AB94" i="68" s="1"/>
  <c r="K181" i="68"/>
  <c r="AF181" i="68" s="1"/>
  <c r="X238" i="68"/>
  <c r="X237" i="68" s="1"/>
  <c r="AB238" i="68"/>
  <c r="AB237" i="68" s="1"/>
  <c r="K262" i="68"/>
  <c r="AF262" i="68" s="1"/>
  <c r="N149" i="66"/>
  <c r="X71" i="78"/>
  <c r="Y50" i="66" s="1"/>
  <c r="U66" i="66"/>
  <c r="Y66" i="66"/>
  <c r="N191" i="78"/>
  <c r="V191" i="78"/>
  <c r="N175" i="66"/>
  <c r="R175" i="66"/>
  <c r="Y20" i="66"/>
  <c r="Y135" i="66"/>
  <c r="L216" i="83"/>
  <c r="J215" i="83"/>
  <c r="L215" i="83" s="1"/>
  <c r="L251" i="83"/>
  <c r="V32" i="84"/>
  <c r="K75" i="81"/>
  <c r="U76" i="66"/>
  <c r="R5" i="68"/>
  <c r="L80" i="78"/>
  <c r="J177" i="78"/>
  <c r="L179" i="78"/>
  <c r="Z177" i="83"/>
  <c r="X175" i="66"/>
  <c r="L188" i="81"/>
  <c r="P37" i="80"/>
  <c r="P7" i="80"/>
  <c r="P6" i="80" s="1"/>
  <c r="P5" i="80" s="1"/>
  <c r="T37" i="80"/>
  <c r="T36" i="80" s="1"/>
  <c r="S24" i="66" s="1"/>
  <c r="L256" i="80"/>
  <c r="L105" i="68"/>
  <c r="L94" i="68" s="1"/>
  <c r="W105" i="68"/>
  <c r="W94" i="68" s="1"/>
  <c r="AE105" i="68"/>
  <c r="AE94" i="68" s="1"/>
  <c r="T139" i="68"/>
  <c r="O138" i="66"/>
  <c r="W138" i="66"/>
  <c r="T175" i="66"/>
  <c r="T6" i="68"/>
  <c r="X5" i="68"/>
  <c r="AC5" i="68"/>
  <c r="K72" i="68"/>
  <c r="AF72" i="68" s="1"/>
  <c r="K83" i="68"/>
  <c r="AF83" i="68" s="1"/>
  <c r="U120" i="66"/>
  <c r="T227" i="66"/>
  <c r="O6" i="78"/>
  <c r="O5" i="78" s="1"/>
  <c r="P7" i="66"/>
  <c r="X39" i="78"/>
  <c r="Y37" i="66" s="1"/>
  <c r="N39" i="78"/>
  <c r="O37" i="66" s="1"/>
  <c r="O38" i="66"/>
  <c r="W39" i="78"/>
  <c r="X37" i="66" s="1"/>
  <c r="X38" i="66"/>
  <c r="W46" i="78"/>
  <c r="J49" i="78"/>
  <c r="L49" i="78" s="1"/>
  <c r="R47" i="78"/>
  <c r="R46" i="78" s="1"/>
  <c r="O45" i="66"/>
  <c r="S45" i="66"/>
  <c r="K76" i="78"/>
  <c r="L102" i="78"/>
  <c r="S79" i="66"/>
  <c r="V100" i="78"/>
  <c r="J145" i="78"/>
  <c r="Q135" i="66"/>
  <c r="L187" i="78"/>
  <c r="J186" i="78"/>
  <c r="L186" i="78" s="1"/>
  <c r="T5" i="83"/>
  <c r="T24" i="83"/>
  <c r="S49" i="66"/>
  <c r="T117" i="66"/>
  <c r="L165" i="83"/>
  <c r="J164" i="83"/>
  <c r="L164" i="83" s="1"/>
  <c r="L222" i="83"/>
  <c r="S59" i="84"/>
  <c r="O59" i="84"/>
  <c r="W59" i="84"/>
  <c r="J76" i="81"/>
  <c r="L76" i="81" s="1"/>
  <c r="L77" i="81"/>
  <c r="L98" i="82"/>
  <c r="P90" i="80"/>
  <c r="T90" i="80"/>
  <c r="V115" i="79"/>
  <c r="J117" i="79"/>
  <c r="L117" i="79" s="1"/>
  <c r="N117" i="79" s="1"/>
  <c r="AD177" i="79"/>
  <c r="W241" i="79"/>
  <c r="W240" i="79" s="1"/>
  <c r="K127" i="68"/>
  <c r="R238" i="68"/>
  <c r="R237" i="68" s="1"/>
  <c r="X6" i="39" s="1"/>
  <c r="AA238" i="68"/>
  <c r="AA237" i="68" s="1"/>
  <c r="K20" i="78"/>
  <c r="L20" i="66" s="1"/>
  <c r="L5" i="66" s="1"/>
  <c r="V37" i="66"/>
  <c r="W50" i="66"/>
  <c r="N66" i="66"/>
  <c r="S84" i="78"/>
  <c r="N95" i="66"/>
  <c r="R95" i="66"/>
  <c r="Q186" i="66"/>
  <c r="U186" i="66"/>
  <c r="Y186" i="66"/>
  <c r="X214" i="66"/>
  <c r="S5" i="83"/>
  <c r="AA5" i="83"/>
  <c r="M74" i="83"/>
  <c r="U74" i="83"/>
  <c r="O177" i="83"/>
  <c r="S177" i="83"/>
  <c r="W177" i="83"/>
  <c r="AA177" i="83"/>
  <c r="J262" i="83"/>
  <c r="L262" i="83" s="1"/>
  <c r="L263" i="83"/>
  <c r="P5" i="84"/>
  <c r="X5" i="84"/>
  <c r="N32" i="84"/>
  <c r="M75" i="84"/>
  <c r="U162" i="84"/>
  <c r="T226" i="84"/>
  <c r="T225" i="84" s="1"/>
  <c r="M5" i="81"/>
  <c r="W32" i="81"/>
  <c r="R75" i="81"/>
  <c r="M75" i="81"/>
  <c r="U75" i="81"/>
  <c r="L208" i="81"/>
  <c r="J204" i="81"/>
  <c r="L204" i="81" s="1"/>
  <c r="AD5" i="68"/>
  <c r="AA139" i="68"/>
  <c r="AA129" i="68" s="1"/>
  <c r="AE139" i="68"/>
  <c r="AE129" i="68" s="1"/>
  <c r="K168" i="68"/>
  <c r="AF168" i="68" s="1"/>
  <c r="Z211" i="68"/>
  <c r="K259" i="68"/>
  <c r="AF259" i="68" s="1"/>
  <c r="J7" i="78"/>
  <c r="Q5" i="78"/>
  <c r="S37" i="66"/>
  <c r="W37" i="66"/>
  <c r="N45" i="66"/>
  <c r="R45" i="66"/>
  <c r="V45" i="66"/>
  <c r="X50" i="66"/>
  <c r="K84" i="78"/>
  <c r="X84" i="78"/>
  <c r="Q100" i="78"/>
  <c r="S120" i="66"/>
  <c r="J160" i="78"/>
  <c r="P135" i="66"/>
  <c r="X135" i="66"/>
  <c r="M191" i="78"/>
  <c r="Q191" i="78"/>
  <c r="U191" i="78"/>
  <c r="L259" i="78"/>
  <c r="M230" i="66" s="1"/>
  <c r="J256" i="78"/>
  <c r="O255" i="78"/>
  <c r="O254" i="78" s="1"/>
  <c r="W255" i="78"/>
  <c r="W254" i="78" s="1"/>
  <c r="N90" i="83"/>
  <c r="V90" i="83"/>
  <c r="O162" i="83"/>
  <c r="M5" i="84"/>
  <c r="Q5" i="84"/>
  <c r="U5" i="84"/>
  <c r="P32" i="81"/>
  <c r="J6" i="82"/>
  <c r="L6" i="82" s="1"/>
  <c r="P100" i="78"/>
  <c r="R186" i="66"/>
  <c r="V186" i="66"/>
  <c r="T200" i="66"/>
  <c r="N255" i="78"/>
  <c r="N254" i="78" s="1"/>
  <c r="V255" i="78"/>
  <c r="V254" i="78" s="1"/>
  <c r="P255" i="78"/>
  <c r="P254" i="78" s="1"/>
  <c r="T255" i="78"/>
  <c r="T254" i="78" s="1"/>
  <c r="X255" i="78"/>
  <c r="X254" i="78" s="1"/>
  <c r="Q244" i="66"/>
  <c r="U244" i="66"/>
  <c r="Y244" i="66"/>
  <c r="T247" i="66"/>
  <c r="J6" i="83"/>
  <c r="Q42" i="83"/>
  <c r="Q32" i="83" s="1"/>
  <c r="U42" i="83"/>
  <c r="U32" i="83" s="1"/>
  <c r="Y42" i="83"/>
  <c r="Y32" i="83" s="1"/>
  <c r="Q90" i="83"/>
  <c r="Y90" i="83"/>
  <c r="J172" i="83"/>
  <c r="L172" i="83" s="1"/>
  <c r="J190" i="83"/>
  <c r="L190" i="83" s="1"/>
  <c r="M177" i="83"/>
  <c r="I9" i="39" s="1"/>
  <c r="Y177" i="83"/>
  <c r="P59" i="84"/>
  <c r="T59" i="84"/>
  <c r="N75" i="84"/>
  <c r="N32" i="81"/>
  <c r="R32" i="81"/>
  <c r="J157" i="81"/>
  <c r="L158" i="81"/>
  <c r="O166" i="81"/>
  <c r="S166" i="81"/>
  <c r="W166" i="81"/>
  <c r="M5" i="82"/>
  <c r="Q5" i="82"/>
  <c r="U5" i="82"/>
  <c r="J37" i="82"/>
  <c r="L37" i="82" s="1"/>
  <c r="L38" i="82"/>
  <c r="L56" i="82"/>
  <c r="J55" i="82"/>
  <c r="L55" i="82" s="1"/>
  <c r="J151" i="82"/>
  <c r="L151" i="82" s="1"/>
  <c r="L152" i="82"/>
  <c r="J84" i="80"/>
  <c r="L84" i="80" s="1"/>
  <c r="N84" i="80" s="1"/>
  <c r="N82" i="80" s="1"/>
  <c r="R82" i="80"/>
  <c r="Q49" i="66" s="1"/>
  <c r="J24" i="79"/>
  <c r="L24" i="79" s="1"/>
  <c r="L26" i="79"/>
  <c r="P191" i="78"/>
  <c r="T191" i="78"/>
  <c r="X191" i="78"/>
  <c r="R197" i="66"/>
  <c r="V197" i="66"/>
  <c r="O214" i="66"/>
  <c r="S214" i="66"/>
  <c r="W214" i="66"/>
  <c r="P227" i="66"/>
  <c r="X227" i="66"/>
  <c r="M255" i="78"/>
  <c r="M254" i="78" s="1"/>
  <c r="Q255" i="78"/>
  <c r="Q254" i="78" s="1"/>
  <c r="U255" i="78"/>
  <c r="U254" i="78" s="1"/>
  <c r="M5" i="83"/>
  <c r="V42" i="83"/>
  <c r="O90" i="83"/>
  <c r="S90" i="83"/>
  <c r="W90" i="83"/>
  <c r="AA90" i="83"/>
  <c r="R90" i="83"/>
  <c r="X95" i="66"/>
  <c r="N177" i="83"/>
  <c r="R177" i="83"/>
  <c r="J246" i="83"/>
  <c r="L246" i="83" s="1"/>
  <c r="N241" i="83"/>
  <c r="N240" i="83" s="1"/>
  <c r="O10" i="39" s="1"/>
  <c r="P244" i="66"/>
  <c r="V241" i="83"/>
  <c r="V240" i="83" s="1"/>
  <c r="Z241" i="83"/>
  <c r="Z240" i="83" s="1"/>
  <c r="W5" i="84"/>
  <c r="P32" i="84"/>
  <c r="T32" i="84"/>
  <c r="X32" i="84"/>
  <c r="M32" i="84"/>
  <c r="Q32" i="84"/>
  <c r="U32" i="84"/>
  <c r="N59" i="84"/>
  <c r="R59" i="84"/>
  <c r="V59" i="84"/>
  <c r="Q120" i="66"/>
  <c r="Y120" i="66"/>
  <c r="V75" i="84"/>
  <c r="M162" i="84"/>
  <c r="Q162" i="84"/>
  <c r="K5" i="81"/>
  <c r="J50" i="81"/>
  <c r="L50" i="81" s="1"/>
  <c r="N59" i="81"/>
  <c r="R59" i="81"/>
  <c r="V59" i="81"/>
  <c r="L96" i="81"/>
  <c r="J95" i="81"/>
  <c r="L95" i="81" s="1"/>
  <c r="K230" i="81"/>
  <c r="K229" i="81" s="1"/>
  <c r="R244" i="66"/>
  <c r="N164" i="82"/>
  <c r="V164" i="82"/>
  <c r="O164" i="82"/>
  <c r="S164" i="82"/>
  <c r="W164" i="82"/>
  <c r="U164" i="82"/>
  <c r="N228" i="82"/>
  <c r="N227" i="82" s="1"/>
  <c r="J246" i="82"/>
  <c r="L246" i="82" s="1"/>
  <c r="L247" i="82"/>
  <c r="J97" i="79"/>
  <c r="L97" i="79" s="1"/>
  <c r="L98" i="79"/>
  <c r="N75" i="81"/>
  <c r="V75" i="81"/>
  <c r="J47" i="82"/>
  <c r="L47" i="82" s="1"/>
  <c r="K61" i="82"/>
  <c r="L118" i="80"/>
  <c r="J117" i="80"/>
  <c r="L117" i="80" s="1"/>
  <c r="J122" i="79"/>
  <c r="J121" i="79" s="1"/>
  <c r="K114" i="66" s="1"/>
  <c r="U121" i="79"/>
  <c r="M32" i="81"/>
  <c r="Q32" i="81"/>
  <c r="O75" i="81"/>
  <c r="S75" i="81"/>
  <c r="W75" i="81"/>
  <c r="J179" i="81"/>
  <c r="L179" i="81" s="1"/>
  <c r="P40" i="82"/>
  <c r="P32" i="82" s="1"/>
  <c r="L49" i="82"/>
  <c r="N77" i="82"/>
  <c r="R77" i="82"/>
  <c r="V77" i="82"/>
  <c r="L82" i="82"/>
  <c r="L251" i="82"/>
  <c r="M100" i="80"/>
  <c r="Q100" i="80"/>
  <c r="U100" i="80"/>
  <c r="Y100" i="80"/>
  <c r="K277" i="80"/>
  <c r="K276" i="80" s="1"/>
  <c r="M277" i="80"/>
  <c r="M276" i="80" s="1"/>
  <c r="R10" i="39" s="1"/>
  <c r="U277" i="80"/>
  <c r="U276" i="80" s="1"/>
  <c r="S70" i="66"/>
  <c r="P77" i="82"/>
  <c r="X77" i="82"/>
  <c r="J97" i="82"/>
  <c r="L97" i="82" s="1"/>
  <c r="S77" i="82"/>
  <c r="J199" i="82"/>
  <c r="L199" i="82" s="1"/>
  <c r="K36" i="80"/>
  <c r="L24" i="66" s="1"/>
  <c r="P188" i="80"/>
  <c r="M213" i="80"/>
  <c r="X32" i="79"/>
  <c r="N59" i="79"/>
  <c r="T59" i="79"/>
  <c r="Y108" i="79"/>
  <c r="Y77" i="79" s="1"/>
  <c r="AC108" i="79"/>
  <c r="AC77" i="79" s="1"/>
  <c r="M164" i="82"/>
  <c r="Q164" i="82"/>
  <c r="V228" i="82"/>
  <c r="V227" i="82" s="1"/>
  <c r="P100" i="80"/>
  <c r="T100" i="80"/>
  <c r="X100" i="80"/>
  <c r="O100" i="80"/>
  <c r="S100" i="80"/>
  <c r="W100" i="80"/>
  <c r="M116" i="80"/>
  <c r="Q116" i="80"/>
  <c r="U116" i="80"/>
  <c r="Y116" i="80"/>
  <c r="N277" i="80"/>
  <c r="N276" i="80" s="1"/>
  <c r="S10" i="39" s="1"/>
  <c r="V277" i="80"/>
  <c r="V276" i="80" s="1"/>
  <c r="J20" i="79"/>
  <c r="L20" i="79" s="1"/>
  <c r="O59" i="79"/>
  <c r="J150" i="79"/>
  <c r="L150" i="79" s="1"/>
  <c r="S241" i="79"/>
  <c r="S240" i="79" s="1"/>
  <c r="AA241" i="79"/>
  <c r="AA240" i="79" s="1"/>
  <c r="P241" i="79"/>
  <c r="P240" i="79" s="1"/>
  <c r="U10" i="39" s="1"/>
  <c r="T241" i="79"/>
  <c r="T240" i="79" s="1"/>
  <c r="X241" i="79"/>
  <c r="AB241" i="79"/>
  <c r="AB240" i="79" s="1"/>
  <c r="M241" i="79"/>
  <c r="M240" i="79" s="1"/>
  <c r="K10" i="39" s="1"/>
  <c r="X77" i="78"/>
  <c r="X76" i="78" s="1"/>
  <c r="J57" i="78"/>
  <c r="J54" i="78"/>
  <c r="Z90" i="80"/>
  <c r="J54" i="80"/>
  <c r="L54" i="80" s="1"/>
  <c r="AC70" i="79"/>
  <c r="AC59" i="79" s="1"/>
  <c r="X71" i="66"/>
  <c r="P5" i="79"/>
  <c r="X5" i="79"/>
  <c r="L21" i="79"/>
  <c r="J33" i="79"/>
  <c r="L33" i="79" s="1"/>
  <c r="J37" i="79"/>
  <c r="L37" i="79" s="1"/>
  <c r="U32" i="79"/>
  <c r="AC32" i="79"/>
  <c r="J53" i="79"/>
  <c r="L53" i="79" s="1"/>
  <c r="O32" i="79"/>
  <c r="J66" i="79"/>
  <c r="L66" i="79" s="1"/>
  <c r="L83" i="79"/>
  <c r="M108" i="79"/>
  <c r="M77" i="79" s="1"/>
  <c r="J132" i="79"/>
  <c r="L132" i="79" s="1"/>
  <c r="L151" i="79"/>
  <c r="O151" i="79" s="1"/>
  <c r="O150" i="79" s="1"/>
  <c r="O147" i="79" s="1"/>
  <c r="J164" i="79"/>
  <c r="J162" i="79" s="1"/>
  <c r="J172" i="79"/>
  <c r="L172" i="79" s="1"/>
  <c r="R177" i="79"/>
  <c r="W9" i="39" s="1"/>
  <c r="V177" i="79"/>
  <c r="Z177" i="79"/>
  <c r="N241" i="79"/>
  <c r="N240" i="79" s="1"/>
  <c r="L10" i="39" s="1"/>
  <c r="R241" i="79"/>
  <c r="R240" i="79" s="1"/>
  <c r="W10" i="39" s="1"/>
  <c r="V241" i="79"/>
  <c r="Z241" i="79"/>
  <c r="Z240" i="79" s="1"/>
  <c r="AD241" i="79"/>
  <c r="AD240" i="79" s="1"/>
  <c r="J246" i="79"/>
  <c r="L246" i="79" s="1"/>
  <c r="U241" i="79"/>
  <c r="Y241" i="79"/>
  <c r="AC241" i="79"/>
  <c r="AC240" i="79" s="1"/>
  <c r="Y5" i="79"/>
  <c r="N32" i="79"/>
  <c r="R32" i="79"/>
  <c r="V32" i="79"/>
  <c r="Z32" i="79"/>
  <c r="AD32" i="79"/>
  <c r="X59" i="79"/>
  <c r="J72" i="79"/>
  <c r="L72" i="79" s="1"/>
  <c r="R72" i="79" s="1"/>
  <c r="R71" i="79" s="1"/>
  <c r="AB70" i="79"/>
  <c r="AB59" i="79" s="1"/>
  <c r="Q270" i="68"/>
  <c r="S7" i="39"/>
  <c r="P33" i="66"/>
  <c r="N76" i="78"/>
  <c r="O53" i="66" s="1"/>
  <c r="L112" i="78"/>
  <c r="M87" i="66" s="1"/>
  <c r="J193" i="78"/>
  <c r="L195" i="78"/>
  <c r="M166" i="66" s="1"/>
  <c r="L246" i="78"/>
  <c r="M217" i="66" s="1"/>
  <c r="L262" i="78"/>
  <c r="J260" i="78"/>
  <c r="J53" i="83"/>
  <c r="L53" i="83" s="1"/>
  <c r="L54" i="83"/>
  <c r="J60" i="83"/>
  <c r="L60" i="83" s="1"/>
  <c r="L61" i="83"/>
  <c r="L151" i="83"/>
  <c r="J150" i="83"/>
  <c r="L150" i="83" s="1"/>
  <c r="P75" i="84"/>
  <c r="Q79" i="66"/>
  <c r="X75" i="84"/>
  <c r="Y79" i="66"/>
  <c r="R166" i="81"/>
  <c r="S164" i="66"/>
  <c r="N185" i="68"/>
  <c r="X185" i="68"/>
  <c r="T33" i="66"/>
  <c r="Q231" i="66"/>
  <c r="Y231" i="66"/>
  <c r="N24" i="78"/>
  <c r="N6" i="78"/>
  <c r="N5" i="78" s="1"/>
  <c r="J104" i="78"/>
  <c r="L132" i="78"/>
  <c r="J142" i="78"/>
  <c r="O100" i="78"/>
  <c r="P117" i="66"/>
  <c r="W100" i="78"/>
  <c r="L176" i="78"/>
  <c r="L275" i="78"/>
  <c r="J273" i="78"/>
  <c r="L282" i="78"/>
  <c r="M253" i="66" s="1"/>
  <c r="L34" i="83"/>
  <c r="P42" i="83"/>
  <c r="J85" i="83"/>
  <c r="L85" i="83" s="1"/>
  <c r="L86" i="83"/>
  <c r="J149" i="81"/>
  <c r="L149" i="81" s="1"/>
  <c r="L151" i="81"/>
  <c r="L249" i="81"/>
  <c r="J248" i="81"/>
  <c r="L248" i="81" s="1"/>
  <c r="K47" i="68"/>
  <c r="AF47" i="68" s="1"/>
  <c r="K164" i="68"/>
  <c r="AF164" i="68" s="1"/>
  <c r="V129" i="68"/>
  <c r="N211" i="68"/>
  <c r="T211" i="68"/>
  <c r="K215" i="68"/>
  <c r="AF215" i="68" s="1"/>
  <c r="AC238" i="68"/>
  <c r="AC237" i="68" s="1"/>
  <c r="S22" i="66"/>
  <c r="T35" i="66"/>
  <c r="N37" i="66"/>
  <c r="O95" i="66"/>
  <c r="X117" i="66"/>
  <c r="R149" i="66"/>
  <c r="U164" i="66"/>
  <c r="M6" i="78"/>
  <c r="M5" i="78" s="1"/>
  <c r="U37" i="66"/>
  <c r="M46" i="78"/>
  <c r="L51" i="78"/>
  <c r="W77" i="78"/>
  <c r="W76" i="78" s="1"/>
  <c r="X52" i="66"/>
  <c r="O76" i="66"/>
  <c r="N100" i="78"/>
  <c r="R100" i="78"/>
  <c r="S76" i="66"/>
  <c r="J109" i="78"/>
  <c r="J131" i="78"/>
  <c r="L131" i="78" s="1"/>
  <c r="R191" i="78"/>
  <c r="L206" i="78"/>
  <c r="J204" i="78"/>
  <c r="L214" i="78"/>
  <c r="M185" i="66" s="1"/>
  <c r="L228" i="78"/>
  <c r="J226" i="78"/>
  <c r="J243" i="78"/>
  <c r="N244" i="66"/>
  <c r="T42" i="83"/>
  <c r="P90" i="83"/>
  <c r="T90" i="83"/>
  <c r="X90" i="83"/>
  <c r="J91" i="83"/>
  <c r="L92" i="83"/>
  <c r="K177" i="83"/>
  <c r="P247" i="66"/>
  <c r="K32" i="81"/>
  <c r="J20" i="78"/>
  <c r="L21" i="78"/>
  <c r="S54" i="66"/>
  <c r="R76" i="78"/>
  <c r="P84" i="78"/>
  <c r="Q70" i="66"/>
  <c r="T84" i="78"/>
  <c r="J95" i="78"/>
  <c r="L95" i="78" s="1"/>
  <c r="L97" i="78"/>
  <c r="M72" i="66" s="1"/>
  <c r="L127" i="78"/>
  <c r="M102" i="66" s="1"/>
  <c r="U175" i="78"/>
  <c r="J215" i="78"/>
  <c r="L217" i="78"/>
  <c r="J229" i="78"/>
  <c r="L231" i="78"/>
  <c r="L13" i="83"/>
  <c r="Z33" i="83"/>
  <c r="X33" i="66" s="1"/>
  <c r="X35" i="66"/>
  <c r="S42" i="83"/>
  <c r="Q44" i="66"/>
  <c r="T75" i="84"/>
  <c r="U79" i="66"/>
  <c r="N166" i="81"/>
  <c r="O9" i="39" s="1"/>
  <c r="O164" i="66"/>
  <c r="V166" i="81"/>
  <c r="W164" i="66"/>
  <c r="L172" i="81"/>
  <c r="J168" i="81"/>
  <c r="T185" i="68"/>
  <c r="K189" i="68"/>
  <c r="AF189" i="68" s="1"/>
  <c r="M211" i="68"/>
  <c r="V243" i="68"/>
  <c r="V238" i="68" s="1"/>
  <c r="V237" i="68" s="1"/>
  <c r="P35" i="66"/>
  <c r="Y164" i="66"/>
  <c r="U231" i="66"/>
  <c r="W247" i="66"/>
  <c r="S7" i="66"/>
  <c r="R6" i="78"/>
  <c r="R5" i="78" s="1"/>
  <c r="V24" i="78"/>
  <c r="V6" i="78"/>
  <c r="V5" i="78" s="1"/>
  <c r="L29" i="78"/>
  <c r="M29" i="66" s="1"/>
  <c r="P33" i="78"/>
  <c r="Q35" i="66"/>
  <c r="M100" i="78"/>
  <c r="S100" i="78"/>
  <c r="L201" i="78"/>
  <c r="M172" i="66" s="1"/>
  <c r="L223" i="78"/>
  <c r="M194" i="66" s="1"/>
  <c r="L237" i="78"/>
  <c r="M208" i="66" s="1"/>
  <c r="M5" i="68"/>
  <c r="N58" i="68"/>
  <c r="T58" i="68"/>
  <c r="X58" i="68"/>
  <c r="AB58" i="68"/>
  <c r="K95" i="68"/>
  <c r="AF95" i="68" s="1"/>
  <c r="K112" i="68"/>
  <c r="AF112" i="68" s="1"/>
  <c r="K225" i="68"/>
  <c r="AF225" i="68" s="1"/>
  <c r="N238" i="68"/>
  <c r="N237" i="68" s="1"/>
  <c r="J6" i="39" s="1"/>
  <c r="K239" i="68"/>
  <c r="T238" i="68"/>
  <c r="Y238" i="68"/>
  <c r="Y237" i="68" s="1"/>
  <c r="U35" i="66"/>
  <c r="Q37" i="66"/>
  <c r="N38" i="66"/>
  <c r="W38" i="66"/>
  <c r="W52" i="66"/>
  <c r="T54" i="66"/>
  <c r="Q164" i="66"/>
  <c r="K39" i="78"/>
  <c r="L37" i="66" s="1"/>
  <c r="P46" i="78"/>
  <c r="Q45" i="66"/>
  <c r="T46" i="78"/>
  <c r="U45" i="66"/>
  <c r="O84" i="78"/>
  <c r="W84" i="78"/>
  <c r="S95" i="66"/>
  <c r="W95" i="66"/>
  <c r="Q149" i="66"/>
  <c r="P175" i="78"/>
  <c r="T175" i="78"/>
  <c r="U147" i="66" s="1"/>
  <c r="U149" i="66"/>
  <c r="L197" i="78"/>
  <c r="L219" i="78"/>
  <c r="M190" i="66" s="1"/>
  <c r="L248" i="78"/>
  <c r="M219" i="66" s="1"/>
  <c r="L278" i="78"/>
  <c r="J276" i="78"/>
  <c r="W5" i="83"/>
  <c r="P63" i="83"/>
  <c r="N54" i="66"/>
  <c r="T63" i="83"/>
  <c r="R53" i="66" s="1"/>
  <c r="R54" i="66"/>
  <c r="M90" i="83"/>
  <c r="U90" i="83"/>
  <c r="O247" i="66"/>
  <c r="L85" i="81"/>
  <c r="J84" i="81"/>
  <c r="L84" i="81" s="1"/>
  <c r="J218" i="81"/>
  <c r="L218" i="81" s="1"/>
  <c r="L219" i="81"/>
  <c r="L37" i="83"/>
  <c r="O37" i="83" s="1"/>
  <c r="O35" i="83" s="1"/>
  <c r="O33" i="83" s="1"/>
  <c r="J35" i="83"/>
  <c r="L35" i="83" s="1"/>
  <c r="J67" i="83"/>
  <c r="L67" i="83" s="1"/>
  <c r="O67" i="83" s="1"/>
  <c r="O64" i="83" s="1"/>
  <c r="O63" i="83" s="1"/>
  <c r="Z64" i="83"/>
  <c r="Z63" i="83" s="1"/>
  <c r="L261" i="83"/>
  <c r="J259" i="83"/>
  <c r="R32" i="84"/>
  <c r="R75" i="84"/>
  <c r="J20" i="81"/>
  <c r="L20" i="81" s="1"/>
  <c r="L21" i="81"/>
  <c r="L54" i="81"/>
  <c r="J53" i="81"/>
  <c r="L53" i="81" s="1"/>
  <c r="L25" i="82"/>
  <c r="J24" i="82"/>
  <c r="L24" i="82" s="1"/>
  <c r="J177" i="82"/>
  <c r="L177" i="82" s="1"/>
  <c r="L178" i="82"/>
  <c r="L264" i="79"/>
  <c r="J262" i="79"/>
  <c r="L262" i="79" s="1"/>
  <c r="W202" i="80"/>
  <c r="V157" i="66" s="1"/>
  <c r="I15" i="69"/>
  <c r="I18" i="69" s="1"/>
  <c r="I23" i="69" s="1"/>
  <c r="M139" i="68"/>
  <c r="M129" i="68" s="1"/>
  <c r="P45" i="66"/>
  <c r="T45" i="66"/>
  <c r="X45" i="66"/>
  <c r="N65" i="78"/>
  <c r="W49" i="66"/>
  <c r="J73" i="78"/>
  <c r="K52" i="66" s="1"/>
  <c r="U100" i="78"/>
  <c r="L7" i="83"/>
  <c r="O7" i="83" s="1"/>
  <c r="R42" i="83"/>
  <c r="R32" i="83" s="1"/>
  <c r="L65" i="83"/>
  <c r="M65" i="83" s="1"/>
  <c r="M64" i="83" s="1"/>
  <c r="M63" i="83" s="1"/>
  <c r="K74" i="83"/>
  <c r="O74" i="83"/>
  <c r="S74" i="83"/>
  <c r="W74" i="83"/>
  <c r="AA74" i="83"/>
  <c r="Z90" i="83"/>
  <c r="J110" i="83"/>
  <c r="L110" i="83" s="1"/>
  <c r="J132" i="83"/>
  <c r="L132" i="83" s="1"/>
  <c r="L213" i="83"/>
  <c r="Q75" i="84"/>
  <c r="O162" i="84"/>
  <c r="S162" i="84"/>
  <c r="W162" i="84"/>
  <c r="U226" i="84"/>
  <c r="U225" i="84" s="1"/>
  <c r="J6" i="81"/>
  <c r="L52" i="81"/>
  <c r="J79" i="81"/>
  <c r="L81" i="81"/>
  <c r="L110" i="81"/>
  <c r="J106" i="81"/>
  <c r="L106" i="81" s="1"/>
  <c r="L202" i="81"/>
  <c r="T230" i="81"/>
  <c r="T229" i="81" s="1"/>
  <c r="X230" i="81"/>
  <c r="X229" i="81" s="1"/>
  <c r="J235" i="81"/>
  <c r="L235" i="81" s="1"/>
  <c r="L237" i="81"/>
  <c r="L116" i="79"/>
  <c r="N116" i="79" s="1"/>
  <c r="X5" i="83"/>
  <c r="Q15" i="69"/>
  <c r="Q23" i="69" s="1"/>
  <c r="AB5" i="68"/>
  <c r="K147" i="68"/>
  <c r="AF147" i="68" s="1"/>
  <c r="Y129" i="68"/>
  <c r="T175" i="68"/>
  <c r="X175" i="68"/>
  <c r="AB175" i="68"/>
  <c r="P200" i="66"/>
  <c r="T24" i="78"/>
  <c r="P74" i="83"/>
  <c r="T74" i="83"/>
  <c r="X74" i="83"/>
  <c r="J81" i="83"/>
  <c r="L82" i="83"/>
  <c r="J99" i="83"/>
  <c r="L99" i="83" s="1"/>
  <c r="L100" i="83"/>
  <c r="J121" i="83"/>
  <c r="L121" i="83" s="1"/>
  <c r="L122" i="83"/>
  <c r="J135" i="83"/>
  <c r="L135" i="83" s="1"/>
  <c r="L136" i="83"/>
  <c r="L203" i="83"/>
  <c r="J201" i="83"/>
  <c r="L201" i="83" s="1"/>
  <c r="N226" i="84"/>
  <c r="N225" i="84" s="1"/>
  <c r="R226" i="84"/>
  <c r="R225" i="84" s="1"/>
  <c r="V226" i="84"/>
  <c r="V225" i="84" s="1"/>
  <c r="L25" i="81"/>
  <c r="J24" i="81"/>
  <c r="L24" i="81" s="1"/>
  <c r="L36" i="81"/>
  <c r="J33" i="81"/>
  <c r="J37" i="81"/>
  <c r="L37" i="81" s="1"/>
  <c r="L39" i="81"/>
  <c r="L60" i="81"/>
  <c r="M166" i="81"/>
  <c r="Q166" i="81"/>
  <c r="U166" i="81"/>
  <c r="M230" i="81"/>
  <c r="M229" i="81" s="1"/>
  <c r="Q230" i="81"/>
  <c r="Q229" i="81" s="1"/>
  <c r="U230" i="81"/>
  <c r="U229" i="81" s="1"/>
  <c r="L232" i="81"/>
  <c r="J231" i="81"/>
  <c r="J68" i="82"/>
  <c r="L68" i="82" s="1"/>
  <c r="L70" i="82"/>
  <c r="J137" i="82"/>
  <c r="L137" i="82" s="1"/>
  <c r="J19" i="80"/>
  <c r="L19" i="80" s="1"/>
  <c r="L20" i="80"/>
  <c r="M20" i="80" s="1"/>
  <c r="M19" i="80" s="1"/>
  <c r="Q95" i="66"/>
  <c r="U95" i="66"/>
  <c r="Y95" i="66"/>
  <c r="Z42" i="83"/>
  <c r="J50" i="83"/>
  <c r="P177" i="83"/>
  <c r="T177" i="83"/>
  <c r="X177" i="83"/>
  <c r="O32" i="84"/>
  <c r="S32" i="84"/>
  <c r="W32" i="84"/>
  <c r="O75" i="84"/>
  <c r="S75" i="84"/>
  <c r="W75" i="84"/>
  <c r="P75" i="81"/>
  <c r="T75" i="81"/>
  <c r="X75" i="81"/>
  <c r="L126" i="82"/>
  <c r="J122" i="82"/>
  <c r="L122" i="82" s="1"/>
  <c r="J233" i="82"/>
  <c r="L233" i="82" s="1"/>
  <c r="L234" i="82"/>
  <c r="J10" i="80"/>
  <c r="L10" i="80" s="1"/>
  <c r="L11" i="80"/>
  <c r="M11" i="80" s="1"/>
  <c r="M10" i="80" s="1"/>
  <c r="K116" i="80"/>
  <c r="AA42" i="83"/>
  <c r="AA32" i="83" s="1"/>
  <c r="J43" i="83"/>
  <c r="L43" i="83" s="1"/>
  <c r="M43" i="83"/>
  <c r="X42" i="83"/>
  <c r="X32" i="83" s="1"/>
  <c r="L191" i="83"/>
  <c r="J229" i="83"/>
  <c r="L229" i="83" s="1"/>
  <c r="P241" i="83"/>
  <c r="P240" i="83" s="1"/>
  <c r="T241" i="83"/>
  <c r="T240" i="83" s="1"/>
  <c r="X241" i="83"/>
  <c r="X240" i="83" s="1"/>
  <c r="L247" i="83"/>
  <c r="N162" i="84"/>
  <c r="R162" i="84"/>
  <c r="V162" i="84"/>
  <c r="O32" i="81"/>
  <c r="S32" i="81"/>
  <c r="L41" i="81"/>
  <c r="L71" i="81"/>
  <c r="J70" i="81"/>
  <c r="L70" i="81" s="1"/>
  <c r="L121" i="81"/>
  <c r="J120" i="81"/>
  <c r="L120" i="81" s="1"/>
  <c r="L148" i="81"/>
  <c r="L191" i="81"/>
  <c r="J190" i="81"/>
  <c r="L190" i="81" s="1"/>
  <c r="J20" i="82"/>
  <c r="L20" i="82" s="1"/>
  <c r="L21" i="82"/>
  <c r="J86" i="82"/>
  <c r="L86" i="82" s="1"/>
  <c r="O77" i="82"/>
  <c r="W77" i="82"/>
  <c r="J216" i="82"/>
  <c r="L216" i="82" s="1"/>
  <c r="L218" i="82"/>
  <c r="P20" i="66"/>
  <c r="T20" i="66"/>
  <c r="X20" i="66"/>
  <c r="J265" i="80"/>
  <c r="L265" i="80" s="1"/>
  <c r="U32" i="81"/>
  <c r="M77" i="82"/>
  <c r="Q77" i="82"/>
  <c r="U77" i="82"/>
  <c r="L79" i="82"/>
  <c r="J78" i="82"/>
  <c r="L109" i="82"/>
  <c r="J108" i="82"/>
  <c r="L108" i="82" s="1"/>
  <c r="L160" i="82"/>
  <c r="J159" i="82"/>
  <c r="L159" i="82" s="1"/>
  <c r="P164" i="82"/>
  <c r="T164" i="82"/>
  <c r="X164" i="82"/>
  <c r="K164" i="82"/>
  <c r="L203" i="82"/>
  <c r="J202" i="82"/>
  <c r="L202" i="82" s="1"/>
  <c r="J58" i="80"/>
  <c r="L58" i="80" s="1"/>
  <c r="L189" i="80"/>
  <c r="Q157" i="66"/>
  <c r="U157" i="66"/>
  <c r="L250" i="80"/>
  <c r="J248" i="80"/>
  <c r="L248" i="80" s="1"/>
  <c r="T32" i="79"/>
  <c r="AB32" i="79"/>
  <c r="J50" i="79"/>
  <c r="L50" i="79" s="1"/>
  <c r="L51" i="79"/>
  <c r="J78" i="79"/>
  <c r="L80" i="79"/>
  <c r="X240" i="79"/>
  <c r="W32" i="82"/>
  <c r="L44" i="82"/>
  <c r="L167" i="82"/>
  <c r="J166" i="82"/>
  <c r="Y10" i="80"/>
  <c r="X8" i="66" s="1"/>
  <c r="O20" i="66"/>
  <c r="S20" i="66"/>
  <c r="W20" i="66"/>
  <c r="W44" i="66"/>
  <c r="W147" i="66"/>
  <c r="O186" i="66"/>
  <c r="S186" i="66"/>
  <c r="W186" i="66"/>
  <c r="X213" i="80"/>
  <c r="J251" i="80"/>
  <c r="L251" i="80" s="1"/>
  <c r="L253" i="80"/>
  <c r="Y32" i="79"/>
  <c r="S32" i="79"/>
  <c r="AA32" i="79"/>
  <c r="L60" i="79"/>
  <c r="M177" i="79"/>
  <c r="K9" i="39" s="1"/>
  <c r="U177" i="79"/>
  <c r="Y177" i="79"/>
  <c r="AC177" i="79"/>
  <c r="L182" i="79"/>
  <c r="J179" i="79"/>
  <c r="L179" i="79" s="1"/>
  <c r="K177" i="79"/>
  <c r="P177" i="79"/>
  <c r="U9" i="39" s="1"/>
  <c r="T177" i="79"/>
  <c r="X177" i="79"/>
  <c r="X40" i="82"/>
  <c r="X32" i="82" s="1"/>
  <c r="S7" i="80"/>
  <c r="R7" i="66" s="1"/>
  <c r="W7" i="80"/>
  <c r="V7" i="66" s="1"/>
  <c r="Q20" i="66"/>
  <c r="U44" i="66"/>
  <c r="Y44" i="66"/>
  <c r="P116" i="80"/>
  <c r="S117" i="66"/>
  <c r="X116" i="80"/>
  <c r="W120" i="66"/>
  <c r="O135" i="66"/>
  <c r="S135" i="66"/>
  <c r="W135" i="66"/>
  <c r="U213" i="80"/>
  <c r="L257" i="80"/>
  <c r="W227" i="66"/>
  <c r="X277" i="80"/>
  <c r="X276" i="80" s="1"/>
  <c r="W32" i="79"/>
  <c r="S70" i="79"/>
  <c r="S59" i="79" s="1"/>
  <c r="J259" i="79"/>
  <c r="L259" i="79" s="1"/>
  <c r="L261" i="79"/>
  <c r="R20" i="66"/>
  <c r="Y42" i="80"/>
  <c r="X28" i="66" s="1"/>
  <c r="V44" i="66"/>
  <c r="J85" i="80"/>
  <c r="L85" i="80" s="1"/>
  <c r="P157" i="66"/>
  <c r="T157" i="66"/>
  <c r="Y157" i="66"/>
  <c r="L7" i="79"/>
  <c r="M32" i="79"/>
  <c r="J46" i="79"/>
  <c r="J45" i="79" s="1"/>
  <c r="L45" i="79" s="1"/>
  <c r="L67" i="79"/>
  <c r="AD71" i="79"/>
  <c r="L148" i="79"/>
  <c r="K241" i="79"/>
  <c r="K240" i="79" s="1"/>
  <c r="L247" i="79"/>
  <c r="J196" i="80"/>
  <c r="J194" i="80" s="1"/>
  <c r="L194" i="80" s="1"/>
  <c r="N156" i="66"/>
  <c r="J201" i="80"/>
  <c r="Q200" i="66"/>
  <c r="U200" i="66"/>
  <c r="Y200" i="66"/>
  <c r="Y277" i="80"/>
  <c r="Y276" i="80" s="1"/>
  <c r="J295" i="80"/>
  <c r="L295" i="80" s="1"/>
  <c r="L88" i="79"/>
  <c r="J86" i="79"/>
  <c r="L86" i="79" s="1"/>
  <c r="AB177" i="79"/>
  <c r="L231" i="79"/>
  <c r="J229" i="79"/>
  <c r="L229" i="79" s="1"/>
  <c r="N120" i="66"/>
  <c r="R120" i="66"/>
  <c r="V120" i="66"/>
  <c r="R135" i="66"/>
  <c r="O157" i="66"/>
  <c r="S157" i="66"/>
  <c r="W157" i="66"/>
  <c r="Q213" i="80"/>
  <c r="Y213" i="80"/>
  <c r="Q197" i="66"/>
  <c r="U197" i="66"/>
  <c r="Y197" i="66"/>
  <c r="N214" i="66"/>
  <c r="R214" i="66"/>
  <c r="V214" i="66"/>
  <c r="O244" i="66"/>
  <c r="S244" i="66"/>
  <c r="W244" i="66"/>
  <c r="U247" i="66"/>
  <c r="N177" i="79"/>
  <c r="L9" i="39" s="1"/>
  <c r="O108" i="79"/>
  <c r="S108" i="79"/>
  <c r="W108" i="79"/>
  <c r="W77" i="79" s="1"/>
  <c r="AA108" i="79"/>
  <c r="AA77" i="79" s="1"/>
  <c r="O177" i="79"/>
  <c r="T9" i="39" s="1"/>
  <c r="S177" i="79"/>
  <c r="W177" i="79"/>
  <c r="AA177" i="79"/>
  <c r="AC129" i="68"/>
  <c r="L76" i="80"/>
  <c r="N76" i="80" s="1"/>
  <c r="N74" i="80" s="1"/>
  <c r="J190" i="79"/>
  <c r="L190" i="79" s="1"/>
  <c r="J201" i="79"/>
  <c r="L201" i="79" s="1"/>
  <c r="J212" i="79"/>
  <c r="J215" i="79"/>
  <c r="L215" i="79" s="1"/>
  <c r="J129" i="79"/>
  <c r="V32" i="81"/>
  <c r="J171" i="78"/>
  <c r="AC105" i="68"/>
  <c r="AC94" i="68" s="1"/>
  <c r="K116" i="68"/>
  <c r="AF116" i="68" s="1"/>
  <c r="K100" i="68"/>
  <c r="K106" i="68"/>
  <c r="AF106" i="68" s="1"/>
  <c r="R106" i="68"/>
  <c r="AB129" i="68"/>
  <c r="G5" i="39"/>
  <c r="R95" i="68"/>
  <c r="H15" i="69"/>
  <c r="H18" i="69" s="1"/>
  <c r="H23" i="69" s="1"/>
  <c r="R100" i="68"/>
  <c r="V146" i="66"/>
  <c r="L75" i="78"/>
  <c r="T77" i="78"/>
  <c r="U54" i="66" s="1"/>
  <c r="T71" i="78"/>
  <c r="U50" i="66" s="1"/>
  <c r="V46" i="78"/>
  <c r="X46" i="78"/>
  <c r="L68" i="78"/>
  <c r="K46" i="78"/>
  <c r="U46" i="78"/>
  <c r="U32" i="78" s="1"/>
  <c r="V38" i="66"/>
  <c r="K35" i="78"/>
  <c r="L35" i="66" s="1"/>
  <c r="V33" i="66"/>
  <c r="J35" i="78"/>
  <c r="J33" i="78" s="1"/>
  <c r="T5" i="78"/>
  <c r="U5" i="78"/>
  <c r="W24" i="78"/>
  <c r="L31" i="78"/>
  <c r="U31" i="66"/>
  <c r="V49" i="66"/>
  <c r="L52" i="83"/>
  <c r="O52" i="83" s="1"/>
  <c r="O50" i="83" s="1"/>
  <c r="O42" i="83" s="1"/>
  <c r="V20" i="66"/>
  <c r="U20" i="66"/>
  <c r="J20" i="83"/>
  <c r="L22" i="83"/>
  <c r="V54" i="66"/>
  <c r="L45" i="83"/>
  <c r="N45" i="83" s="1"/>
  <c r="N43" i="83" s="1"/>
  <c r="N42" i="83" s="1"/>
  <c r="N32" i="83" s="1"/>
  <c r="R33" i="66"/>
  <c r="Z37" i="80"/>
  <c r="Z36" i="80" s="1"/>
  <c r="N24" i="80"/>
  <c r="N22" i="80" s="1"/>
  <c r="U37" i="80"/>
  <c r="U36" i="80" s="1"/>
  <c r="T24" i="66" s="1"/>
  <c r="O116" i="80"/>
  <c r="N76" i="66"/>
  <c r="W116" i="80"/>
  <c r="V76" i="66"/>
  <c r="L119" i="80"/>
  <c r="L263" i="80"/>
  <c r="L303" i="80"/>
  <c r="O33" i="66"/>
  <c r="S35" i="66"/>
  <c r="O7" i="80"/>
  <c r="J9" i="80"/>
  <c r="L9" i="80" s="1"/>
  <c r="N9" i="80" s="1"/>
  <c r="N7" i="80" s="1"/>
  <c r="N20" i="66"/>
  <c r="J32" i="80"/>
  <c r="L95" i="80"/>
  <c r="K100" i="80"/>
  <c r="L183" i="80"/>
  <c r="L255" i="80"/>
  <c r="J8" i="80"/>
  <c r="T116" i="80"/>
  <c r="K188" i="80"/>
  <c r="R188" i="80"/>
  <c r="Q153" i="66"/>
  <c r="L200" i="80"/>
  <c r="M200" i="80" s="1"/>
  <c r="M199" i="80" s="1"/>
  <c r="M188" i="80" s="1"/>
  <c r="P213" i="80"/>
  <c r="N213" i="80"/>
  <c r="R213" i="80"/>
  <c r="V213" i="80"/>
  <c r="Z213" i="80"/>
  <c r="L221" i="80"/>
  <c r="T213" i="80"/>
  <c r="L230" i="80"/>
  <c r="L266" i="80"/>
  <c r="L274" i="80"/>
  <c r="O277" i="80"/>
  <c r="N227" i="66"/>
  <c r="S277" i="80"/>
  <c r="R227" i="66"/>
  <c r="W277" i="80"/>
  <c r="V227" i="66"/>
  <c r="J278" i="80"/>
  <c r="L288" i="80"/>
  <c r="J16" i="80"/>
  <c r="V14" i="80"/>
  <c r="U10" i="66" s="1"/>
  <c r="S116" i="80"/>
  <c r="R76" i="66"/>
  <c r="S33" i="66"/>
  <c r="O35" i="66"/>
  <c r="L159" i="80"/>
  <c r="L232" i="80"/>
  <c r="L244" i="80"/>
  <c r="L290" i="80"/>
  <c r="L301" i="80"/>
  <c r="J298" i="80"/>
  <c r="O58" i="66"/>
  <c r="S58" i="66"/>
  <c r="O66" i="66"/>
  <c r="S66" i="66"/>
  <c r="W66" i="66"/>
  <c r="R70" i="66"/>
  <c r="O117" i="66"/>
  <c r="W117" i="66"/>
  <c r="Q247" i="66"/>
  <c r="Y247" i="66"/>
  <c r="R37" i="80"/>
  <c r="R7" i="80"/>
  <c r="Q7" i="66" s="1"/>
  <c r="V37" i="80"/>
  <c r="V7" i="80"/>
  <c r="Z7" i="80"/>
  <c r="Y7" i="66" s="1"/>
  <c r="J22" i="80"/>
  <c r="L22" i="80" s="1"/>
  <c r="L23" i="80"/>
  <c r="M23" i="80" s="1"/>
  <c r="M22" i="80" s="1"/>
  <c r="W36" i="80"/>
  <c r="S37" i="80"/>
  <c r="Q188" i="80"/>
  <c r="P147" i="66" s="1"/>
  <c r="P149" i="66"/>
  <c r="U188" i="80"/>
  <c r="Y188" i="80"/>
  <c r="X147" i="66" s="1"/>
  <c r="X149" i="66"/>
  <c r="J215" i="80"/>
  <c r="L272" i="80"/>
  <c r="P277" i="80"/>
  <c r="O227" i="66"/>
  <c r="S227" i="66"/>
  <c r="T277" i="80"/>
  <c r="L228" i="80"/>
  <c r="J226" i="80"/>
  <c r="Q6" i="80"/>
  <c r="U6" i="80"/>
  <c r="O36" i="80"/>
  <c r="J91" i="80"/>
  <c r="L92" i="80"/>
  <c r="M92" i="80" s="1"/>
  <c r="M91" i="80" s="1"/>
  <c r="N116" i="80"/>
  <c r="R116" i="80"/>
  <c r="V116" i="80"/>
  <c r="Z116" i="80"/>
  <c r="K213" i="80"/>
  <c r="O213" i="80"/>
  <c r="S213" i="80"/>
  <c r="W213" i="80"/>
  <c r="J237" i="80"/>
  <c r="L284" i="80"/>
  <c r="J282" i="80"/>
  <c r="L123" i="80"/>
  <c r="L182" i="80"/>
  <c r="J107" i="80"/>
  <c r="L107" i="80" s="1"/>
  <c r="L101" i="80"/>
  <c r="L134" i="80"/>
  <c r="L138" i="80"/>
  <c r="J161" i="80"/>
  <c r="L175" i="80"/>
  <c r="J66" i="80"/>
  <c r="L66" i="80" s="1"/>
  <c r="L77" i="80"/>
  <c r="N77" i="80" s="1"/>
  <c r="L78" i="80"/>
  <c r="N78" i="80" s="1"/>
  <c r="J190" i="80"/>
  <c r="L191" i="80"/>
  <c r="Q14" i="66"/>
  <c r="L114" i="80"/>
  <c r="J69" i="80"/>
  <c r="L69" i="80" s="1"/>
  <c r="J111" i="80"/>
  <c r="L181" i="80"/>
  <c r="Q37" i="80"/>
  <c r="J120" i="80"/>
  <c r="J125" i="80"/>
  <c r="J136" i="80"/>
  <c r="J147" i="80"/>
  <c r="L162" i="80"/>
  <c r="J176" i="80"/>
  <c r="L197" i="80"/>
  <c r="J97" i="80"/>
  <c r="K58" i="66" s="1"/>
  <c r="N90" i="80"/>
  <c r="W90" i="80"/>
  <c r="V53" i="66" s="1"/>
  <c r="V35" i="66"/>
  <c r="X90" i="80"/>
  <c r="L67" i="80"/>
  <c r="M67" i="80" s="1"/>
  <c r="M66" i="80" s="1"/>
  <c r="W62" i="80"/>
  <c r="W61" i="80" s="1"/>
  <c r="J63" i="80"/>
  <c r="X14" i="66"/>
  <c r="L17" i="80"/>
  <c r="T6" i="80"/>
  <c r="T5" i="80" s="1"/>
  <c r="L35" i="80"/>
  <c r="W14" i="66"/>
  <c r="S14" i="66"/>
  <c r="L27" i="80"/>
  <c r="O14" i="66"/>
  <c r="T14" i="66"/>
  <c r="P14" i="66"/>
  <c r="K6" i="80"/>
  <c r="K5" i="80" s="1"/>
  <c r="J42" i="80"/>
  <c r="L34" i="80"/>
  <c r="AA59" i="79"/>
  <c r="V70" i="66"/>
  <c r="L51" i="82"/>
  <c r="S239" i="68" l="1"/>
  <c r="S238" i="68" s="1"/>
  <c r="S237" i="68" s="1"/>
  <c r="AF239" i="68"/>
  <c r="N129" i="68"/>
  <c r="L45" i="84"/>
  <c r="J40" i="84"/>
  <c r="W70" i="66"/>
  <c r="N24" i="66"/>
  <c r="AF100" i="68"/>
  <c r="Z61" i="80"/>
  <c r="K149" i="66"/>
  <c r="Y40" i="66"/>
  <c r="N40" i="66"/>
  <c r="U40" i="66"/>
  <c r="L147" i="66"/>
  <c r="G17" i="69"/>
  <c r="AF251" i="68"/>
  <c r="K58" i="68"/>
  <c r="AF58" i="68" s="1"/>
  <c r="N177" i="68"/>
  <c r="N175" i="68" s="1"/>
  <c r="R127" i="68"/>
  <c r="R116" i="68" s="1"/>
  <c r="AF127" i="68"/>
  <c r="K129" i="68"/>
  <c r="AF129" i="68" s="1"/>
  <c r="AF131" i="68"/>
  <c r="Q40" i="66"/>
  <c r="M158" i="66"/>
  <c r="K28" i="66"/>
  <c r="M28" i="66" s="1"/>
  <c r="I4" i="39"/>
  <c r="V147" i="66"/>
  <c r="L53" i="66"/>
  <c r="Q53" i="66"/>
  <c r="O21" i="68"/>
  <c r="AF21" i="68"/>
  <c r="X40" i="66"/>
  <c r="O12" i="68"/>
  <c r="O7" i="68" s="1"/>
  <c r="AF12" i="68"/>
  <c r="K175" i="68"/>
  <c r="AF175" i="68" s="1"/>
  <c r="M36" i="66"/>
  <c r="R109" i="79"/>
  <c r="R108" i="79" s="1"/>
  <c r="M107" i="66"/>
  <c r="W41" i="66"/>
  <c r="W40" i="66" s="1"/>
  <c r="L50" i="83"/>
  <c r="M44" i="66" s="1"/>
  <c r="K44" i="66"/>
  <c r="N115" i="79"/>
  <c r="X106" i="66"/>
  <c r="AB77" i="79"/>
  <c r="AB270" i="79" s="1"/>
  <c r="L171" i="78"/>
  <c r="Z77" i="79"/>
  <c r="U75" i="66" s="1"/>
  <c r="K73" i="66"/>
  <c r="L81" i="79"/>
  <c r="K79" i="66"/>
  <c r="M42" i="83"/>
  <c r="M32" i="83" s="1"/>
  <c r="M270" i="83" s="1"/>
  <c r="P9" i="39"/>
  <c r="O6" i="68"/>
  <c r="O5" i="68" s="1"/>
  <c r="K3" i="39" s="1"/>
  <c r="T50" i="80"/>
  <c r="X77" i="79"/>
  <c r="X270" i="79" s="1"/>
  <c r="P61" i="80"/>
  <c r="U61" i="80"/>
  <c r="U50" i="80" s="1"/>
  <c r="M62" i="80"/>
  <c r="M61" i="80" s="1"/>
  <c r="M55" i="66"/>
  <c r="V61" i="80"/>
  <c r="V50" i="80" s="1"/>
  <c r="J51" i="80"/>
  <c r="L51" i="80" s="1"/>
  <c r="Y54" i="66"/>
  <c r="O106" i="66"/>
  <c r="K4" i="39"/>
  <c r="L139" i="68"/>
  <c r="N53" i="66"/>
  <c r="K59" i="79"/>
  <c r="L59" i="66" s="1"/>
  <c r="M184" i="66"/>
  <c r="M169" i="66"/>
  <c r="M57" i="66"/>
  <c r="K227" i="66"/>
  <c r="K50" i="80"/>
  <c r="K306" i="80" s="1"/>
  <c r="M26" i="66"/>
  <c r="M82" i="66"/>
  <c r="M86" i="66"/>
  <c r="M47" i="66"/>
  <c r="M56" i="66"/>
  <c r="Z50" i="80"/>
  <c r="M78" i="66"/>
  <c r="K35" i="66"/>
  <c r="K8" i="66"/>
  <c r="M250" i="66"/>
  <c r="M224" i="66"/>
  <c r="M74" i="66"/>
  <c r="V25" i="66"/>
  <c r="S77" i="79"/>
  <c r="S270" i="79" s="1"/>
  <c r="J162" i="83"/>
  <c r="L162" i="83" s="1"/>
  <c r="R41" i="66"/>
  <c r="R40" i="66" s="1"/>
  <c r="Q32" i="78"/>
  <c r="Q284" i="78" s="1"/>
  <c r="M51" i="66"/>
  <c r="L41" i="66"/>
  <c r="L40" i="66" s="1"/>
  <c r="M121" i="66"/>
  <c r="K77" i="79"/>
  <c r="L75" i="66" s="1"/>
  <c r="Y61" i="80"/>
  <c r="Y50" i="80" s="1"/>
  <c r="Y6" i="39"/>
  <c r="Y7" i="39" s="1"/>
  <c r="Y12" i="39" s="1"/>
  <c r="S270" i="68"/>
  <c r="M215" i="66"/>
  <c r="J82" i="80"/>
  <c r="L82" i="80" s="1"/>
  <c r="T6" i="66"/>
  <c r="O7" i="66"/>
  <c r="M21" i="66"/>
  <c r="L4" i="39"/>
  <c r="M213" i="66"/>
  <c r="M198" i="66"/>
  <c r="M228" i="66"/>
  <c r="Q50" i="80"/>
  <c r="M193" i="66"/>
  <c r="M141" i="66"/>
  <c r="O147" i="66"/>
  <c r="L215" i="78"/>
  <c r="K186" i="66"/>
  <c r="M199" i="66"/>
  <c r="M232" i="66"/>
  <c r="M176" i="66"/>
  <c r="L91" i="78"/>
  <c r="K66" i="66"/>
  <c r="M136" i="66"/>
  <c r="R6" i="80"/>
  <c r="R5" i="80" s="1"/>
  <c r="Q5" i="66" s="1"/>
  <c r="S41" i="66"/>
  <c r="S40" i="66" s="1"/>
  <c r="U259" i="81"/>
  <c r="O257" i="82"/>
  <c r="K231" i="66"/>
  <c r="S32" i="78"/>
  <c r="S284" i="78" s="1"/>
  <c r="M110" i="66"/>
  <c r="L162" i="66"/>
  <c r="M183" i="66"/>
  <c r="M142" i="66"/>
  <c r="M206" i="66"/>
  <c r="K13" i="66"/>
  <c r="M248" i="66"/>
  <c r="M134" i="66"/>
  <c r="K20" i="66"/>
  <c r="R106" i="66"/>
  <c r="J61" i="82"/>
  <c r="L61" i="82" s="1"/>
  <c r="J149" i="82"/>
  <c r="L149" i="82" s="1"/>
  <c r="X259" i="81"/>
  <c r="M249" i="66"/>
  <c r="T255" i="84"/>
  <c r="L229" i="78"/>
  <c r="M200" i="66" s="1"/>
  <c r="K200" i="66"/>
  <c r="U70" i="66"/>
  <c r="S53" i="66"/>
  <c r="L243" i="78"/>
  <c r="M214" i="66" s="1"/>
  <c r="K214" i="66"/>
  <c r="L204" i="78"/>
  <c r="K175" i="66"/>
  <c r="L109" i="78"/>
  <c r="K84" i="66"/>
  <c r="K244" i="66"/>
  <c r="L104" i="78"/>
  <c r="M233" i="66"/>
  <c r="W59" i="66"/>
  <c r="L7" i="78"/>
  <c r="K254" i="78"/>
  <c r="L225" i="66" s="1"/>
  <c r="L226" i="66"/>
  <c r="K95" i="66"/>
  <c r="M236" i="66"/>
  <c r="M229" i="66"/>
  <c r="M187" i="66"/>
  <c r="M165" i="66"/>
  <c r="M124" i="66"/>
  <c r="M81" i="66"/>
  <c r="M239" i="66"/>
  <c r="K138" i="66"/>
  <c r="M67" i="66"/>
  <c r="M237" i="66"/>
  <c r="M181" i="66"/>
  <c r="M163" i="66"/>
  <c r="M140" i="66"/>
  <c r="M118" i="66"/>
  <c r="K14" i="66"/>
  <c r="M223" i="66"/>
  <c r="M73" i="66"/>
  <c r="M207" i="66"/>
  <c r="M148" i="66"/>
  <c r="L142" i="78"/>
  <c r="K117" i="66"/>
  <c r="L101" i="78"/>
  <c r="K76" i="66"/>
  <c r="M60" i="66"/>
  <c r="O61" i="80"/>
  <c r="O50" i="80" s="1"/>
  <c r="L276" i="78"/>
  <c r="K247" i="66"/>
  <c r="M168" i="66"/>
  <c r="M202" i="66"/>
  <c r="M42" i="66"/>
  <c r="K164" i="66"/>
  <c r="L54" i="78"/>
  <c r="M45" i="66" s="1"/>
  <c r="K45" i="66"/>
  <c r="M205" i="66"/>
  <c r="M17" i="66"/>
  <c r="M204" i="66"/>
  <c r="M96" i="66"/>
  <c r="L40" i="78"/>
  <c r="M38" i="66" s="1"/>
  <c r="K38" i="66"/>
  <c r="M49" i="66"/>
  <c r="T259" i="81"/>
  <c r="X270" i="68"/>
  <c r="M188" i="66"/>
  <c r="L226" i="78"/>
  <c r="K197" i="66"/>
  <c r="M177" i="66"/>
  <c r="M246" i="66"/>
  <c r="L256" i="78"/>
  <c r="L160" i="78"/>
  <c r="L145" i="78"/>
  <c r="K120" i="66"/>
  <c r="M77" i="66"/>
  <c r="M43" i="66"/>
  <c r="M216" i="66"/>
  <c r="M34" i="66"/>
  <c r="M201" i="66"/>
  <c r="M68" i="66"/>
  <c r="M39" i="66"/>
  <c r="M212" i="66"/>
  <c r="M179" i="66"/>
  <c r="M138" i="66"/>
  <c r="M221" i="66"/>
  <c r="M170" i="66"/>
  <c r="M93" i="66"/>
  <c r="M85" i="66"/>
  <c r="K46" i="66"/>
  <c r="M23" i="66"/>
  <c r="M14" i="66"/>
  <c r="M252" i="66"/>
  <c r="M245" i="66"/>
  <c r="M189" i="66"/>
  <c r="M167" i="66"/>
  <c r="M97" i="66"/>
  <c r="M11" i="66"/>
  <c r="P50" i="80"/>
  <c r="L91" i="80"/>
  <c r="L57" i="78"/>
  <c r="M48" i="66" s="1"/>
  <c r="K48" i="66"/>
  <c r="K153" i="66"/>
  <c r="M153" i="66" s="1"/>
  <c r="O22" i="83"/>
  <c r="O20" i="83" s="1"/>
  <c r="M22" i="66"/>
  <c r="O13" i="83"/>
  <c r="M13" i="66"/>
  <c r="O8" i="83"/>
  <c r="M8" i="66"/>
  <c r="L6" i="83"/>
  <c r="L164" i="79"/>
  <c r="Q171" i="79"/>
  <c r="Q169" i="79"/>
  <c r="M154" i="66"/>
  <c r="Q167" i="79"/>
  <c r="M152" i="66"/>
  <c r="Q170" i="79"/>
  <c r="M155" i="66"/>
  <c r="Q168" i="79"/>
  <c r="Q166" i="79"/>
  <c r="Q164" i="79" s="1"/>
  <c r="M151" i="66"/>
  <c r="L162" i="79"/>
  <c r="L33" i="81"/>
  <c r="L157" i="81"/>
  <c r="X6" i="80"/>
  <c r="X5" i="80" s="1"/>
  <c r="U284" i="78"/>
  <c r="W32" i="78"/>
  <c r="W284" i="78" s="1"/>
  <c r="P162" i="66"/>
  <c r="Q257" i="82"/>
  <c r="R259" i="81"/>
  <c r="S32" i="83"/>
  <c r="S270" i="83" s="1"/>
  <c r="X4" i="39"/>
  <c r="U225" i="66"/>
  <c r="T75" i="66"/>
  <c r="S257" i="82"/>
  <c r="K259" i="81"/>
  <c r="Q255" i="84"/>
  <c r="J5" i="79"/>
  <c r="L5" i="79" s="1"/>
  <c r="R257" i="82"/>
  <c r="T106" i="66"/>
  <c r="O259" i="81"/>
  <c r="K270" i="83"/>
  <c r="K7" i="68"/>
  <c r="T129" i="68"/>
  <c r="G7" i="69" s="1"/>
  <c r="X50" i="80"/>
  <c r="J40" i="81"/>
  <c r="L40" i="81" s="1"/>
  <c r="Q259" i="81"/>
  <c r="R270" i="83"/>
  <c r="T226" i="66"/>
  <c r="K8" i="39"/>
  <c r="K11" i="39" s="1"/>
  <c r="W270" i="79"/>
  <c r="W259" i="81"/>
  <c r="AD270" i="68"/>
  <c r="L46" i="79"/>
  <c r="P46" i="79" s="1"/>
  <c r="P45" i="79" s="1"/>
  <c r="P40" i="79" s="1"/>
  <c r="P32" i="79" s="1"/>
  <c r="P270" i="79" s="1"/>
  <c r="J161" i="79" s="1"/>
  <c r="K146" i="66" s="1"/>
  <c r="M146" i="66" s="1"/>
  <c r="R32" i="78"/>
  <c r="R284" i="78" s="1"/>
  <c r="Y6" i="80"/>
  <c r="Y5" i="80" s="1"/>
  <c r="X5" i="66" s="1"/>
  <c r="V106" i="66"/>
  <c r="L122" i="79"/>
  <c r="N122" i="79" s="1"/>
  <c r="N121" i="79" s="1"/>
  <c r="W257" i="82"/>
  <c r="J147" i="81"/>
  <c r="L147" i="81" s="1"/>
  <c r="S259" i="81"/>
  <c r="U255" i="84"/>
  <c r="P70" i="66"/>
  <c r="O32" i="78"/>
  <c r="O284" i="78" s="1"/>
  <c r="T5" i="68"/>
  <c r="V59" i="66"/>
  <c r="P6" i="66"/>
  <c r="R61" i="80"/>
  <c r="Q162" i="66"/>
  <c r="J6" i="78"/>
  <c r="L6" i="78" s="1"/>
  <c r="N106" i="66"/>
  <c r="J147" i="79"/>
  <c r="L147" i="79" s="1"/>
  <c r="Y240" i="79"/>
  <c r="T225" i="66" s="1"/>
  <c r="N59" i="66"/>
  <c r="W225" i="66"/>
  <c r="T257" i="82"/>
  <c r="U257" i="82"/>
  <c r="U270" i="83"/>
  <c r="T32" i="83"/>
  <c r="T270" i="83" s="1"/>
  <c r="P255" i="84"/>
  <c r="U270" i="68"/>
  <c r="J71" i="79"/>
  <c r="K71" i="66" s="1"/>
  <c r="P226" i="66"/>
  <c r="J40" i="82"/>
  <c r="J32" i="82" s="1"/>
  <c r="Y24" i="66"/>
  <c r="N61" i="80"/>
  <c r="N50" i="80" s="1"/>
  <c r="AE270" i="68"/>
  <c r="M270" i="68"/>
  <c r="V270" i="68"/>
  <c r="L129" i="68"/>
  <c r="L270" i="68" s="1"/>
  <c r="L52" i="82"/>
  <c r="M255" i="84"/>
  <c r="X162" i="66"/>
  <c r="T162" i="66"/>
  <c r="O59" i="66"/>
  <c r="W270" i="68"/>
  <c r="X70" i="66"/>
  <c r="K5" i="78"/>
  <c r="P270" i="68"/>
  <c r="L3" i="39"/>
  <c r="U240" i="79"/>
  <c r="P225" i="66" s="1"/>
  <c r="V259" i="81"/>
  <c r="G11" i="69"/>
  <c r="W24" i="66"/>
  <c r="X6" i="66"/>
  <c r="R9" i="39"/>
  <c r="R162" i="66"/>
  <c r="L73" i="78"/>
  <c r="M52" i="66" s="1"/>
  <c r="K105" i="68"/>
  <c r="AF105" i="68" s="1"/>
  <c r="AC270" i="68"/>
  <c r="P257" i="82"/>
  <c r="S255" i="84"/>
  <c r="G12" i="69"/>
  <c r="R255" i="84"/>
  <c r="J5" i="82"/>
  <c r="L5" i="82" s="1"/>
  <c r="P59" i="66"/>
  <c r="Z270" i="68"/>
  <c r="I3" i="39"/>
  <c r="I7" i="39" s="1"/>
  <c r="N259" i="81"/>
  <c r="K211" i="68"/>
  <c r="J177" i="83"/>
  <c r="L177" i="83" s="1"/>
  <c r="X255" i="84"/>
  <c r="M32" i="78"/>
  <c r="M284" i="78" s="1"/>
  <c r="S59" i="66"/>
  <c r="X225" i="66"/>
  <c r="Y53" i="66"/>
  <c r="T59" i="66"/>
  <c r="O77" i="79"/>
  <c r="U108" i="79"/>
  <c r="P114" i="66"/>
  <c r="J71" i="78"/>
  <c r="K50" i="66" s="1"/>
  <c r="J50" i="66" s="1"/>
  <c r="J32" i="66" s="1"/>
  <c r="J255" i="66" s="1"/>
  <c r="AA270" i="68"/>
  <c r="V257" i="82"/>
  <c r="N255" i="84"/>
  <c r="O255" i="84"/>
  <c r="M259" i="81"/>
  <c r="J115" i="79"/>
  <c r="K113" i="66" s="1"/>
  <c r="V108" i="79"/>
  <c r="Q113" i="66"/>
  <c r="L196" i="80"/>
  <c r="N196" i="80" s="1"/>
  <c r="N194" i="80" s="1"/>
  <c r="S25" i="66"/>
  <c r="S6" i="80"/>
  <c r="S5" i="80" s="1"/>
  <c r="R5" i="66" s="1"/>
  <c r="N162" i="66"/>
  <c r="N70" i="66"/>
  <c r="X226" i="66"/>
  <c r="U162" i="66"/>
  <c r="Z6" i="80"/>
  <c r="Y6" i="66" s="1"/>
  <c r="J47" i="78"/>
  <c r="O75" i="66"/>
  <c r="J39" i="80"/>
  <c r="L39" i="80" s="1"/>
  <c r="N39" i="80" s="1"/>
  <c r="N37" i="80" s="1"/>
  <c r="M257" i="82"/>
  <c r="N257" i="82"/>
  <c r="V255" i="84"/>
  <c r="AA270" i="83"/>
  <c r="P259" i="81"/>
  <c r="W255" i="84"/>
  <c r="Q270" i="83"/>
  <c r="R59" i="66"/>
  <c r="J4" i="39"/>
  <c r="J64" i="83"/>
  <c r="L64" i="83" s="1"/>
  <c r="X59" i="66"/>
  <c r="J84" i="78"/>
  <c r="L84" i="78" s="1"/>
  <c r="Y270" i="68"/>
  <c r="J175" i="78"/>
  <c r="L177" i="78"/>
  <c r="V32" i="83"/>
  <c r="V270" i="83" s="1"/>
  <c r="X32" i="78"/>
  <c r="X284" i="78" s="1"/>
  <c r="J202" i="80"/>
  <c r="K157" i="66" s="1"/>
  <c r="Z32" i="83"/>
  <c r="Z270" i="83" s="1"/>
  <c r="V240" i="79"/>
  <c r="Q226" i="66"/>
  <c r="W162" i="66"/>
  <c r="T270" i="79"/>
  <c r="R70" i="79"/>
  <c r="R59" i="79" s="1"/>
  <c r="N270" i="68"/>
  <c r="J3" i="39"/>
  <c r="L166" i="82"/>
  <c r="J164" i="82"/>
  <c r="L164" i="82" s="1"/>
  <c r="L78" i="79"/>
  <c r="J77" i="82"/>
  <c r="L77" i="82" s="1"/>
  <c r="L78" i="82"/>
  <c r="K257" i="82"/>
  <c r="J166" i="81"/>
  <c r="L166" i="81" s="1"/>
  <c r="L168" i="81"/>
  <c r="U59" i="66"/>
  <c r="L273" i="78"/>
  <c r="S162" i="66"/>
  <c r="J100" i="78"/>
  <c r="L100" i="78" s="1"/>
  <c r="J241" i="79"/>
  <c r="Y37" i="80"/>
  <c r="X25" i="66" s="1"/>
  <c r="V77" i="78"/>
  <c r="J78" i="78"/>
  <c r="L78" i="78" s="1"/>
  <c r="J90" i="83"/>
  <c r="L90" i="83" s="1"/>
  <c r="L91" i="83"/>
  <c r="Y225" i="66"/>
  <c r="J40" i="79"/>
  <c r="U5" i="80"/>
  <c r="W6" i="80"/>
  <c r="R75" i="66"/>
  <c r="Q147" i="66"/>
  <c r="V75" i="66"/>
  <c r="X54" i="66"/>
  <c r="Q25" i="69"/>
  <c r="M270" i="79"/>
  <c r="AD70" i="79"/>
  <c r="Y71" i="66"/>
  <c r="J228" i="82"/>
  <c r="L79" i="81"/>
  <c r="J75" i="81"/>
  <c r="L75" i="81" s="1"/>
  <c r="W270" i="83"/>
  <c r="U226" i="66"/>
  <c r="Q59" i="66"/>
  <c r="Y226" i="66"/>
  <c r="J38" i="80"/>
  <c r="L38" i="80" s="1"/>
  <c r="M38" i="80" s="1"/>
  <c r="M37" i="80" s="1"/>
  <c r="M36" i="80" s="1"/>
  <c r="J230" i="81"/>
  <c r="L231" i="81"/>
  <c r="J59" i="81"/>
  <c r="L59" i="81" s="1"/>
  <c r="K238" i="68"/>
  <c r="AF238" i="68" s="1"/>
  <c r="T237" i="68"/>
  <c r="K237" i="68" s="1"/>
  <c r="P32" i="78"/>
  <c r="P284" i="78" s="1"/>
  <c r="Q33" i="66"/>
  <c r="J25" i="78"/>
  <c r="P32" i="83"/>
  <c r="P270" i="83" s="1"/>
  <c r="W25" i="66"/>
  <c r="L161" i="80"/>
  <c r="T25" i="66"/>
  <c r="V162" i="66"/>
  <c r="W226" i="66"/>
  <c r="Y162" i="66"/>
  <c r="O162" i="66"/>
  <c r="S50" i="80"/>
  <c r="J42" i="83"/>
  <c r="L42" i="83" s="1"/>
  <c r="O32" i="83"/>
  <c r="X53" i="66"/>
  <c r="AC270" i="79"/>
  <c r="J199" i="80"/>
  <c r="K156" i="66" s="1"/>
  <c r="L201" i="80"/>
  <c r="N201" i="80" s="1"/>
  <c r="N199" i="80" s="1"/>
  <c r="L81" i="83"/>
  <c r="J74" i="83"/>
  <c r="L74" i="83" s="1"/>
  <c r="L6" i="81"/>
  <c r="J5" i="81"/>
  <c r="L5" i="81" s="1"/>
  <c r="O49" i="66"/>
  <c r="O40" i="66" s="1"/>
  <c r="N46" i="78"/>
  <c r="L259" i="83"/>
  <c r="J241" i="83"/>
  <c r="Y270" i="83"/>
  <c r="K185" i="68"/>
  <c r="K243" i="68"/>
  <c r="AF243" i="68" s="1"/>
  <c r="J33" i="83"/>
  <c r="L33" i="83" s="1"/>
  <c r="L260" i="78"/>
  <c r="J255" i="78"/>
  <c r="J191" i="78"/>
  <c r="L193" i="78"/>
  <c r="L20" i="78"/>
  <c r="L212" i="79"/>
  <c r="J177" i="79"/>
  <c r="L177" i="79" s="1"/>
  <c r="X75" i="66"/>
  <c r="L129" i="79"/>
  <c r="L121" i="79"/>
  <c r="M114" i="66" s="1"/>
  <c r="AB270" i="68"/>
  <c r="R105" i="68"/>
  <c r="R94" i="68" s="1"/>
  <c r="O270" i="68"/>
  <c r="T76" i="78"/>
  <c r="U53" i="66" s="1"/>
  <c r="J39" i="78"/>
  <c r="K37" i="66" s="1"/>
  <c r="L35" i="78"/>
  <c r="M35" i="66" s="1"/>
  <c r="K33" i="78"/>
  <c r="J25" i="83"/>
  <c r="X24" i="83"/>
  <c r="V24" i="66" s="1"/>
  <c r="L20" i="83"/>
  <c r="J5" i="83"/>
  <c r="O8" i="39"/>
  <c r="O11" i="39" s="1"/>
  <c r="O12" i="39" s="1"/>
  <c r="N270" i="83"/>
  <c r="L97" i="80"/>
  <c r="M58" i="66" s="1"/>
  <c r="M90" i="80"/>
  <c r="R36" i="80"/>
  <c r="Q24" i="66" s="1"/>
  <c r="Q25" i="66"/>
  <c r="S36" i="80"/>
  <c r="R24" i="66" s="1"/>
  <c r="R25" i="66"/>
  <c r="T276" i="80"/>
  <c r="S225" i="66" s="1"/>
  <c r="S226" i="66"/>
  <c r="V6" i="80"/>
  <c r="U7" i="66"/>
  <c r="W276" i="80"/>
  <c r="V225" i="66" s="1"/>
  <c r="V226" i="66"/>
  <c r="V36" i="80"/>
  <c r="U24" i="66" s="1"/>
  <c r="U25" i="66"/>
  <c r="J7" i="80"/>
  <c r="K7" i="66" s="1"/>
  <c r="L8" i="80"/>
  <c r="M8" i="80" s="1"/>
  <c r="M7" i="80" s="1"/>
  <c r="M6" i="80" s="1"/>
  <c r="M5" i="80" s="1"/>
  <c r="R50" i="80"/>
  <c r="Q5" i="80"/>
  <c r="P5" i="66" s="1"/>
  <c r="Y25" i="66"/>
  <c r="L226" i="80"/>
  <c r="P276" i="80"/>
  <c r="O225" i="66" s="1"/>
  <c r="O226" i="66"/>
  <c r="L282" i="80"/>
  <c r="O188" i="80"/>
  <c r="N147" i="66" s="1"/>
  <c r="N153" i="66"/>
  <c r="L298" i="80"/>
  <c r="O276" i="80"/>
  <c r="N225" i="66" s="1"/>
  <c r="N226" i="66"/>
  <c r="J14" i="80"/>
  <c r="K10" i="66" s="1"/>
  <c r="L16" i="80"/>
  <c r="N16" i="80" s="1"/>
  <c r="N14" i="80" s="1"/>
  <c r="N6" i="80" s="1"/>
  <c r="N5" i="80" s="1"/>
  <c r="J90" i="80"/>
  <c r="L237" i="80"/>
  <c r="Y47" i="80"/>
  <c r="J49" i="80"/>
  <c r="J213" i="80"/>
  <c r="L215" i="80"/>
  <c r="P36" i="80"/>
  <c r="O24" i="66" s="1"/>
  <c r="O25" i="66"/>
  <c r="J277" i="80"/>
  <c r="L278" i="80"/>
  <c r="S276" i="80"/>
  <c r="R225" i="66" s="1"/>
  <c r="R226" i="66"/>
  <c r="O6" i="80"/>
  <c r="N7" i="66"/>
  <c r="L147" i="80"/>
  <c r="L190" i="80"/>
  <c r="L176" i="80"/>
  <c r="L125" i="80"/>
  <c r="L120" i="80"/>
  <c r="J116" i="80"/>
  <c r="L116" i="80" s="1"/>
  <c r="L111" i="80"/>
  <c r="J100" i="80"/>
  <c r="L100" i="80" s="1"/>
  <c r="L136" i="80"/>
  <c r="M95" i="66" s="1"/>
  <c r="P25" i="66"/>
  <c r="Q36" i="80"/>
  <c r="P24" i="66" s="1"/>
  <c r="W50" i="80"/>
  <c r="V32" i="66" s="1"/>
  <c r="V41" i="66"/>
  <c r="V40" i="66" s="1"/>
  <c r="L63" i="80"/>
  <c r="J62" i="80"/>
  <c r="J61" i="80" s="1"/>
  <c r="L61" i="80" s="1"/>
  <c r="S6" i="66"/>
  <c r="O5" i="66"/>
  <c r="O6" i="66"/>
  <c r="S5" i="66"/>
  <c r="L32" i="80"/>
  <c r="L42" i="80"/>
  <c r="AA270" i="79"/>
  <c r="X257" i="82"/>
  <c r="K6" i="66" l="1"/>
  <c r="K5" i="66" s="1"/>
  <c r="G13" i="69"/>
  <c r="AF211" i="68"/>
  <c r="K6" i="68"/>
  <c r="AF7" i="68"/>
  <c r="G9" i="69"/>
  <c r="AF185" i="68"/>
  <c r="AF237" i="68"/>
  <c r="G21" i="69"/>
  <c r="M149" i="66"/>
  <c r="M79" i="66"/>
  <c r="Z270" i="79"/>
  <c r="K94" i="68"/>
  <c r="L40" i="84"/>
  <c r="J32" i="84"/>
  <c r="M40" i="66"/>
  <c r="L175" i="78"/>
  <c r="W75" i="66"/>
  <c r="J32" i="79"/>
  <c r="S75" i="66"/>
  <c r="Y270" i="79"/>
  <c r="O6" i="83"/>
  <c r="O5" i="83" s="1"/>
  <c r="K7" i="39"/>
  <c r="K12" i="39" s="1"/>
  <c r="M50" i="80"/>
  <c r="R8" i="39" s="1"/>
  <c r="R11" i="39" s="1"/>
  <c r="R12" i="39" s="1"/>
  <c r="S32" i="66"/>
  <c r="K270" i="79"/>
  <c r="Z5" i="80"/>
  <c r="Z306" i="80" s="1"/>
  <c r="N75" i="66"/>
  <c r="Q6" i="66"/>
  <c r="K49" i="66"/>
  <c r="M227" i="66"/>
  <c r="M117" i="66"/>
  <c r="M84" i="66"/>
  <c r="L7" i="39"/>
  <c r="M197" i="66"/>
  <c r="P32" i="66"/>
  <c r="J70" i="79"/>
  <c r="K70" i="66" s="1"/>
  <c r="W6" i="66"/>
  <c r="M66" i="66"/>
  <c r="G6" i="39"/>
  <c r="R32" i="66"/>
  <c r="M247" i="66"/>
  <c r="G4" i="39"/>
  <c r="L33" i="78"/>
  <c r="M33" i="66" s="1"/>
  <c r="L33" i="66"/>
  <c r="L32" i="66" s="1"/>
  <c r="L255" i="66" s="1"/>
  <c r="M46" i="66"/>
  <c r="M20" i="66"/>
  <c r="M164" i="66"/>
  <c r="I8" i="39"/>
  <c r="I11" i="39" s="1"/>
  <c r="I12" i="39" s="1"/>
  <c r="M244" i="66"/>
  <c r="N108" i="79"/>
  <c r="N77" i="79" s="1"/>
  <c r="M120" i="66"/>
  <c r="L191" i="78"/>
  <c r="H9" i="39" s="1"/>
  <c r="K162" i="66"/>
  <c r="K226" i="66"/>
  <c r="L47" i="78"/>
  <c r="K41" i="66"/>
  <c r="K135" i="66"/>
  <c r="M231" i="66"/>
  <c r="U8" i="39"/>
  <c r="U11" i="39" s="1"/>
  <c r="U12" i="39" s="1"/>
  <c r="K33" i="66"/>
  <c r="Q162" i="79"/>
  <c r="Q270" i="79" s="1"/>
  <c r="M135" i="66"/>
  <c r="M76" i="66"/>
  <c r="M175" i="66"/>
  <c r="M186" i="66"/>
  <c r="X306" i="80"/>
  <c r="L5" i="83"/>
  <c r="N188" i="80"/>
  <c r="S9" i="39" s="1"/>
  <c r="Q9" i="39"/>
  <c r="L40" i="82"/>
  <c r="J5" i="78"/>
  <c r="L5" i="78" s="1"/>
  <c r="L25" i="78"/>
  <c r="J24" i="78"/>
  <c r="L199" i="80"/>
  <c r="M156" i="66" s="1"/>
  <c r="T32" i="66"/>
  <c r="J32" i="81"/>
  <c r="U306" i="80"/>
  <c r="J63" i="83"/>
  <c r="L63" i="83" s="1"/>
  <c r="L40" i="79"/>
  <c r="L202" i="80"/>
  <c r="M157" i="66" s="1"/>
  <c r="R6" i="66"/>
  <c r="Q32" i="66"/>
  <c r="J46" i="78"/>
  <c r="M9" i="39"/>
  <c r="L71" i="79"/>
  <c r="M71" i="66" s="1"/>
  <c r="H3" i="39"/>
  <c r="H7" i="39" s="1"/>
  <c r="T270" i="68"/>
  <c r="J7" i="39"/>
  <c r="AD77" i="79"/>
  <c r="Y75" i="66" s="1"/>
  <c r="Y32" i="66"/>
  <c r="P106" i="66"/>
  <c r="U77" i="79"/>
  <c r="X32" i="66"/>
  <c r="L71" i="78"/>
  <c r="M50" i="66" s="1"/>
  <c r="P306" i="80"/>
  <c r="J37" i="80"/>
  <c r="K25" i="66" s="1"/>
  <c r="T306" i="80"/>
  <c r="S255" i="66" s="1"/>
  <c r="T8" i="39"/>
  <c r="T11" i="39" s="1"/>
  <c r="T12" i="39" s="1"/>
  <c r="O270" i="79"/>
  <c r="L32" i="82"/>
  <c r="L115" i="79"/>
  <c r="M113" i="66" s="1"/>
  <c r="Q8" i="39"/>
  <c r="T5" i="66"/>
  <c r="J108" i="79"/>
  <c r="Q225" i="66"/>
  <c r="Q106" i="66"/>
  <c r="V77" i="79"/>
  <c r="Q75" i="66" s="1"/>
  <c r="G14" i="69"/>
  <c r="J77" i="78"/>
  <c r="K54" i="66" s="1"/>
  <c r="N32" i="78"/>
  <c r="O32" i="66" s="1"/>
  <c r="W5" i="80"/>
  <c r="V5" i="66" s="1"/>
  <c r="V6" i="66"/>
  <c r="W54" i="66"/>
  <c r="V76" i="78"/>
  <c r="AD59" i="79"/>
  <c r="Y59" i="66" s="1"/>
  <c r="Y70" i="66"/>
  <c r="L241" i="83"/>
  <c r="J240" i="83"/>
  <c r="L240" i="83" s="1"/>
  <c r="L228" i="82"/>
  <c r="J227" i="82"/>
  <c r="J257" i="82" s="1"/>
  <c r="N32" i="66"/>
  <c r="J188" i="80"/>
  <c r="K147" i="66" s="1"/>
  <c r="L255" i="78"/>
  <c r="J254" i="78"/>
  <c r="L230" i="81"/>
  <c r="J229" i="81"/>
  <c r="J240" i="79"/>
  <c r="L240" i="79" s="1"/>
  <c r="L241" i="79"/>
  <c r="R270" i="68"/>
  <c r="X3" i="39"/>
  <c r="X7" i="39" s="1"/>
  <c r="X12" i="39" s="1"/>
  <c r="T32" i="78"/>
  <c r="T284" i="78" s="1"/>
  <c r="L39" i="78"/>
  <c r="M37" i="66" s="1"/>
  <c r="K32" i="78"/>
  <c r="J24" i="83"/>
  <c r="L25" i="83"/>
  <c r="X270" i="83"/>
  <c r="L90" i="80"/>
  <c r="L49" i="80"/>
  <c r="N49" i="80" s="1"/>
  <c r="N47" i="80" s="1"/>
  <c r="N36" i="80" s="1"/>
  <c r="S8" i="39" s="1"/>
  <c r="J47" i="80"/>
  <c r="K31" i="66" s="1"/>
  <c r="X31" i="66"/>
  <c r="Y36" i="80"/>
  <c r="U6" i="66"/>
  <c r="V5" i="80"/>
  <c r="S306" i="80"/>
  <c r="R255" i="66" s="1"/>
  <c r="R306" i="80"/>
  <c r="J276" i="80"/>
  <c r="L277" i="80"/>
  <c r="L14" i="80"/>
  <c r="O5" i="80"/>
  <c r="N6" i="66"/>
  <c r="L213" i="80"/>
  <c r="L7" i="80"/>
  <c r="M7" i="66" s="1"/>
  <c r="M6" i="66" s="1"/>
  <c r="J6" i="80"/>
  <c r="W5" i="66"/>
  <c r="Q306" i="80"/>
  <c r="L62" i="80"/>
  <c r="L161" i="79"/>
  <c r="L32" i="79"/>
  <c r="M5" i="66" l="1"/>
  <c r="AF94" i="68"/>
  <c r="G6" i="69"/>
  <c r="J255" i="84"/>
  <c r="L255" i="84" s="1"/>
  <c r="L32" i="84"/>
  <c r="J8" i="39" s="1"/>
  <c r="J11" i="39" s="1"/>
  <c r="K5" i="68"/>
  <c r="AF6" i="68"/>
  <c r="K40" i="66"/>
  <c r="M147" i="66"/>
  <c r="Y5" i="66"/>
  <c r="T255" i="66"/>
  <c r="L24" i="78"/>
  <c r="M306" i="80"/>
  <c r="P12" i="69"/>
  <c r="J59" i="79"/>
  <c r="K59" i="66" s="1"/>
  <c r="V9" i="39"/>
  <c r="V11" i="39" s="1"/>
  <c r="V12" i="39" s="1"/>
  <c r="L70" i="79"/>
  <c r="M70" i="66" s="1"/>
  <c r="L8" i="39"/>
  <c r="L11" i="39" s="1"/>
  <c r="L12" i="39" s="1"/>
  <c r="N270" i="79"/>
  <c r="L77" i="78"/>
  <c r="M54" i="66" s="1"/>
  <c r="L254" i="78"/>
  <c r="K225" i="66"/>
  <c r="M162" i="66"/>
  <c r="P13" i="69" s="1"/>
  <c r="M226" i="66"/>
  <c r="L46" i="78"/>
  <c r="O25" i="83"/>
  <c r="O24" i="83" s="1"/>
  <c r="P8" i="39" s="1"/>
  <c r="P11" i="39" s="1"/>
  <c r="P12" i="39" s="1"/>
  <c r="L24" i="83"/>
  <c r="L108" i="79"/>
  <c r="M106" i="66" s="1"/>
  <c r="K106" i="66"/>
  <c r="K75" i="66" s="1"/>
  <c r="L32" i="81"/>
  <c r="S11" i="39"/>
  <c r="S12" i="39" s="1"/>
  <c r="L37" i="80"/>
  <c r="J36" i="80"/>
  <c r="K24" i="66" s="1"/>
  <c r="J32" i="83"/>
  <c r="L32" i="83" s="1"/>
  <c r="AD270" i="79"/>
  <c r="Y255" i="66" s="1"/>
  <c r="J12" i="39"/>
  <c r="L188" i="80"/>
  <c r="W306" i="80"/>
  <c r="V255" i="66" s="1"/>
  <c r="N306" i="80"/>
  <c r="J77" i="79"/>
  <c r="U270" i="79"/>
  <c r="P255" i="66" s="1"/>
  <c r="P75" i="66"/>
  <c r="J76" i="78"/>
  <c r="K53" i="66" s="1"/>
  <c r="K32" i="66" s="1"/>
  <c r="V270" i="79"/>
  <c r="Q255" i="66" s="1"/>
  <c r="G3" i="39"/>
  <c r="G7" i="39" s="1"/>
  <c r="L227" i="82"/>
  <c r="Q10" i="39"/>
  <c r="Q11" i="39" s="1"/>
  <c r="Q12" i="39" s="1"/>
  <c r="L257" i="82"/>
  <c r="L229" i="81"/>
  <c r="M10" i="39" s="1"/>
  <c r="J259" i="81"/>
  <c r="L259" i="81" s="1"/>
  <c r="N284" i="78"/>
  <c r="O255" i="66" s="1"/>
  <c r="V32" i="78"/>
  <c r="W53" i="66"/>
  <c r="U32" i="66"/>
  <c r="K284" i="78"/>
  <c r="J5" i="80"/>
  <c r="L6" i="80"/>
  <c r="L276" i="80"/>
  <c r="X24" i="66"/>
  <c r="Y306" i="80"/>
  <c r="X255" i="66" s="1"/>
  <c r="U5" i="66"/>
  <c r="V306" i="80"/>
  <c r="U255" i="66" s="1"/>
  <c r="L47" i="80"/>
  <c r="O306" i="80"/>
  <c r="N5" i="66"/>
  <c r="J50" i="80"/>
  <c r="R161" i="79"/>
  <c r="R77" i="79" s="1"/>
  <c r="AF5" i="68" l="1"/>
  <c r="G5" i="69"/>
  <c r="G10" i="69" s="1"/>
  <c r="G15" i="69" s="1"/>
  <c r="G23" i="69" s="1"/>
  <c r="K270" i="68"/>
  <c r="AF270" i="68" s="1"/>
  <c r="K255" i="66"/>
  <c r="M75" i="66"/>
  <c r="O270" i="83"/>
  <c r="G9" i="39"/>
  <c r="R12" i="69"/>
  <c r="L59" i="79"/>
  <c r="G18" i="69"/>
  <c r="R13" i="69"/>
  <c r="J32" i="78"/>
  <c r="H10" i="39"/>
  <c r="G10" i="39" s="1"/>
  <c r="M225" i="66"/>
  <c r="P21" i="69" s="1"/>
  <c r="M8" i="39"/>
  <c r="M11" i="39" s="1"/>
  <c r="M12" i="39" s="1"/>
  <c r="J270" i="79"/>
  <c r="L270" i="79" s="1"/>
  <c r="L36" i="80"/>
  <c r="N255" i="66"/>
  <c r="J270" i="83"/>
  <c r="L76" i="78"/>
  <c r="M53" i="66" s="1"/>
  <c r="L77" i="79"/>
  <c r="V284" i="78"/>
  <c r="W255" i="66" s="1"/>
  <c r="W32" i="66"/>
  <c r="L5" i="80"/>
  <c r="L50" i="80"/>
  <c r="J306" i="80"/>
  <c r="R270" i="79"/>
  <c r="W8" i="39"/>
  <c r="M32" i="66" l="1"/>
  <c r="P9" i="69"/>
  <c r="L32" i="78"/>
  <c r="M59" i="66"/>
  <c r="P8" i="69" s="1"/>
  <c r="L270" i="83"/>
  <c r="J284" i="78"/>
  <c r="L284" i="78" s="1"/>
  <c r="S21" i="69"/>
  <c r="R11" i="69"/>
  <c r="R14" i="69" s="1"/>
  <c r="P11" i="69"/>
  <c r="P14" i="69" s="1"/>
  <c r="S14" i="69" s="1"/>
  <c r="R21" i="69"/>
  <c r="P5" i="69"/>
  <c r="R5" i="69"/>
  <c r="L306" i="80"/>
  <c r="W11" i="39"/>
  <c r="W12" i="39" s="1"/>
  <c r="M255" i="66" l="1"/>
  <c r="H8" i="39"/>
  <c r="R7" i="69"/>
  <c r="R8" i="69"/>
  <c r="R6" i="69"/>
  <c r="R9" i="69"/>
  <c r="P7" i="69" l="1"/>
  <c r="P10" i="69" s="1"/>
  <c r="P15" i="69" s="1"/>
  <c r="G8" i="39"/>
  <c r="G11" i="39" s="1"/>
  <c r="G12" i="39" s="1"/>
  <c r="H11" i="39"/>
  <c r="H12" i="39" s="1"/>
  <c r="R10" i="69"/>
  <c r="R15" i="69" s="1"/>
  <c r="R23" i="69" s="1"/>
  <c r="S23" i="69" l="1"/>
  <c r="S10" i="69"/>
  <c r="S15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</authors>
  <commentList>
    <comment ref="U59" authorId="0" shapeId="0" xr:uid="{F5864261-8831-48AE-86D3-1F2C2ECD9CE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járdapályázat</t>
        </r>
      </text>
    </comment>
    <comment ref="AA59" authorId="0" shapeId="0" xr:uid="{061BFBE3-D6AB-4F01-9288-38A9D456A05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közműv. érdekeltségnöv. támogatás</t>
        </r>
      </text>
    </comment>
    <comment ref="AB85" authorId="0" shapeId="0" xr:uid="{3A6A0588-3630-4437-AFA6-EE8BE35F586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2.745.788,- Ft-tal megemlet összeg. (75%&gt;&gt;85%-os támogatás intenzitás) (Támogatói Okirat alapján</t>
        </r>
      </text>
    </comment>
    <comment ref="E115" authorId="0" shapeId="0" xr:uid="{C0AA313F-22B8-4228-8204-0EEEF21F8D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AC136" authorId="0" shapeId="0" xr:uid="{597D3F2C-8FE6-4E26-8AA0-2AD5F3CD90A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Szűcs Bertalan</t>
        </r>
      </text>
    </comment>
    <comment ref="Z138" authorId="0" shapeId="0" xr:uid="{D257B888-40AD-40AA-BDFF-7F5CC4EE03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Creawood Kft, gymstick aerobic</t>
        </r>
      </text>
    </comment>
    <comment ref="AB138" authorId="0" shapeId="0" xr:uid="{E7CABC31-37D8-402D-87CC-D07294D3F37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Virlicsné Tóth Gabriella, zumba: 13.500,- Ft</t>
        </r>
      </text>
    </comment>
    <comment ref="AE13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Y174" authorId="0" shapeId="0" xr:uid="{0C4A96B5-EA87-43DB-948A-0181548BAB7C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41.258,- Ft 2018. június havi túlfizetés visszafizetése</t>
        </r>
      </text>
    </comment>
    <comment ref="Z179" authorId="0" shapeId="0" xr:uid="{FA750D11-66E1-46F4-93FE-90ED20487AB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Tájház 5/6-od részének adásvételi előszerződés alapján fizetett részösszege.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  <author>Harmathné Szakács Adrienn</author>
  </authors>
  <commentList>
    <comment ref="X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X3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2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L52" authorId="1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U53" authorId="2" shapeId="0" xr:uid="{17FD0C41-267C-405F-9EFB-1C54E55ABB6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Felcsúti Homok Kft. - ált. karbantartás</t>
        </r>
      </text>
    </comment>
    <comment ref="U55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X61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400.000,- Ft (nettó); Marsalné Kovács Judit: 500.000,- Ft (ÁHK) települési főépítészi feladatok ellátása</t>
        </r>
      </text>
    </comment>
    <comment ref="U64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Q75" authorId="2" shapeId="0" xr:uid="{0550EA5E-A4B0-4BFF-820D-4D399B3254B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</t>
        </r>
      </text>
    </comment>
    <comment ref="R75" authorId="2" shapeId="0" xr:uid="{60174C67-9024-46FE-9DDB-C0F1AFC3498D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gyereknap: 136.458,- Ft,
Kultúrház átadó ünnepség: 48.534,- Ft</t>
        </r>
      </text>
    </comment>
    <comment ref="S75" authorId="2" shapeId="0" xr:uid="{26BB8584-50FD-4AC5-9356-07E1A24E3C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Kultúrház átadó: 851.225,- Ft,
Futóverseny: 21.524,- 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  <author>Kekezsu</author>
  </authors>
  <commentList>
    <comment ref="L7" authorId="0" shapeId="0" xr:uid="{B7778136-875A-4987-90C3-829D61AD364E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Varga Zoli</t>
        </r>
      </text>
    </comment>
    <comment ref="L22" authorId="0" shapeId="0" xr:uid="{784B7635-F944-430C-B55B-8E17D0DA561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Izbéki Balázs</t>
        </r>
      </text>
    </comment>
    <comment ref="E45" authorId="1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P49" authorId="2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1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W158" authorId="0" shapeId="0" xr:uid="{B17C9445-B300-4D44-93F3-7FE90FFF267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M43" authorId="0" shapeId="0" xr:uid="{E223225F-1A8E-45D3-8252-EF9125CD29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S157" authorId="0" shapeId="0" xr:uid="{D4DA361C-449C-402E-A8D4-68856E295128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Adri</author>
    <author>Harmathné Szakács Adrienn</author>
  </authors>
  <commentList>
    <comment ref="W49" authorId="0" shapeId="0" xr:uid="{0AAD665A-DE61-4F31-95FC-827379F8F2F7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Táblák telepítése  nettó</t>
        </r>
      </text>
    </comment>
    <comment ref="X49" authorId="1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 + járdaépítés műszaki ellenőrzés</t>
        </r>
      </text>
    </comment>
    <comment ref="X158" authorId="1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  <comment ref="U159" authorId="2" shapeId="0" xr:uid="{0528FB01-94C2-41FF-8FC4-D4142B77873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R.NISI Kft.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Riegelman Henrik</author>
    <author>Kekezsu</author>
    <author>Adri</author>
    <author>Harmathné Szakács Adrienn</author>
  </authors>
  <commentList>
    <comment ref="Z83" authorId="0" shapeId="0" xr:uid="{ADDB9B7F-5BEE-4A90-BD85-30CD064646AB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Könyvtárszekrények összeszerelés, karbantartás</t>
        </r>
      </text>
    </comment>
    <comment ref="C87" authorId="1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X87" authorId="2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Y196" authorId="0" shapeId="0" xr:uid="{780C4E2C-8E7B-47ED-9BB8-10FF1ADC7335}">
      <text>
        <r>
          <rPr>
            <b/>
            <sz val="9"/>
            <color indexed="81"/>
            <rFont val="Tahoma"/>
            <family val="2"/>
            <charset val="238"/>
          </rPr>
          <t>dr. Riegelman Henrik:</t>
        </r>
        <r>
          <rPr>
            <sz val="9"/>
            <color indexed="81"/>
            <rFont val="Tahoma"/>
            <family val="2"/>
            <charset val="238"/>
          </rPr>
          <t xml:space="preserve">
iratszekrény nettó</t>
        </r>
      </text>
    </comment>
    <comment ref="O205" authorId="2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Q205" authorId="3" shapeId="0" xr:uid="{A2094C97-F824-4E3C-A953-CC0187795B8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szerződéskötés díja (B3 Bank): 75.000,- Ft,
FMKH Bicskei JH jelzálogjog bejegyzése: 12.600,- Ft
VILL-LUX Á.L.: 3.898,- Ft (világítástechnika), (nettó)
</t>
        </r>
      </text>
    </comment>
    <comment ref="R205" authorId="2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8.877.143,- Ft (nettó),
Dr. Szarvas Erika közjegyzői díj (kölcsönszerződés) (ÁHK): 45.310,- Ft,
Actor Plusz Kft. (hulladékkezelési díj): 315.430,- Ft (nettó),
Kéri Zita (műszaki szakkérés, zéro riport): 80.000,- Ft, (nettó)
Izsó József Trans Bt. (gépi földmunka): 24.000,- Ft (nettó),
B3 Takarékszövetkezet (hitelbírálati díj): 75.000,- Ft,
S-Guard Security (Riasztóberendezés): 288.840,- Ft, 
Etyeki Tüzép Kft. (Kultúrház_kerítés lábazat javítása): 16.500,- Ft</t>
        </r>
      </text>
    </comment>
    <comment ref="S205" authorId="3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Otwand Kft. (álmennyezet): 580.072,- Ft (nettó),
Tartálygyár Kft.: 81.000,- Ft (nettó)</t>
        </r>
      </text>
    </comment>
    <comment ref="T205" authorId="3" shapeId="0" xr:uid="{1127868A-54A6-44CD-B480-27873A6EC4BB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</t>
        </r>
      </text>
    </comment>
    <comment ref="U205" authorId="3" shapeId="0" xr:uid="{3311EC2A-26C7-4BA4-BEF2-8272753F603F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Bés Kft.: 11.655.364,- Ft,
OBI: 4.717,- Ft,
Actor Trans Kft: 52.000,- Ft,
Kéri Zita: 60.000,- Ft,
S-GUARD SECURITY: 81.000,- Ft, (AAM)
Kállai Éva: 300.000,- Ft, (AAM)
Fejérvíz Zrt: 16.600,- Ft</t>
        </r>
      </text>
    </comment>
    <comment ref="V205" authorId="3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Bőke Róbert (műszaki ellenőr): 275.000,- Ft (nettó)
FMKH Móri Járási Hivatal: 8.700,- Ft (ÁHK)</t>
        </r>
      </text>
    </comment>
    <comment ref="W205" authorId="3" shapeId="0" xr:uid="{ECFE5668-6B8F-4499-B7D8-CF07AEF26099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
Kállai Éva (projektmenedzsment): 300.000,- Ft,
OTWAND Kft. (szabási veszteségből származó többletktsg): 21.900,- Ft (nettó)</t>
        </r>
      </text>
    </comment>
    <comment ref="X205" authorId="3" shapeId="0" xr:uid="{BAAD5881-A5A7-4B11-9B63-C1B297B2092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Sátori György: 195.000,- Ft (nettó),
Kállai Éva (projektmenedzsment): 300.000,- Ft,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Harmathné Szakács Adrienn</author>
  </authors>
  <commentList>
    <comment ref="D76" authorId="0" shapeId="0" xr:uid="{00000000-0006-0000-0A00-000006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W82" authorId="1" shapeId="0" xr:uid="{5C5D0B38-E184-4B14-B5E3-2013657A94C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2017. évi ktsgvetési beszámolóban megállapított visszafizetési kötelezettség</t>
        </r>
      </text>
    </comment>
    <comment ref="L153" authorId="1" shapeId="0" xr:uid="{1E016516-685F-44C3-A71B-E8DA6CAE5A92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Támogatás összege: 500.000,- Ft
Rezsiktsg elszámolása szerinti összeg: 158.814,- Ft
(a rezsiktsg 100.000,- Ft-ot meghaladó része: 58.814,- Ft)
Támogatás rezsiktsg elszámolás után: 500.000,- - 58.814,- = 441.186,- Ft</t>
        </r>
      </text>
    </comment>
    <comment ref="T165" authorId="1" shapeId="0" xr:uid="{42923416-1826-4118-BA08-257D6BF2382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97/3 hrsz.-ú telekalakítás ktsge: 24.000,- Ft,
Illetékbélyeg: 3.000,- Ft
</t>
        </r>
      </text>
    </comment>
  </commentList>
</comments>
</file>

<file path=xl/sharedStrings.xml><?xml version="1.0" encoding="utf-8"?>
<sst xmlns="http://schemas.openxmlformats.org/spreadsheetml/2006/main" count="5113" uniqueCount="1062">
  <si>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</si>
  <si>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</si>
  <si>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</si>
  <si>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</si>
  <si>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</si>
  <si>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</si>
  <si>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</si>
  <si>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</si>
  <si>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</si>
  <si>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</si>
  <si>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</si>
  <si>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</si>
  <si>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</si>
  <si>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</si>
  <si>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</si>
  <si>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</si>
  <si>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</si>
  <si>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</si>
  <si>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</si>
  <si>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</si>
  <si>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</si>
  <si>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</si>
  <si>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</si>
  <si>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</si>
  <si>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</si>
  <si>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</si>
  <si>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</si>
  <si>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</si>
  <si>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</si>
  <si>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</si>
  <si>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</si>
  <si>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</si>
  <si>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</si>
  <si>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</si>
  <si>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</si>
  <si>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</si>
  <si>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</si>
  <si>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</si>
  <si>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</si>
  <si>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</si>
  <si>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</si>
  <si>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</si>
  <si>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</si>
  <si>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</si>
  <si>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</si>
  <si>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</si>
  <si>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</si>
  <si>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</si>
  <si>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</si>
  <si>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</si>
  <si>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</si>
  <si>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</si>
  <si>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</si>
  <si>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</si>
  <si>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</si>
  <si>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</si>
  <si>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</si>
  <si>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</si>
  <si>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</si>
  <si>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</si>
  <si>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</si>
  <si>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</si>
  <si>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</si>
  <si>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</si>
  <si>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</si>
  <si>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</si>
  <si>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</si>
  <si>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</si>
  <si>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</si>
  <si>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</si>
  <si>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</si>
  <si>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</si>
  <si>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</si>
  <si>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</si>
  <si>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</si>
  <si>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</si>
  <si>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</si>
  <si>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</si>
  <si>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</si>
  <si>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</si>
  <si>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</si>
  <si>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</si>
  <si>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</si>
  <si>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</si>
  <si>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</si>
  <si>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</si>
  <si>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</si>
  <si>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</si>
  <si>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</si>
  <si>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</si>
  <si>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</si>
  <si>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</si>
  <si>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</si>
  <si>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</si>
  <si>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</si>
  <si>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</si>
  <si>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</si>
  <si>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</si>
  <si>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</si>
  <si>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</si>
  <si>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</si>
  <si>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</si>
  <si>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</si>
  <si>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</si>
  <si>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</si>
  <si>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</si>
  <si>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</si>
  <si>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</si>
  <si>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</si>
  <si>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</si>
  <si>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</si>
  <si>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</si>
  <si>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</si>
  <si>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</si>
  <si>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</si>
  <si>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</si>
  <si>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</si>
  <si>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</si>
  <si>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</si>
  <si>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</si>
  <si>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</si>
  <si>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</si>
  <si>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</si>
  <si>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</si>
  <si>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</si>
  <si>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</si>
  <si>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</si>
  <si>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</si>
  <si>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</si>
  <si>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</si>
  <si>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</si>
  <si>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</si>
  <si>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</si>
  <si>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</si>
  <si>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</si>
  <si>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</si>
  <si>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</si>
  <si>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</si>
  <si>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</si>
  <si>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</si>
  <si>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</si>
  <si>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</si>
  <si>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</si>
  <si>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</si>
  <si>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</si>
  <si>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</si>
  <si>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</si>
  <si>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</si>
  <si>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</si>
  <si>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</si>
  <si>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</si>
  <si>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</si>
  <si>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</si>
  <si>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</si>
  <si>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</si>
  <si>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</si>
  <si>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</si>
  <si>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</si>
  <si>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</si>
  <si>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</si>
  <si>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</si>
  <si>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</si>
  <si>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</si>
  <si>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</si>
  <si>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</si>
  <si>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</si>
  <si>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</si>
  <si>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</si>
  <si>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</si>
  <si>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</si>
  <si>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</si>
  <si>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</si>
  <si>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</si>
  <si>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</si>
  <si>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</si>
  <si>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</si>
  <si>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</si>
  <si>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</si>
  <si>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</si>
  <si>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</si>
  <si>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</si>
  <si>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</si>
  <si>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</si>
  <si>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</si>
  <si>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</si>
  <si>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</si>
  <si>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</si>
  <si>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</si>
  <si>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</si>
  <si>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</si>
  <si>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</si>
  <si>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</si>
  <si>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</si>
  <si>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</si>
  <si>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</si>
  <si>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</si>
  <si>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</si>
  <si>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</si>
  <si>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</si>
  <si>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</si>
  <si>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</si>
  <si>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</si>
  <si>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</si>
  <si>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</si>
  <si>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</si>
  <si>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</si>
  <si>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</si>
  <si>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</si>
  <si>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</si>
  <si>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</si>
  <si>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</si>
  <si>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</si>
  <si>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</si>
  <si>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</si>
  <si>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</si>
  <si>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</si>
  <si>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</si>
  <si>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</si>
  <si>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</si>
  <si>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</si>
  <si>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</si>
  <si>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</si>
  <si>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</si>
  <si>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</si>
  <si>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</si>
  <si>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</si>
  <si>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</si>
  <si>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</si>
  <si>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</si>
  <si>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</si>
  <si>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</si>
  <si>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</si>
  <si>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</si>
  <si>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</si>
  <si>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</si>
  <si>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</si>
  <si>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</si>
  <si>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</si>
  <si>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</si>
  <si>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</si>
  <si>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</si>
  <si>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</si>
  <si>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</si>
  <si>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</si>
  <si>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</si>
  <si>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</si>
  <si>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</si>
  <si>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</si>
  <si>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</si>
  <si>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</si>
  <si>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</si>
  <si>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</si>
  <si>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</si>
  <si>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</si>
  <si>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</si>
  <si>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</si>
  <si>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</si>
  <si>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</si>
  <si>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</si>
  <si>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</si>
  <si>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</si>
  <si>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</si>
  <si>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</si>
  <si>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</si>
  <si>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</si>
  <si>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</si>
  <si>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</si>
  <si>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</si>
  <si>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</si>
  <si>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</si>
  <si>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</si>
  <si>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</si>
  <si>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</si>
  <si>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</si>
  <si>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</si>
  <si>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</si>
  <si>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</si>
  <si>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</si>
  <si>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</si>
  <si>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</si>
  <si>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</si>
  <si>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</si>
  <si>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</si>
  <si>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</si>
  <si>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</si>
  <si>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</si>
  <si>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</si>
  <si>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</si>
  <si>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</si>
  <si>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</si>
  <si>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</si>
  <si>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</si>
  <si>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</si>
  <si>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</si>
  <si>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</si>
  <si>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</si>
  <si>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</si>
  <si>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</si>
  <si>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</si>
  <si>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</si>
  <si>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</si>
  <si>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</si>
  <si>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</si>
  <si>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</si>
  <si>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</si>
  <si>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</si>
  <si>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</si>
  <si>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</si>
  <si>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</si>
  <si>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</si>
  <si>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</si>
  <si>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</si>
  <si>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</si>
  <si>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</si>
  <si>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</si>
  <si>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</si>
  <si>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</si>
  <si>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</si>
  <si>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</si>
  <si>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</si>
  <si>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</si>
  <si>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</si>
  <si>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</si>
  <si>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</si>
  <si>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</si>
  <si>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</si>
  <si>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</si>
  <si>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</si>
  <si>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</si>
  <si>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</si>
  <si>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</si>
  <si>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</si>
  <si>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</si>
  <si>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</si>
  <si>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</si>
  <si>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</si>
  <si>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</si>
  <si>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</si>
  <si>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</si>
  <si>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</si>
  <si>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</si>
  <si>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</si>
  <si>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</si>
  <si>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</si>
  <si>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</si>
  <si>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</si>
  <si>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</si>
  <si>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</si>
  <si>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</si>
  <si>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</si>
  <si>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</si>
  <si>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</si>
  <si>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</si>
  <si>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</si>
  <si>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</si>
  <si>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</si>
  <si>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</si>
  <si>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</si>
  <si>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</si>
  <si>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</si>
  <si>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</si>
  <si>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</si>
  <si>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</si>
  <si>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</si>
  <si>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</si>
  <si>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</si>
  <si>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</si>
  <si>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</si>
  <si>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</si>
  <si>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</si>
  <si>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</si>
  <si>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</si>
  <si>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</si>
  <si>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</si>
  <si>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</si>
  <si>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</si>
  <si>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</si>
  <si>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</si>
  <si>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</si>
  <si>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</si>
  <si>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</si>
  <si>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</si>
  <si>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</si>
  <si>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</si>
  <si>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</si>
  <si>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</si>
  <si>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</si>
  <si>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</si>
  <si>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</si>
  <si>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</si>
  <si>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</si>
  <si>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</si>
  <si>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</si>
  <si>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</si>
  <si>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</si>
  <si>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</si>
  <si>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</si>
  <si>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</si>
  <si>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</si>
  <si>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</si>
  <si>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</si>
  <si>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</si>
  <si>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</si>
  <si>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</si>
  <si>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</si>
  <si>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</si>
  <si>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</si>
  <si>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</si>
  <si>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</si>
  <si>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</si>
  <si>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</si>
  <si>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</si>
  <si>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</si>
  <si>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</si>
  <si>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</si>
  <si>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</si>
  <si>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</si>
  <si>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</si>
  <si>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</si>
  <si>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</si>
  <si>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</si>
  <si>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</si>
  <si>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</si>
  <si>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</si>
  <si>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</si>
  <si>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</si>
  <si>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</si>
  <si>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</si>
  <si>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</si>
  <si>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</si>
  <si>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</si>
  <si>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</si>
  <si>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</si>
  <si>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</si>
  <si>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</si>
  <si>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</si>
  <si>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</si>
  <si>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</si>
  <si>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</si>
  <si>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</si>
  <si>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</si>
  <si>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</si>
  <si>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</si>
  <si>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</si>
  <si>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</si>
  <si>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</si>
  <si>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</si>
  <si>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</si>
  <si>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</si>
  <si>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</si>
  <si>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</si>
  <si>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</si>
  <si>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</si>
  <si>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</si>
  <si>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</si>
  <si>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</si>
  <si>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</si>
  <si>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</si>
  <si>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</si>
  <si>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</si>
  <si>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</si>
  <si>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</si>
  <si>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</si>
  <si>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</si>
  <si>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</si>
  <si>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</si>
  <si>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</si>
  <si>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</si>
  <si>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</si>
  <si>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</si>
  <si>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</si>
  <si>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</si>
  <si>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</si>
  <si>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</si>
  <si>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</si>
  <si>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</si>
  <si>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</si>
  <si>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</si>
  <si>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</si>
  <si>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</si>
  <si>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</si>
  <si>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</si>
  <si>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</si>
  <si>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</si>
  <si>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</si>
  <si>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</si>
  <si>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</si>
  <si>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</si>
  <si>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</si>
  <si>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</si>
  <si>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</si>
  <si>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</si>
  <si>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</si>
  <si>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</si>
  <si>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</si>
  <si>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</si>
  <si>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</si>
  <si>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</si>
  <si>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</si>
  <si>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</si>
  <si>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</si>
  <si>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</si>
  <si>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</si>
  <si>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</si>
  <si>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</si>
  <si>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</si>
  <si>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</si>
  <si>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</si>
  <si>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</si>
  <si>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</si>
  <si>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</si>
  <si>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</si>
  <si>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</si>
  <si>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</si>
  <si>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</si>
  <si>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</si>
  <si>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</si>
  <si>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</si>
  <si>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</si>
  <si>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</si>
  <si>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</si>
  <si>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</si>
  <si>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</si>
  <si>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</si>
  <si>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</si>
  <si>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</si>
  <si>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</si>
  <si>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</si>
  <si>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</si>
  <si>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</si>
  <si>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</si>
  <si>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</si>
  <si>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</si>
  <si>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</si>
  <si>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</si>
  <si>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</si>
  <si>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</si>
  <si>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</si>
  <si>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</si>
  <si>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</si>
  <si>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</si>
  <si>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</si>
  <si>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</si>
  <si>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</si>
  <si>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</si>
  <si>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</si>
  <si>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</si>
  <si>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</si>
  <si>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</si>
  <si>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</si>
  <si>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</si>
  <si>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</si>
  <si>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</si>
  <si>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</si>
  <si>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</si>
  <si>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</si>
  <si>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</si>
  <si>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</si>
  <si>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</si>
  <si>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</si>
  <si>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</si>
  <si>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</si>
  <si>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</si>
  <si>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</si>
  <si>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</si>
  <si>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</si>
  <si>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</si>
  <si>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</si>
  <si>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</si>
  <si>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</si>
  <si>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</si>
  <si>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</si>
  <si>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</si>
  <si>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</si>
  <si>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</si>
  <si>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</si>
  <si>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</si>
  <si>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</si>
  <si>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</si>
  <si>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</si>
  <si>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</si>
  <si>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</si>
  <si>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</si>
  <si>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</si>
  <si>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</si>
  <si>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</si>
  <si>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</si>
  <si>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</si>
  <si>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</si>
  <si>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</si>
  <si>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</si>
  <si>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</si>
  <si>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</si>
  <si>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</si>
  <si>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</si>
  <si>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</si>
  <si>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</si>
  <si>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</si>
  <si>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</si>
  <si>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</si>
  <si>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</si>
  <si>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</si>
  <si>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</si>
  <si>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</si>
  <si>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</si>
  <si>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</si>
  <si>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</si>
  <si>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</si>
  <si>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</si>
  <si>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</si>
  <si>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</si>
  <si>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</si>
  <si>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</si>
  <si>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</si>
  <si>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</si>
  <si>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</si>
  <si>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</si>
  <si>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</si>
  <si>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</si>
  <si>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</si>
  <si>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</si>
  <si>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</si>
  <si>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</si>
  <si>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</si>
  <si>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</si>
  <si>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</si>
  <si>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</si>
  <si>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</si>
  <si>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</si>
  <si>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</si>
  <si>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</si>
  <si>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</si>
  <si>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</si>
  <si>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</si>
  <si>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</si>
  <si>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</si>
  <si>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</si>
  <si>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</si>
  <si>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</si>
  <si>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</si>
  <si>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</si>
  <si>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</si>
  <si>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</si>
  <si>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</si>
  <si>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</si>
  <si>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</si>
  <si>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</si>
  <si>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</si>
  <si>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</si>
  <si>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</si>
  <si>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</si>
  <si>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</si>
  <si>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</si>
  <si>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</si>
  <si>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</si>
  <si>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</si>
  <si>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</si>
  <si>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</si>
  <si>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</si>
  <si>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</si>
  <si>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</si>
  <si>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</si>
  <si>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</si>
  <si>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</si>
  <si>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</si>
  <si>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</si>
  <si>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</si>
  <si>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</si>
  <si>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</si>
  <si>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</si>
  <si>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</si>
  <si>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</si>
  <si>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</si>
  <si>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</si>
  <si>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</si>
  <si>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</si>
  <si>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</si>
  <si>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</si>
  <si>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</si>
  <si>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</si>
  <si>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</si>
  <si>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</si>
  <si>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</si>
  <si>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</si>
  <si>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</si>
  <si>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</si>
  <si>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</si>
  <si>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</si>
  <si>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</si>
  <si>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</si>
  <si>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</si>
  <si>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</si>
  <si>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</si>
  <si>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</si>
  <si>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</si>
  <si>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</si>
  <si>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</si>
  <si>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</si>
  <si>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</si>
  <si>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</si>
  <si>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</si>
  <si>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</si>
  <si>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</si>
  <si>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</si>
  <si>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</si>
  <si>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</si>
  <si>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</si>
  <si>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</si>
  <si>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</si>
  <si>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</si>
  <si>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</si>
  <si>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</si>
  <si>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</si>
  <si>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</si>
  <si>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</si>
  <si>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</si>
  <si>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</si>
  <si>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</si>
  <si>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</si>
  <si>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</si>
  <si>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</si>
  <si>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</si>
  <si>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</si>
  <si>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</si>
  <si>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</si>
  <si>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</si>
  <si>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</si>
  <si>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</si>
  <si>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</si>
  <si>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</si>
  <si>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</si>
  <si>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</si>
  <si>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</si>
  <si>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</si>
  <si>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</si>
  <si>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</si>
  <si>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</si>
  <si>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</si>
  <si>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</si>
  <si>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</si>
  <si>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</si>
  <si>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</si>
  <si>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</si>
  <si>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</si>
  <si>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</si>
  <si>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</si>
  <si>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</si>
  <si>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</si>
  <si>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</si>
  <si>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</si>
  <si>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</si>
  <si>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</si>
  <si>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</si>
  <si>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</si>
  <si>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</si>
  <si>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</si>
  <si>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</si>
  <si>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</si>
  <si>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</si>
  <si>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</si>
  <si>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</si>
  <si>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</si>
  <si>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</si>
  <si>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</si>
  <si>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</si>
  <si>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</si>
  <si>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</si>
  <si>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</si>
  <si>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</si>
  <si>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</si>
  <si>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</si>
  <si>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</si>
  <si>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</si>
  <si>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</si>
  <si>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</si>
  <si>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</si>
  <si>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</si>
  <si>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</si>
  <si>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</si>
  <si>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</si>
  <si>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</si>
  <si>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</si>
  <si>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</si>
  <si>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</si>
  <si>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</si>
  <si>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</si>
  <si>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</si>
  <si>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</si>
  <si>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</si>
  <si>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</si>
  <si>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</si>
  <si>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</si>
  <si>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</si>
  <si>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</si>
  <si>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</si>
  <si>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</si>
  <si>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</si>
  <si>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</si>
  <si>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</si>
  <si>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</si>
  <si>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</si>
  <si>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</si>
  <si>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</si>
  <si>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</si>
  <si>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</si>
  <si>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</si>
  <si>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</si>
  <si>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</si>
  <si>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</si>
  <si>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</si>
  <si>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</si>
  <si>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</si>
  <si>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</si>
  <si>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</si>
  <si>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</si>
  <si>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</si>
  <si>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</si>
  <si>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</si>
  <si>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</si>
  <si>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</si>
  <si>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</si>
  <si>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</si>
  <si>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</si>
  <si>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</si>
  <si>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</si>
  <si>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</si>
  <si>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</si>
  <si>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</si>
  <si>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</si>
  <si>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</si>
  <si>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</si>
  <si>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</si>
  <si>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</si>
  <si>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</si>
  <si>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</si>
  <si>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</si>
  <si>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</si>
  <si>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</si>
  <si>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</si>
  <si>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</si>
  <si>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</si>
  <si>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</si>
  <si>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</si>
  <si>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</si>
  <si>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</si>
  <si>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</si>
  <si>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</si>
  <si>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</si>
  <si>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</si>
  <si>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</si>
  <si>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</si>
  <si>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</si>
  <si>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</si>
  <si>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</si>
  <si>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</si>
  <si>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</si>
  <si>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</si>
  <si>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</si>
  <si>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</si>
  <si>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</si>
  <si>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</si>
  <si>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</si>
  <si>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</si>
  <si>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</si>
  <si>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</si>
  <si>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</si>
  <si>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</si>
  <si>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</si>
  <si>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</si>
  <si>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</si>
  <si>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</si>
  <si>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</si>
  <si>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</si>
  <si>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</si>
  <si>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</si>
  <si>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</si>
  <si>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</si>
  <si>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</si>
  <si>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</si>
  <si>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</si>
  <si>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</si>
  <si>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</si>
  <si>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</si>
  <si>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</si>
  <si>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</si>
  <si>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</si>
  <si>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</si>
  <si>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</si>
  <si>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</si>
  <si>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</si>
  <si>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</si>
  <si>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</si>
  <si>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</si>
  <si>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</si>
  <si>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</si>
  <si>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</si>
  <si>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</si>
  <si>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</si>
  <si>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</si>
  <si>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</si>
  <si>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</si>
  <si>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</si>
  <si>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</si>
  <si>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</si>
  <si>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</si>
  <si>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</si>
  <si>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</si>
  <si>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</si>
  <si>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</si>
  <si>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</si>
  <si>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</si>
  <si>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</si>
  <si>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</si>
  <si>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</si>
  <si>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</si>
  <si>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</si>
  <si>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</si>
  <si>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</si>
  <si>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</si>
  <si>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</si>
  <si>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</si>
  <si>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</si>
  <si>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</si>
  <si>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</si>
  <si>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</si>
  <si>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</si>
  <si>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</si>
  <si>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</si>
  <si>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</si>
  <si>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</si>
  <si>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</si>
  <si>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</si>
  <si>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</si>
  <si>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</si>
  <si>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</si>
  <si>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</si>
  <si>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</si>
  <si>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</si>
  <si>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</si>
  <si>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</si>
  <si>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</si>
  <si>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</si>
  <si>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</si>
  <si>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</si>
  <si>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</si>
  <si>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</si>
  <si>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</si>
  <si>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</si>
  <si>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</si>
  <si>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</si>
  <si>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</si>
  <si>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</si>
  <si>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</si>
  <si>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</si>
  <si>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</si>
  <si>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</si>
  <si>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</si>
  <si>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</si>
  <si>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</si>
  <si>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</si>
  <si>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</si>
  <si>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</si>
  <si>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</si>
  <si>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</si>
  <si>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</si>
  <si>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</si>
  <si>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</si>
  <si>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</si>
  <si>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</si>
  <si>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</si>
  <si>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</si>
  <si>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</si>
  <si>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</si>
  <si>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</si>
  <si>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</si>
  <si>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</si>
  <si>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</si>
  <si>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</si>
  <si>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</si>
  <si>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</si>
  <si>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</si>
  <si>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</si>
  <si>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</si>
  <si>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</si>
  <si>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</si>
  <si>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</si>
  <si>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</si>
  <si>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</si>
  <si>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</si>
  <si>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</si>
  <si>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</si>
  <si>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</si>
  <si>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</si>
  <si>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</si>
  <si>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</si>
  <si>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</si>
  <si>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</si>
  <si>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</si>
  <si>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</si>
  <si>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</si>
  <si>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</si>
  <si>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</si>
  <si>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</si>
  <si>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</si>
  <si>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</si>
  <si>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</si>
  <si>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</si>
  <si>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</si>
  <si>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</si>
  <si>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</si>
  <si>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</si>
  <si>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</si>
  <si>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</si>
  <si>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</si>
  <si>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</si>
  <si>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</si>
  <si>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</si>
  <si>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</si>
  <si>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</si>
  <si>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</si>
  <si>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</si>
  <si>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</si>
  <si>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</si>
  <si>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</si>
  <si>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</si>
  <si>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</si>
  <si>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</si>
  <si>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</si>
  <si>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</si>
  <si>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</si>
  <si>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</si>
  <si>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</si>
  <si>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</si>
  <si>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</si>
  <si>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</si>
  <si>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</si>
  <si>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</si>
  <si>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</si>
  <si>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</si>
  <si>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</si>
  <si>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</si>
  <si>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</si>
  <si>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</si>
  <si>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</si>
  <si>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</si>
  <si>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</si>
  <si>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</si>
  <si>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</si>
  <si>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</si>
  <si>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</si>
  <si>
    <t>Módosított előírányzat havi ütemezése</t>
  </si>
  <si>
    <t xml:space="preserve"> </t>
  </si>
  <si>
    <t>4/2018. (III.12.) önk. rend.</t>
  </si>
  <si>
    <t>Teljesítések</t>
  </si>
  <si>
    <t>5/2018. (V.7.) önk. rend.</t>
  </si>
  <si>
    <t>13/2018. (VI.7.) önk. rend.</t>
  </si>
  <si>
    <t>052020 - Szennyvíz gyűjtése, tisztítása, elhelyezése</t>
  </si>
  <si>
    <t>informatikai szolgáltatás (DP Uniti Kft.)</t>
  </si>
  <si>
    <t>Szári Német Nemzetiségi Önkormányzat</t>
  </si>
  <si>
    <t>ASP</t>
  </si>
  <si>
    <t>Előirányzat módosítás</t>
  </si>
  <si>
    <t>Mária Nyugdíjas Klub (Segítő szívvel, jó szándékkal…+Bicskei tűzoltóság)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</si>
</sst>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744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79" xfId="0" applyNumberFormat="1" applyFont="1" applyFill="1" applyBorder="1" applyAlignment="1">
      <alignment vertical="center"/>
    </xf>
    <xf numFmtId="3" fontId="3" fillId="4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3" fontId="8" fillId="4" borderId="80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7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1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88" xfId="0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88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3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5" fillId="0" borderId="92" xfId="0" applyNumberFormat="1" applyFont="1" applyFill="1" applyBorder="1" applyAlignment="1">
      <alignment vertical="center"/>
    </xf>
    <xf numFmtId="3" fontId="3" fillId="4" borderId="92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8" fillId="4" borderId="92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3" fillId="0" borderId="92" xfId="0" applyNumberFormat="1" applyFont="1" applyFill="1" applyBorder="1" applyAlignment="1">
      <alignment vertical="center"/>
    </xf>
    <xf numFmtId="3" fontId="8" fillId="0" borderId="97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3" fillId="4" borderId="100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4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3" fillId="3" borderId="105" xfId="1" applyNumberFormat="1" applyFont="1" applyFill="1" applyBorder="1" applyAlignment="1">
      <alignment horizontal="right" vertical="center"/>
    </xf>
    <xf numFmtId="3" fontId="3" fillId="4" borderId="106" xfId="1" applyNumberFormat="1" applyFont="1" applyFill="1" applyBorder="1" applyAlignment="1">
      <alignment horizontal="right" vertical="center"/>
    </xf>
    <xf numFmtId="3" fontId="2" fillId="0" borderId="100" xfId="1" applyNumberFormat="1" applyFont="1" applyFill="1" applyBorder="1" applyAlignment="1">
      <alignment horizontal="right" vertical="center"/>
    </xf>
    <xf numFmtId="3" fontId="3" fillId="0" borderId="106" xfId="1" applyNumberFormat="1" applyFont="1" applyFill="1" applyBorder="1" applyAlignment="1">
      <alignment horizontal="right" vertical="center"/>
    </xf>
    <xf numFmtId="3" fontId="3" fillId="0" borderId="100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6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vertical="center"/>
    </xf>
    <xf numFmtId="3" fontId="5" fillId="0" borderId="100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98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07" xfId="0" applyNumberFormat="1" applyFont="1" applyFill="1" applyBorder="1" applyAlignment="1">
      <alignment vertical="center"/>
    </xf>
    <xf numFmtId="0" fontId="6" fillId="0" borderId="108" xfId="1" applyFont="1" applyFill="1" applyBorder="1" applyAlignment="1">
      <alignment horizontal="left"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1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88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0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2" fillId="0" borderId="101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3" xfId="0" applyNumberFormat="1" applyFont="1" applyFill="1" applyBorder="1" applyAlignment="1">
      <alignment vertical="center"/>
    </xf>
    <xf numFmtId="3" fontId="3" fillId="4" borderId="113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3" fontId="2" fillId="0" borderId="114" xfId="0" applyNumberFormat="1" applyFont="1" applyBorder="1" applyAlignment="1">
      <alignment vertical="center"/>
    </xf>
    <xf numFmtId="3" fontId="2" fillId="0" borderId="92" xfId="0" applyNumberFormat="1" applyFont="1" applyBorder="1" applyAlignment="1">
      <alignment vertical="center"/>
    </xf>
    <xf numFmtId="3" fontId="3" fillId="0" borderId="87" xfId="0" applyNumberFormat="1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8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5" fillId="0" borderId="113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2" fillId="0" borderId="119" xfId="0" applyNumberFormat="1" applyFont="1" applyBorder="1" applyAlignment="1">
      <alignment vertical="center"/>
    </xf>
    <xf numFmtId="3" fontId="2" fillId="0" borderId="120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0" fontId="10" fillId="0" borderId="4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8" fillId="4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2" fillId="0" borderId="97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3" fillId="4" borderId="97" xfId="0" applyNumberFormat="1" applyFont="1" applyFill="1" applyBorder="1" applyAlignment="1">
      <alignment vertical="center"/>
    </xf>
    <xf numFmtId="3" fontId="3" fillId="0" borderId="96" xfId="0" applyNumberFormat="1" applyFont="1" applyFill="1" applyBorder="1" applyAlignment="1">
      <alignment vertical="center"/>
    </xf>
    <xf numFmtId="3" fontId="3" fillId="0" borderId="97" xfId="0" applyNumberFormat="1" applyFont="1" applyFill="1" applyBorder="1" applyAlignment="1">
      <alignment vertical="center"/>
    </xf>
    <xf numFmtId="3" fontId="8" fillId="4" borderId="97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5" fillId="0" borderId="96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2" fillId="0" borderId="45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5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4" borderId="125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25" xfId="0" applyNumberFormat="1" applyFont="1" applyFill="1" applyBorder="1" applyAlignment="1">
      <alignment vertical="center"/>
    </xf>
    <xf numFmtId="3" fontId="8" fillId="4" borderId="125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2" fillId="0" borderId="124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3" fillId="3" borderId="4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3" borderId="67" xfId="0" applyNumberFormat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horizontal="right"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0" fontId="6" fillId="0" borderId="128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7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3" fontId="8" fillId="0" borderId="72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3" fontId="2" fillId="3" borderId="30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5" fillId="3" borderId="30" xfId="0" applyNumberFormat="1" applyFont="1" applyFill="1" applyBorder="1" applyAlignment="1">
      <alignment vertical="center"/>
    </xf>
    <xf numFmtId="3" fontId="8" fillId="3" borderId="30" xfId="0" applyNumberFormat="1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3" fontId="3" fillId="0" borderId="59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vertical="center"/>
    </xf>
    <xf numFmtId="3" fontId="3" fillId="0" borderId="79" xfId="0" applyNumberFormat="1" applyFont="1" applyFill="1" applyBorder="1" applyAlignment="1">
      <alignment vertical="center"/>
    </xf>
    <xf numFmtId="3" fontId="3" fillId="0" borderId="80" xfId="0" applyNumberFormat="1" applyFont="1" applyFill="1" applyBorder="1" applyAlignment="1">
      <alignment vertical="center"/>
    </xf>
    <xf numFmtId="3" fontId="3" fillId="5" borderId="79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4" fillId="0" borderId="103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3" borderId="6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z&#246;s/TEST&#220;LETI%20ANYAGOK/2018.%20TEST&#220;LETI%20JKV.%20&#218;JBAROK/2018.05.31.%20jkv.%20(&#218;K&#214;)/13_2018.%20(VI.%201.)%20rendelet%20-%201.%20mell.%202018.%20&#233;vi%20k&#246;lts&#233;gvet&#233;s%20m&#243;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>
        <row r="5">
          <cell r="I5">
            <v>18770031</v>
          </cell>
        </row>
        <row r="58">
          <cell r="I58">
            <v>78186149</v>
          </cell>
        </row>
        <row r="94">
          <cell r="I94">
            <v>10894492</v>
          </cell>
        </row>
        <row r="129">
          <cell r="I129">
            <v>1283195</v>
          </cell>
        </row>
        <row r="175">
          <cell r="I175">
            <v>0</v>
          </cell>
        </row>
        <row r="185">
          <cell r="I185">
            <v>0</v>
          </cell>
        </row>
        <row r="211">
          <cell r="I211">
            <v>100000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"/>
  <sheetViews>
    <sheetView tabSelected="1" view="pageLayout" zoomScale="130" zoomScaleNormal="89" zoomScalePageLayoutView="130" workbookViewId="0">
      <selection activeCell="B6" sqref="B6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42578125" bestFit="1" customWidth="1"/>
    <col min="4" max="6" width="12.42578125" customWidth="1"/>
    <col min="7" max="7" width="15.7109375" customWidth="1"/>
    <col min="8" max="9" width="12.140625" hidden="1" customWidth="1"/>
    <col min="10" max="10" width="5.7109375" customWidth="1"/>
    <col min="11" max="11" width="31.28515625" customWidth="1"/>
    <col min="12" max="12" width="12.42578125" bestFit="1" customWidth="1"/>
    <col min="13" max="15" width="12.42578125" customWidth="1"/>
    <col min="16" max="16" width="18.140625" customWidth="1"/>
    <col min="17" max="18" width="12.140625" hidden="1" customWidth="1"/>
    <col min="19" max="19" width="19.85546875" customWidth="1"/>
  </cols>
  <sheetData>
    <row r="1" spans="1:35" ht="15.75" x14ac:dyDescent="0.25">
      <c r="A1" s="587" t="s">
        <v>1033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</row>
    <row r="2" spans="1:35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827</v>
      </c>
    </row>
    <row r="3" spans="1:35" ht="51.75" customHeight="1" x14ac:dyDescent="0.25">
      <c r="A3" s="595" t="s">
        <v>574</v>
      </c>
      <c r="B3" s="596"/>
      <c r="C3" s="596"/>
      <c r="D3" s="596"/>
      <c r="E3" s="596"/>
      <c r="F3" s="596"/>
      <c r="G3" s="596"/>
      <c r="H3" s="596"/>
      <c r="I3" s="597"/>
      <c r="J3" s="595" t="s">
        <v>575</v>
      </c>
      <c r="K3" s="596"/>
      <c r="L3" s="596"/>
      <c r="M3" s="596"/>
      <c r="N3" s="596"/>
      <c r="O3" s="596"/>
      <c r="P3" s="596"/>
      <c r="Q3" s="596"/>
      <c r="R3" s="598"/>
      <c r="S3" s="599" t="s">
        <v>824</v>
      </c>
    </row>
    <row r="4" spans="1:35" ht="55.5" customHeight="1" x14ac:dyDescent="0.25">
      <c r="A4" s="601" t="s">
        <v>576</v>
      </c>
      <c r="B4" s="602"/>
      <c r="C4" s="446" t="s">
        <v>1049</v>
      </c>
      <c r="D4" s="457" t="s">
        <v>1052</v>
      </c>
      <c r="E4" s="485" t="s">
        <v>1054</v>
      </c>
      <c r="F4" s="499" t="s">
        <v>1055</v>
      </c>
      <c r="G4" s="423" t="s">
        <v>1041</v>
      </c>
      <c r="H4" s="217" t="s">
        <v>874</v>
      </c>
      <c r="I4" s="128" t="s">
        <v>825</v>
      </c>
      <c r="J4" s="601" t="s">
        <v>577</v>
      </c>
      <c r="K4" s="602"/>
      <c r="L4" s="446" t="s">
        <v>1049</v>
      </c>
      <c r="M4" s="457" t="s">
        <v>1052</v>
      </c>
      <c r="N4" s="485" t="s">
        <v>1054</v>
      </c>
      <c r="O4" s="499" t="s">
        <v>1055</v>
      </c>
      <c r="P4" s="423" t="s">
        <v>1048</v>
      </c>
      <c r="Q4" s="217" t="s">
        <v>874</v>
      </c>
      <c r="R4" s="128" t="s">
        <v>825</v>
      </c>
      <c r="S4" s="600"/>
      <c r="V4" s="603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</row>
    <row r="5" spans="1:35" ht="30" x14ac:dyDescent="0.25">
      <c r="A5" s="588" t="s">
        <v>44</v>
      </c>
      <c r="B5" s="64" t="s">
        <v>2</v>
      </c>
      <c r="C5" s="65">
        <v>18893937</v>
      </c>
      <c r="D5" s="65">
        <v>18711337</v>
      </c>
      <c r="E5" s="65">
        <v>18711337</v>
      </c>
      <c r="F5" s="65">
        <f>[1]Bevételek!I5</f>
        <v>18770031</v>
      </c>
      <c r="G5" s="65">
        <f>Bevételek!K5</f>
        <v>18917085</v>
      </c>
      <c r="H5" s="65" t="e">
        <f>Bevételek!#REF!</f>
        <v>#REF!</v>
      </c>
      <c r="I5" s="66" t="e">
        <f>Bevételek!#REF!</f>
        <v>#REF!</v>
      </c>
      <c r="J5" s="588" t="s">
        <v>572</v>
      </c>
      <c r="K5" s="64" t="s">
        <v>119</v>
      </c>
      <c r="L5" s="65">
        <v>9200794</v>
      </c>
      <c r="M5" s="65">
        <v>9126789</v>
      </c>
      <c r="N5" s="65">
        <v>9126790</v>
      </c>
      <c r="O5" s="65">
        <v>9213190</v>
      </c>
      <c r="P5" s="65">
        <f>Kiadások!M5</f>
        <v>10261279</v>
      </c>
      <c r="Q5" s="65" t="e">
        <f>Kiadások!#REF!</f>
        <v>#REF!</v>
      </c>
      <c r="R5" s="66">
        <f>Kiadások!M5</f>
        <v>10261279</v>
      </c>
      <c r="S5" s="67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04"/>
      <c r="AH5" s="604"/>
      <c r="AI5" s="604"/>
    </row>
    <row r="6" spans="1:35" ht="30" x14ac:dyDescent="0.25">
      <c r="A6" s="589"/>
      <c r="B6" s="64" t="s">
        <v>31</v>
      </c>
      <c r="C6" s="65">
        <f>Bevételek!F94</f>
        <v>10889992</v>
      </c>
      <c r="D6" s="65">
        <v>10889992</v>
      </c>
      <c r="E6" s="65">
        <v>10894492</v>
      </c>
      <c r="F6" s="65">
        <f>[1]Bevételek!I94</f>
        <v>10894492</v>
      </c>
      <c r="G6" s="65">
        <f>Bevételek!K94</f>
        <v>9754500</v>
      </c>
      <c r="H6" s="65" t="e">
        <f>Bevételek!#REF!</f>
        <v>#REF!</v>
      </c>
      <c r="I6" s="66" t="e">
        <f>Bevételek!#REF!</f>
        <v>#REF!</v>
      </c>
      <c r="J6" s="589"/>
      <c r="K6" s="64" t="s">
        <v>153</v>
      </c>
      <c r="L6" s="65">
        <v>2090421</v>
      </c>
      <c r="M6" s="65">
        <v>2090420.88</v>
      </c>
      <c r="N6" s="65">
        <v>2114649.1999999997</v>
      </c>
      <c r="O6" s="65">
        <v>2114649.59</v>
      </c>
      <c r="P6" s="65">
        <f>Kiadások!M24</f>
        <v>2208536.6999999997</v>
      </c>
      <c r="Q6" s="65" t="e">
        <f>Kiadások!#REF!</f>
        <v>#REF!</v>
      </c>
      <c r="R6" s="66">
        <f>Kiadások!M24</f>
        <v>2208536.6999999997</v>
      </c>
      <c r="S6" s="67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</row>
    <row r="7" spans="1:35" x14ac:dyDescent="0.25">
      <c r="A7" s="589"/>
      <c r="B7" s="591" t="s">
        <v>44</v>
      </c>
      <c r="C7" s="576">
        <f>Bevételek!F129</f>
        <v>1271444</v>
      </c>
      <c r="D7" s="576">
        <v>1271444</v>
      </c>
      <c r="E7" s="576">
        <v>1283195</v>
      </c>
      <c r="F7" s="576">
        <f>[1]Bevételek!I129</f>
        <v>1283195</v>
      </c>
      <c r="G7" s="576">
        <f>Bevételek!K129</f>
        <v>1270051</v>
      </c>
      <c r="H7" s="576" t="e">
        <f>Bevételek!#REF!</f>
        <v>#REF!</v>
      </c>
      <c r="I7" s="593" t="e">
        <f>Bevételek!#REF!</f>
        <v>#REF!</v>
      </c>
      <c r="J7" s="589"/>
      <c r="K7" s="64" t="s">
        <v>162</v>
      </c>
      <c r="L7" s="65">
        <v>10752071</v>
      </c>
      <c r="M7" s="65">
        <v>11024865.120000001</v>
      </c>
      <c r="N7" s="65">
        <v>11135417.120000001</v>
      </c>
      <c r="O7" s="65">
        <v>11327853.120000001</v>
      </c>
      <c r="P7" s="65">
        <f>Kiadások!M32</f>
        <v>13233878.120000001</v>
      </c>
      <c r="Q7" s="65" t="e">
        <f>Kiadások!#REF!</f>
        <v>#REF!</v>
      </c>
      <c r="R7" s="66">
        <f>Kiadások!M32</f>
        <v>13233878.120000001</v>
      </c>
      <c r="S7" s="67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604"/>
    </row>
    <row r="8" spans="1:35" x14ac:dyDescent="0.25">
      <c r="A8" s="589"/>
      <c r="B8" s="592"/>
      <c r="C8" s="577"/>
      <c r="D8" s="577"/>
      <c r="E8" s="577"/>
      <c r="F8" s="577"/>
      <c r="G8" s="577"/>
      <c r="H8" s="577"/>
      <c r="I8" s="594"/>
      <c r="J8" s="589"/>
      <c r="K8" s="64" t="s">
        <v>578</v>
      </c>
      <c r="L8" s="65">
        <v>1800000</v>
      </c>
      <c r="M8" s="65">
        <v>1800000</v>
      </c>
      <c r="N8" s="65">
        <v>1794970</v>
      </c>
      <c r="O8" s="65">
        <v>1794970</v>
      </c>
      <c r="P8" s="65">
        <f>Kiadások!M59</f>
        <v>2034970</v>
      </c>
      <c r="Q8" s="65" t="e">
        <f>Kiadások!#REF!</f>
        <v>#REF!</v>
      </c>
      <c r="R8" s="66">
        <f>Kiadások!M59</f>
        <v>2034970</v>
      </c>
      <c r="S8" s="67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</row>
    <row r="9" spans="1:35" x14ac:dyDescent="0.25">
      <c r="A9" s="589"/>
      <c r="B9" s="64" t="s">
        <v>68</v>
      </c>
      <c r="C9" s="65">
        <f>Bevételek!F185</f>
        <v>0</v>
      </c>
      <c r="D9" s="65">
        <v>0</v>
      </c>
      <c r="E9" s="65">
        <v>0</v>
      </c>
      <c r="F9" s="65">
        <f>[1]Bevételek!I185</f>
        <v>0</v>
      </c>
      <c r="G9" s="65">
        <f>Bevételek!K185</f>
        <v>0</v>
      </c>
      <c r="H9" s="65" t="e">
        <f>Bevételek!#REF!</f>
        <v>#REF!</v>
      </c>
      <c r="I9" s="66" t="e">
        <f>Bevételek!#REF!</f>
        <v>#REF!</v>
      </c>
      <c r="J9" s="589"/>
      <c r="K9" s="64" t="s">
        <v>221</v>
      </c>
      <c r="L9" s="65">
        <v>10214784</v>
      </c>
      <c r="M9" s="65">
        <v>8446166</v>
      </c>
      <c r="N9" s="65">
        <v>10073788</v>
      </c>
      <c r="O9" s="65">
        <v>7438858</v>
      </c>
      <c r="P9" s="65">
        <f>Kiadások!M75</f>
        <v>4966629</v>
      </c>
      <c r="Q9" s="65" t="e">
        <f>Kiadások!#REF!</f>
        <v>#REF!</v>
      </c>
      <c r="R9" s="66">
        <f>Kiadások!M75</f>
        <v>4966629</v>
      </c>
      <c r="S9" s="67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</row>
    <row r="10" spans="1:35" x14ac:dyDescent="0.25">
      <c r="A10" s="590"/>
      <c r="B10" s="68" t="s">
        <v>579</v>
      </c>
      <c r="C10" s="69">
        <f>SUM(C5:C9)</f>
        <v>31055373</v>
      </c>
      <c r="D10" s="69">
        <v>30872773</v>
      </c>
      <c r="E10" s="69">
        <f>SUM(E5:E9)</f>
        <v>30889024</v>
      </c>
      <c r="F10" s="69">
        <f>SUM(F5:F9)</f>
        <v>30947718</v>
      </c>
      <c r="G10" s="69">
        <f>SUM(G5:G9)</f>
        <v>29941636</v>
      </c>
      <c r="H10" s="69" t="e">
        <f>SUM(H5:H9)</f>
        <v>#REF!</v>
      </c>
      <c r="I10" s="70" t="e">
        <f>SUM(I5:I9)</f>
        <v>#REF!</v>
      </c>
      <c r="J10" s="590"/>
      <c r="K10" s="68" t="s">
        <v>580</v>
      </c>
      <c r="L10" s="69">
        <f>SUM(L5:L9)</f>
        <v>34058070</v>
      </c>
      <c r="M10" s="69">
        <v>32488241</v>
      </c>
      <c r="N10" s="69">
        <f>SUM(N5:N9)</f>
        <v>34245614.32</v>
      </c>
      <c r="O10" s="69">
        <v>31889520.710000001</v>
      </c>
      <c r="P10" s="69">
        <f>SUM(P5:P9)</f>
        <v>32705292.82</v>
      </c>
      <c r="Q10" s="69" t="e">
        <f>SUM(Q5:Q9)</f>
        <v>#REF!</v>
      </c>
      <c r="R10" s="70">
        <f>SUM(R5:R9)</f>
        <v>32705292.82</v>
      </c>
      <c r="S10" s="71">
        <f>G10-P10</f>
        <v>-2763656.8200000003</v>
      </c>
      <c r="V10" s="604"/>
      <c r="W10" s="604"/>
      <c r="X10" s="604"/>
      <c r="Y10" s="604"/>
      <c r="Z10" s="604"/>
      <c r="AA10" s="604"/>
      <c r="AB10" s="604"/>
      <c r="AC10" s="604"/>
      <c r="AD10" s="604"/>
      <c r="AE10" s="604"/>
      <c r="AF10" s="604"/>
      <c r="AG10" s="604"/>
      <c r="AH10" s="604"/>
      <c r="AI10" s="604"/>
    </row>
    <row r="11" spans="1:35" ht="30" x14ac:dyDescent="0.25">
      <c r="A11" s="607" t="s">
        <v>59</v>
      </c>
      <c r="B11" s="64" t="s">
        <v>21</v>
      </c>
      <c r="C11" s="65">
        <v>74990361</v>
      </c>
      <c r="D11" s="65">
        <v>75440361</v>
      </c>
      <c r="E11" s="65">
        <v>78186149</v>
      </c>
      <c r="F11" s="65">
        <f>[1]Bevételek!I58</f>
        <v>78186149</v>
      </c>
      <c r="G11" s="65">
        <f>Bevételek!K58</f>
        <v>112059416</v>
      </c>
      <c r="H11" s="65" t="e">
        <f>Bevételek!#REF!</f>
        <v>#REF!</v>
      </c>
      <c r="I11" s="66" t="e">
        <f>Bevételek!#REF!</f>
        <v>#REF!</v>
      </c>
      <c r="J11" s="607" t="s">
        <v>573</v>
      </c>
      <c r="K11" s="64" t="s">
        <v>246</v>
      </c>
      <c r="L11" s="65">
        <v>39980582</v>
      </c>
      <c r="M11" s="65">
        <v>40480582</v>
      </c>
      <c r="N11" s="65">
        <v>40507582</v>
      </c>
      <c r="O11" s="65">
        <v>40070782</v>
      </c>
      <c r="P11" s="65">
        <f>Kiadások!M147</f>
        <v>74266039</v>
      </c>
      <c r="Q11" s="65" t="e">
        <f>Kiadások!#REF!</f>
        <v>#REF!</v>
      </c>
      <c r="R11" s="66">
        <f>Kiadások!M147</f>
        <v>74266039</v>
      </c>
      <c r="S11" s="67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</row>
    <row r="12" spans="1:35" x14ac:dyDescent="0.25">
      <c r="A12" s="607"/>
      <c r="B12" s="64" t="s">
        <v>59</v>
      </c>
      <c r="C12" s="65">
        <f>Bevételek!F175</f>
        <v>0</v>
      </c>
      <c r="D12" s="65">
        <v>0</v>
      </c>
      <c r="E12" s="65">
        <v>0</v>
      </c>
      <c r="F12" s="65">
        <f>[1]Bevételek!I175</f>
        <v>0</v>
      </c>
      <c r="G12" s="65">
        <f>Bevételek!K175</f>
        <v>2500000</v>
      </c>
      <c r="H12" s="65" t="e">
        <f>Bevételek!#REF!</f>
        <v>#REF!</v>
      </c>
      <c r="I12" s="66" t="e">
        <f>Bevételek!#REF!</f>
        <v>#REF!</v>
      </c>
      <c r="J12" s="607"/>
      <c r="K12" s="64" t="s">
        <v>262</v>
      </c>
      <c r="L12" s="65">
        <v>45826659</v>
      </c>
      <c r="M12" s="65">
        <v>47168888</v>
      </c>
      <c r="N12" s="65">
        <v>48146554</v>
      </c>
      <c r="O12" s="65">
        <v>50998141</v>
      </c>
      <c r="P12" s="65">
        <f>Kiadások!M157</f>
        <v>51354297</v>
      </c>
      <c r="Q12" s="65" t="e">
        <f>Kiadások!#REF!</f>
        <v>#REF!</v>
      </c>
      <c r="R12" s="66">
        <f>Kiadások!M157</f>
        <v>51354297</v>
      </c>
      <c r="S12" s="67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</row>
    <row r="13" spans="1:35" ht="30" x14ac:dyDescent="0.25">
      <c r="A13" s="607"/>
      <c r="B13" s="64" t="s">
        <v>78</v>
      </c>
      <c r="C13" s="65">
        <f>Bevételek!F211</f>
        <v>100000</v>
      </c>
      <c r="D13" s="65">
        <v>100000</v>
      </c>
      <c r="E13" s="65">
        <v>100000</v>
      </c>
      <c r="F13" s="65">
        <f>[1]Bevételek!I211</f>
        <v>100000</v>
      </c>
      <c r="G13" s="65">
        <f>Bevételek!K211</f>
        <v>100000</v>
      </c>
      <c r="H13" s="65" t="e">
        <f>Bevételek!#REF!</f>
        <v>#REF!</v>
      </c>
      <c r="I13" s="66" t="e">
        <f>Bevételek!#REF!</f>
        <v>#REF!</v>
      </c>
      <c r="J13" s="607"/>
      <c r="K13" s="64" t="s">
        <v>581</v>
      </c>
      <c r="L13" s="65">
        <v>50000</v>
      </c>
      <c r="M13" s="65">
        <v>50000</v>
      </c>
      <c r="N13" s="65">
        <v>50000</v>
      </c>
      <c r="O13" s="65">
        <v>50000</v>
      </c>
      <c r="P13" s="65">
        <f>Kiadások!M162</f>
        <v>50000</v>
      </c>
      <c r="Q13" s="65" t="e">
        <f>Kiadások!#REF!</f>
        <v>#REF!</v>
      </c>
      <c r="R13" s="66">
        <f>Kiadások!M162</f>
        <v>50000</v>
      </c>
      <c r="S13" s="67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</row>
    <row r="14" spans="1:35" x14ac:dyDescent="0.25">
      <c r="A14" s="607"/>
      <c r="B14" s="68" t="s">
        <v>582</v>
      </c>
      <c r="C14" s="69">
        <f>SUM(C11:C13)</f>
        <v>75090361</v>
      </c>
      <c r="D14" s="69">
        <v>75540361</v>
      </c>
      <c r="E14" s="69">
        <v>78286149</v>
      </c>
      <c r="F14" s="69">
        <f>SUM(F11:F13)</f>
        <v>78286149</v>
      </c>
      <c r="G14" s="69">
        <f>SUM(G11:G13)</f>
        <v>114659416</v>
      </c>
      <c r="H14" s="69" t="e">
        <f>SUM(H11:H13)</f>
        <v>#REF!</v>
      </c>
      <c r="I14" s="70" t="e">
        <f>SUM(I11:I13)</f>
        <v>#REF!</v>
      </c>
      <c r="J14" s="607"/>
      <c r="K14" s="68" t="s">
        <v>583</v>
      </c>
      <c r="L14" s="69">
        <f>SUM(L11:L13)</f>
        <v>85857241</v>
      </c>
      <c r="M14" s="69">
        <v>87699470</v>
      </c>
      <c r="N14" s="69">
        <v>88704136</v>
      </c>
      <c r="O14" s="69">
        <v>91118923</v>
      </c>
      <c r="P14" s="69">
        <f>SUM(P11:P13)</f>
        <v>125670336</v>
      </c>
      <c r="Q14" s="69" t="e">
        <f>SUM(Q11:Q13)</f>
        <v>#REF!</v>
      </c>
      <c r="R14" s="70">
        <f>SUM(R11:R13)</f>
        <v>125670336</v>
      </c>
      <c r="S14" s="71">
        <f>G14-P14</f>
        <v>-11010920</v>
      </c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</row>
    <row r="15" spans="1:35" ht="15.75" thickBot="1" x14ac:dyDescent="0.3">
      <c r="A15" s="608" t="s">
        <v>584</v>
      </c>
      <c r="B15" s="609"/>
      <c r="C15" s="62">
        <f>C10+C14</f>
        <v>106145734</v>
      </c>
      <c r="D15" s="62">
        <v>106413134</v>
      </c>
      <c r="E15" s="62">
        <v>109175173</v>
      </c>
      <c r="F15" s="62">
        <f>F10+F14</f>
        <v>109233867</v>
      </c>
      <c r="G15" s="62">
        <f>G10+G14</f>
        <v>144601052</v>
      </c>
      <c r="H15" s="62" t="e">
        <f>H10+H14</f>
        <v>#REF!</v>
      </c>
      <c r="I15" s="5" t="e">
        <f>I10+I14</f>
        <v>#REF!</v>
      </c>
      <c r="J15" s="579" t="s">
        <v>585</v>
      </c>
      <c r="K15" s="580"/>
      <c r="L15" s="62">
        <f>L10+L14</f>
        <v>119915311</v>
      </c>
      <c r="M15" s="62">
        <v>120187711</v>
      </c>
      <c r="N15" s="62">
        <f t="shared" ref="N15:S15" si="0">N10+N14</f>
        <v>122949750.31999999</v>
      </c>
      <c r="O15" s="62">
        <v>123008443.71000001</v>
      </c>
      <c r="P15" s="62">
        <f t="shared" si="0"/>
        <v>158375628.81999999</v>
      </c>
      <c r="Q15" s="62" t="e">
        <f t="shared" si="0"/>
        <v>#REF!</v>
      </c>
      <c r="R15" s="5">
        <f t="shared" si="0"/>
        <v>158375628.81999999</v>
      </c>
      <c r="S15" s="6">
        <f t="shared" si="0"/>
        <v>-13774576.82</v>
      </c>
      <c r="V15" s="604"/>
      <c r="W15" s="604"/>
      <c r="X15" s="604"/>
      <c r="Y15" s="604"/>
      <c r="Z15" s="604"/>
      <c r="AA15" s="604"/>
      <c r="AB15" s="604"/>
      <c r="AC15" s="604"/>
      <c r="AD15" s="604"/>
      <c r="AE15" s="604"/>
      <c r="AF15" s="604"/>
      <c r="AG15" s="604"/>
      <c r="AH15" s="604"/>
      <c r="AI15" s="604"/>
    </row>
    <row r="16" spans="1:35" x14ac:dyDescent="0.25">
      <c r="A16" s="610" t="s">
        <v>586</v>
      </c>
      <c r="B16" s="611"/>
      <c r="C16" s="611"/>
      <c r="D16" s="611"/>
      <c r="E16" s="611"/>
      <c r="F16" s="611"/>
      <c r="G16" s="611"/>
      <c r="H16" s="611"/>
      <c r="I16" s="611"/>
      <c r="J16" s="612"/>
      <c r="K16" s="613"/>
      <c r="L16" s="613"/>
      <c r="M16" s="613"/>
      <c r="N16" s="613"/>
      <c r="O16" s="613"/>
      <c r="P16" s="613"/>
      <c r="Q16" s="613"/>
      <c r="R16" s="613"/>
      <c r="S16" s="7"/>
      <c r="V16" s="604"/>
      <c r="W16" s="604"/>
      <c r="X16" s="604"/>
      <c r="Y16" s="604"/>
      <c r="Z16" s="604"/>
      <c r="AA16" s="604"/>
      <c r="AB16" s="604"/>
      <c r="AC16" s="604"/>
      <c r="AD16" s="604"/>
      <c r="AE16" s="604"/>
      <c r="AF16" s="604"/>
      <c r="AG16" s="604"/>
      <c r="AH16" s="604"/>
      <c r="AI16" s="604"/>
    </row>
    <row r="17" spans="1:35" x14ac:dyDescent="0.25">
      <c r="A17" s="583" t="s">
        <v>570</v>
      </c>
      <c r="B17" s="584"/>
      <c r="C17" s="218">
        <f>Bevételek!F251</f>
        <v>14518030</v>
      </c>
      <c r="D17" s="218">
        <v>14523030</v>
      </c>
      <c r="E17" s="218">
        <f>Bevételek!G251</f>
        <v>14523030</v>
      </c>
      <c r="F17" s="218">
        <f>Bevételek!H251</f>
        <v>14523030</v>
      </c>
      <c r="G17" s="129">
        <f>Bevételek!K251</f>
        <v>14523030</v>
      </c>
      <c r="H17" s="218" t="e">
        <f>Bevételek!#REF!</f>
        <v>#REF!</v>
      </c>
      <c r="I17" s="8" t="e">
        <f>Bevételek!#REF!</f>
        <v>#REF!</v>
      </c>
      <c r="J17" s="614"/>
      <c r="K17" s="615"/>
      <c r="L17" s="615"/>
      <c r="M17" s="615"/>
      <c r="N17" s="615"/>
      <c r="O17" s="615"/>
      <c r="P17" s="615"/>
      <c r="Q17" s="615"/>
      <c r="R17" s="615"/>
      <c r="S17" s="9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</row>
    <row r="18" spans="1:35" x14ac:dyDescent="0.25">
      <c r="A18" s="583" t="s">
        <v>587</v>
      </c>
      <c r="B18" s="584"/>
      <c r="C18" s="574">
        <f>C15+C17</f>
        <v>120663764</v>
      </c>
      <c r="D18" s="574">
        <v>120936164</v>
      </c>
      <c r="E18" s="574">
        <f>E15+E17</f>
        <v>123698203</v>
      </c>
      <c r="F18" s="574">
        <f>F15+F17</f>
        <v>123756897</v>
      </c>
      <c r="G18" s="574">
        <f>G15+G17</f>
        <v>159124082</v>
      </c>
      <c r="H18" s="574" t="e">
        <f>H15+H17</f>
        <v>#REF!</v>
      </c>
      <c r="I18" s="585" t="e">
        <f>I15+I17</f>
        <v>#REF!</v>
      </c>
      <c r="J18" s="583"/>
      <c r="K18" s="584"/>
      <c r="L18" s="574"/>
      <c r="M18" s="574"/>
      <c r="N18" s="574"/>
      <c r="O18" s="574"/>
      <c r="P18" s="574"/>
      <c r="Q18" s="574"/>
      <c r="R18" s="574"/>
      <c r="S18" s="605"/>
      <c r="V18" s="604"/>
      <c r="W18" s="604"/>
      <c r="X18" s="604"/>
      <c r="Y18" s="604"/>
      <c r="Z18" s="604"/>
      <c r="AA18" s="604"/>
      <c r="AB18" s="604"/>
      <c r="AC18" s="604"/>
      <c r="AD18" s="604"/>
      <c r="AE18" s="604"/>
      <c r="AF18" s="604"/>
      <c r="AG18" s="604"/>
      <c r="AH18" s="604"/>
      <c r="AI18" s="604"/>
    </row>
    <row r="19" spans="1:35" x14ac:dyDescent="0.25">
      <c r="A19" s="583"/>
      <c r="B19" s="584"/>
      <c r="C19" s="578"/>
      <c r="D19" s="578"/>
      <c r="E19" s="578"/>
      <c r="F19" s="578"/>
      <c r="G19" s="578"/>
      <c r="H19" s="578"/>
      <c r="I19" s="586"/>
      <c r="J19" s="583"/>
      <c r="K19" s="584"/>
      <c r="L19" s="575"/>
      <c r="M19" s="575"/>
      <c r="N19" s="575"/>
      <c r="O19" s="575"/>
      <c r="P19" s="575"/>
      <c r="Q19" s="575"/>
      <c r="R19" s="578"/>
      <c r="S19" s="606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</row>
    <row r="20" spans="1:35" x14ac:dyDescent="0.25">
      <c r="A20" s="581" t="s">
        <v>588</v>
      </c>
      <c r="B20" s="582"/>
      <c r="C20" s="582"/>
      <c r="D20" s="582"/>
      <c r="E20" s="582"/>
      <c r="F20" s="582"/>
      <c r="G20" s="582"/>
      <c r="H20" s="582"/>
      <c r="I20" s="582"/>
      <c r="J20" s="581" t="s">
        <v>589</v>
      </c>
      <c r="K20" s="582"/>
      <c r="L20" s="582"/>
      <c r="M20" s="582"/>
      <c r="N20" s="582"/>
      <c r="O20" s="582"/>
      <c r="P20" s="582"/>
      <c r="Q20" s="582"/>
      <c r="R20" s="582"/>
      <c r="S20" s="10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</row>
    <row r="21" spans="1:35" x14ac:dyDescent="0.25">
      <c r="A21" s="583" t="s">
        <v>88</v>
      </c>
      <c r="B21" s="584"/>
      <c r="C21" s="218">
        <f>Bevételek!F237</f>
        <v>35018030</v>
      </c>
      <c r="D21" s="218">
        <v>29523030</v>
      </c>
      <c r="E21" s="218">
        <f>Bevételek!G237</f>
        <v>29523030</v>
      </c>
      <c r="F21" s="218">
        <f>Bevételek!H237</f>
        <v>29523030</v>
      </c>
      <c r="G21" s="129">
        <f>Bevételek!K237</f>
        <v>29523030</v>
      </c>
      <c r="H21" s="218" t="e">
        <f>Bevételek!#REF!-Bevételek!#REF!</f>
        <v>#REF!</v>
      </c>
      <c r="I21" s="8" t="e">
        <f>Bevételek!#REF!-Bevételek!#REF!</f>
        <v>#REF!</v>
      </c>
      <c r="J21" s="583" t="s">
        <v>285</v>
      </c>
      <c r="K21" s="584"/>
      <c r="L21" s="218">
        <v>21248453</v>
      </c>
      <c r="M21" s="218">
        <v>15748453</v>
      </c>
      <c r="N21" s="218">
        <v>15748453</v>
      </c>
      <c r="O21" s="218">
        <v>15748453</v>
      </c>
      <c r="P21" s="129">
        <f>Kiadások!M225</f>
        <v>15748453</v>
      </c>
      <c r="Q21" s="218" t="e">
        <f>Kiadások!#REF!</f>
        <v>#REF!</v>
      </c>
      <c r="R21" s="8">
        <f>Kiadások!M225</f>
        <v>15748453</v>
      </c>
      <c r="S21" s="9">
        <f>G21-P21</f>
        <v>13774577</v>
      </c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</row>
    <row r="22" spans="1:35" x14ac:dyDescent="0.25">
      <c r="A22" s="581" t="s">
        <v>590</v>
      </c>
      <c r="B22" s="582"/>
      <c r="C22" s="582"/>
      <c r="D22" s="582"/>
      <c r="E22" s="582"/>
      <c r="F22" s="582"/>
      <c r="G22" s="582"/>
      <c r="H22" s="582"/>
      <c r="I22" s="582"/>
      <c r="J22" s="581" t="s">
        <v>591</v>
      </c>
      <c r="K22" s="582"/>
      <c r="L22" s="582"/>
      <c r="M22" s="582"/>
      <c r="N22" s="582"/>
      <c r="O22" s="582"/>
      <c r="P22" s="582"/>
      <c r="Q22" s="582"/>
      <c r="R22" s="582"/>
      <c r="S22" s="10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</row>
    <row r="23" spans="1:35" ht="15.75" thickBot="1" x14ac:dyDescent="0.3">
      <c r="A23" s="579" t="s">
        <v>571</v>
      </c>
      <c r="B23" s="580"/>
      <c r="C23" s="62">
        <f>C15+C21</f>
        <v>141163764</v>
      </c>
      <c r="D23" s="62">
        <v>135936164</v>
      </c>
      <c r="E23" s="62">
        <f>E15+E21</f>
        <v>138698203</v>
      </c>
      <c r="F23" s="62">
        <f>F15+F21</f>
        <v>138756897</v>
      </c>
      <c r="G23" s="62">
        <f>G15+G21</f>
        <v>174124082</v>
      </c>
      <c r="H23" s="62" t="e">
        <f>H18+H21</f>
        <v>#REF!</v>
      </c>
      <c r="I23" s="5" t="e">
        <f>I18+I21</f>
        <v>#REF!</v>
      </c>
      <c r="J23" s="579" t="s">
        <v>571</v>
      </c>
      <c r="K23" s="580"/>
      <c r="L23" s="62">
        <f>L15+L21</f>
        <v>141163764</v>
      </c>
      <c r="M23" s="62">
        <f>M15+M21</f>
        <v>135936164</v>
      </c>
      <c r="N23" s="62">
        <f>N18+N21</f>
        <v>15748453</v>
      </c>
      <c r="O23" s="62">
        <v>138756896.71000001</v>
      </c>
      <c r="P23" s="62">
        <f>P15+P21</f>
        <v>174124081.81999999</v>
      </c>
      <c r="Q23" s="62" t="e">
        <f>Q18+Q21</f>
        <v>#REF!</v>
      </c>
      <c r="R23" s="5">
        <f>R18+R21</f>
        <v>15748453</v>
      </c>
      <c r="S23" s="6">
        <f>G23-P23</f>
        <v>0.18000000715255737</v>
      </c>
    </row>
    <row r="25" spans="1:35" x14ac:dyDescent="0.25">
      <c r="P25" s="220"/>
      <c r="Q25" s="220" t="e">
        <f>H23-Q23</f>
        <v>#REF!</v>
      </c>
    </row>
    <row r="26" spans="1:35" x14ac:dyDescent="0.25">
      <c r="G26" s="220"/>
      <c r="P26" s="220"/>
    </row>
  </sheetData>
  <mergeCells count="49">
    <mergeCell ref="V4:AI22"/>
    <mergeCell ref="S18:S19"/>
    <mergeCell ref="A11:A14"/>
    <mergeCell ref="J11:J14"/>
    <mergeCell ref="A15:B15"/>
    <mergeCell ref="J15:K15"/>
    <mergeCell ref="A16:I16"/>
    <mergeCell ref="J16:R17"/>
    <mergeCell ref="A17:B17"/>
    <mergeCell ref="D18:D19"/>
    <mergeCell ref="R18:R19"/>
    <mergeCell ref="H18:H19"/>
    <mergeCell ref="E7:E8"/>
    <mergeCell ref="F18:F19"/>
    <mergeCell ref="E18:E19"/>
    <mergeCell ref="O18:O19"/>
    <mergeCell ref="A1:S1"/>
    <mergeCell ref="A5:A10"/>
    <mergeCell ref="J5:J10"/>
    <mergeCell ref="B7:B8"/>
    <mergeCell ref="G7:G8"/>
    <mergeCell ref="I7:I8"/>
    <mergeCell ref="A3:I3"/>
    <mergeCell ref="J3:R3"/>
    <mergeCell ref="S3:S4"/>
    <mergeCell ref="A4:B4"/>
    <mergeCell ref="J4:K4"/>
    <mergeCell ref="H7:H8"/>
    <mergeCell ref="J18:K19"/>
    <mergeCell ref="L18:L19"/>
    <mergeCell ref="M18:M19"/>
    <mergeCell ref="D7:D8"/>
    <mergeCell ref="N18:N19"/>
    <mergeCell ref="P18:P19"/>
    <mergeCell ref="C7:C8"/>
    <mergeCell ref="C18:C19"/>
    <mergeCell ref="F7:F8"/>
    <mergeCell ref="A23:B23"/>
    <mergeCell ref="J23:K23"/>
    <mergeCell ref="A22:I22"/>
    <mergeCell ref="J22:R22"/>
    <mergeCell ref="Q18:Q19"/>
    <mergeCell ref="A20:I20"/>
    <mergeCell ref="J20:R20"/>
    <mergeCell ref="A21:B21"/>
    <mergeCell ref="J21:K21"/>
    <mergeCell ref="A18:B19"/>
    <mergeCell ref="G18:G19"/>
    <mergeCell ref="I18: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8" orientation="landscape" horizontalDpi="4294967293" r:id="rId1"/>
  <headerFooter>
    <oddHeader>&amp;L&amp;"Times New Roman,Félkövér"&amp;10&amp;K000000 1. melléklet a 21/2018. (XII. 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721"/>
  <sheetViews>
    <sheetView view="pageLayout" topLeftCell="B1" zoomScale="87" zoomScaleNormal="83" zoomScalePageLayoutView="87" workbookViewId="0">
      <selection activeCell="M257" sqref="M257:X257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28515625" style="12" customWidth="1"/>
    <col min="10" max="10" width="11" style="12" customWidth="1"/>
    <col min="11" max="11" width="11.140625" style="12" customWidth="1"/>
    <col min="12" max="12" width="11.7109375" style="49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1049</v>
      </c>
      <c r="G2" s="669" t="s">
        <v>1052</v>
      </c>
      <c r="H2" s="669" t="s">
        <v>1054</v>
      </c>
      <c r="I2" s="669" t="s">
        <v>1055</v>
      </c>
      <c r="J2" s="691" t="s">
        <v>1041</v>
      </c>
      <c r="K2" s="683"/>
      <c r="L2" s="684"/>
      <c r="M2" s="661" t="s">
        <v>1053</v>
      </c>
      <c r="N2" s="668"/>
      <c r="O2" s="668"/>
      <c r="P2" s="668"/>
      <c r="Q2" s="668"/>
      <c r="R2" s="668"/>
      <c r="S2" s="668"/>
      <c r="T2" s="669"/>
      <c r="U2" s="668" t="s">
        <v>1042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6.2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customHeight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71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.75" hidden="1" customHeight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customHeight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customHeight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customHeight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customHeight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customHeight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customHeight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customHeight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customHeight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customHeight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customHeight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customHeight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customHeight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customHeight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customHeight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customHeight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customHeight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customHeight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customHeight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customHeight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128169</v>
      </c>
      <c r="G32" s="338">
        <v>128169</v>
      </c>
      <c r="H32" s="308">
        <v>123459</v>
      </c>
      <c r="I32" s="506">
        <v>123459</v>
      </c>
      <c r="J32" s="235">
        <f>J33+J37+J40+J52+J55</f>
        <v>191500</v>
      </c>
      <c r="K32" s="144">
        <f t="shared" ref="K32:X32" si="7">K33+K37+K40+K52+K55</f>
        <v>0</v>
      </c>
      <c r="L32" s="156">
        <f t="shared" si="2"/>
        <v>191500</v>
      </c>
      <c r="M32" s="82">
        <f t="shared" si="7"/>
        <v>9529</v>
      </c>
      <c r="N32" s="83">
        <f t="shared" si="7"/>
        <v>8598</v>
      </c>
      <c r="O32" s="86">
        <f t="shared" si="7"/>
        <v>7730</v>
      </c>
      <c r="P32" s="86">
        <f t="shared" si="7"/>
        <v>22163</v>
      </c>
      <c r="Q32" s="83">
        <f t="shared" si="7"/>
        <v>8498</v>
      </c>
      <c r="R32" s="86">
        <f t="shared" si="7"/>
        <v>37044</v>
      </c>
      <c r="S32" s="86">
        <f t="shared" si="7"/>
        <v>10316</v>
      </c>
      <c r="T32" s="87">
        <f t="shared" si="7"/>
        <v>10653</v>
      </c>
      <c r="U32" s="338">
        <f t="shared" si="7"/>
        <v>10500</v>
      </c>
      <c r="V32" s="86">
        <f t="shared" si="7"/>
        <v>35868</v>
      </c>
      <c r="W32" s="86">
        <f t="shared" si="7"/>
        <v>15998</v>
      </c>
      <c r="X32" s="87">
        <f t="shared" si="7"/>
        <v>14603</v>
      </c>
    </row>
    <row r="33" spans="1:24" ht="15" hidden="1" customHeight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X33" si="8">K34+K35+K36</f>
        <v>0</v>
      </c>
      <c r="L33" s="157">
        <f t="shared" si="2"/>
        <v>0</v>
      </c>
      <c r="M33" s="109">
        <f t="shared" si="8"/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t="15" hidden="1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SUM(M35:X35)</f>
        <v>0</v>
      </c>
      <c r="K35" s="148"/>
      <c r="L35" s="160">
        <f t="shared" si="2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103346</v>
      </c>
      <c r="G40" s="341">
        <v>103346</v>
      </c>
      <c r="H40" s="311">
        <v>99886</v>
      </c>
      <c r="I40" s="509">
        <v>99886</v>
      </c>
      <c r="J40" s="233">
        <f>J41+J44+J45+J46+J47+J50+J51</f>
        <v>141500</v>
      </c>
      <c r="K40" s="142">
        <f t="shared" ref="K40:X40" si="10">K41+K44+K45+K46+K47+K50+K51</f>
        <v>0</v>
      </c>
      <c r="L40" s="158">
        <f t="shared" si="2"/>
        <v>141500</v>
      </c>
      <c r="M40" s="90">
        <f t="shared" si="10"/>
        <v>7686</v>
      </c>
      <c r="N40" s="91">
        <f t="shared" si="10"/>
        <v>6893</v>
      </c>
      <c r="O40" s="94">
        <f t="shared" si="10"/>
        <v>6185</v>
      </c>
      <c r="P40" s="94">
        <f t="shared" si="10"/>
        <v>17993</v>
      </c>
      <c r="Q40" s="91">
        <f t="shared" si="10"/>
        <v>6844</v>
      </c>
      <c r="R40" s="94">
        <f t="shared" si="10"/>
        <v>29755</v>
      </c>
      <c r="S40" s="94">
        <f t="shared" si="10"/>
        <v>8260</v>
      </c>
      <c r="T40" s="95">
        <f t="shared" si="10"/>
        <v>8528</v>
      </c>
      <c r="U40" s="341">
        <f t="shared" si="10"/>
        <v>8500</v>
      </c>
      <c r="V40" s="94">
        <f t="shared" si="10"/>
        <v>15868</v>
      </c>
      <c r="W40" s="94">
        <f t="shared" si="10"/>
        <v>13498</v>
      </c>
      <c r="X40" s="95">
        <f t="shared" si="10"/>
        <v>11490</v>
      </c>
    </row>
    <row r="41" spans="1:24" s="41" customForma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98346</v>
      </c>
      <c r="G41" s="342">
        <v>98346</v>
      </c>
      <c r="H41" s="312">
        <v>94886</v>
      </c>
      <c r="I41" s="510">
        <v>94886</v>
      </c>
      <c r="J41" s="239">
        <f>SUM(J42:J43)</f>
        <v>136500</v>
      </c>
      <c r="K41" s="148">
        <f>SUM(K42:K43)</f>
        <v>0</v>
      </c>
      <c r="L41" s="160">
        <f t="shared" si="2"/>
        <v>136500</v>
      </c>
      <c r="M41" s="74">
        <f t="shared" ref="M41:X41" si="11">SUM(M42:M43)</f>
        <v>7686</v>
      </c>
      <c r="N41" s="13">
        <f t="shared" si="11"/>
        <v>6893</v>
      </c>
      <c r="O41" s="79">
        <f t="shared" si="11"/>
        <v>6185</v>
      </c>
      <c r="P41" s="79">
        <f t="shared" si="11"/>
        <v>15983</v>
      </c>
      <c r="Q41" s="13">
        <f t="shared" si="11"/>
        <v>6844</v>
      </c>
      <c r="R41" s="79">
        <f t="shared" si="11"/>
        <v>29755</v>
      </c>
      <c r="S41" s="79">
        <f t="shared" si="11"/>
        <v>8260</v>
      </c>
      <c r="T41" s="45">
        <f t="shared" si="11"/>
        <v>8528</v>
      </c>
      <c r="U41" s="342">
        <f t="shared" si="11"/>
        <v>8500</v>
      </c>
      <c r="V41" s="79">
        <f t="shared" si="11"/>
        <v>15868</v>
      </c>
      <c r="W41" s="79">
        <f t="shared" si="11"/>
        <v>13498</v>
      </c>
      <c r="X41" s="45">
        <f t="shared" si="11"/>
        <v>8500</v>
      </c>
    </row>
    <row r="42" spans="1:24" x14ac:dyDescent="0.25">
      <c r="B42" s="54"/>
      <c r="C42" s="281"/>
      <c r="D42" s="225" t="s">
        <v>994</v>
      </c>
      <c r="E42" s="225"/>
      <c r="F42" s="159">
        <v>81846</v>
      </c>
      <c r="G42" s="343">
        <v>81846</v>
      </c>
      <c r="H42" s="313">
        <v>78386</v>
      </c>
      <c r="I42" s="513">
        <v>78386</v>
      </c>
      <c r="J42" s="232">
        <f>SUM(M42:X42)</f>
        <v>120000</v>
      </c>
      <c r="K42" s="141"/>
      <c r="L42" s="159">
        <f>SUM(J42:K42)</f>
        <v>120000</v>
      </c>
      <c r="M42" s="72">
        <v>7686</v>
      </c>
      <c r="N42" s="1">
        <v>6893</v>
      </c>
      <c r="O42" s="78">
        <v>6185</v>
      </c>
      <c r="P42" s="78">
        <v>6851</v>
      </c>
      <c r="Q42" s="1">
        <v>6844</v>
      </c>
      <c r="R42" s="78">
        <v>29755</v>
      </c>
      <c r="S42" s="78">
        <v>8260</v>
      </c>
      <c r="T42" s="44">
        <v>8528</v>
      </c>
      <c r="U42" s="343">
        <v>8500</v>
      </c>
      <c r="V42" s="78">
        <v>8500</v>
      </c>
      <c r="W42" s="78">
        <f>8500+4998</f>
        <v>13498</v>
      </c>
      <c r="X42" s="44">
        <v>8500</v>
      </c>
    </row>
    <row r="43" spans="1:24" x14ac:dyDescent="0.25">
      <c r="B43" s="54"/>
      <c r="C43" s="281"/>
      <c r="D43" s="225" t="s">
        <v>996</v>
      </c>
      <c r="E43" s="225"/>
      <c r="F43" s="159">
        <v>16500</v>
      </c>
      <c r="G43" s="343">
        <v>16500</v>
      </c>
      <c r="H43" s="313">
        <v>16500</v>
      </c>
      <c r="I43" s="513">
        <v>16500</v>
      </c>
      <c r="J43" s="232">
        <f>SUM(M43:X43)</f>
        <v>16500</v>
      </c>
      <c r="K43" s="141"/>
      <c r="L43" s="159">
        <f>SUM(J43:K43)</f>
        <v>16500</v>
      </c>
      <c r="M43" s="72"/>
      <c r="N43" s="1"/>
      <c r="O43" s="78"/>
      <c r="P43" s="78">
        <v>9132</v>
      </c>
      <c r="Q43" s="1"/>
      <c r="R43" s="78"/>
      <c r="S43" s="78"/>
      <c r="T43" s="44"/>
      <c r="U43" s="343"/>
      <c r="V43" s="78">
        <f>11500-4132</f>
        <v>7368</v>
      </c>
      <c r="W43" s="78"/>
      <c r="X43" s="44"/>
    </row>
    <row r="44" spans="1:24" s="41" customFormat="1" ht="15" hidden="1" customHeight="1" x14ac:dyDescent="0.25">
      <c r="A44" s="118" t="s">
        <v>178</v>
      </c>
      <c r="B44" s="53" t="s">
        <v>635</v>
      </c>
      <c r="C44" s="642" t="s">
        <v>179</v>
      </c>
      <c r="D44" s="643"/>
      <c r="E44" s="643"/>
      <c r="F44" s="160">
        <v>0</v>
      </c>
      <c r="G44" s="342">
        <v>0</v>
      </c>
      <c r="H44" s="312">
        <v>0</v>
      </c>
      <c r="I44" s="510">
        <v>0</v>
      </c>
      <c r="J44" s="239">
        <f>SUM(M44:X44)</f>
        <v>0</v>
      </c>
      <c r="K44" s="148"/>
      <c r="L44" s="160">
        <f t="shared" si="2"/>
        <v>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41" customFormat="1" ht="15" hidden="1" customHeight="1" x14ac:dyDescent="0.25">
      <c r="A45" s="118" t="s">
        <v>180</v>
      </c>
      <c r="B45" s="53" t="s">
        <v>636</v>
      </c>
      <c r="C45" s="642" t="s">
        <v>181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>SUM(M45:X45)</f>
        <v>0</v>
      </c>
      <c r="K45" s="148"/>
      <c r="L45" s="160">
        <f t="shared" si="2"/>
        <v>0</v>
      </c>
      <c r="M45" s="74"/>
      <c r="N45" s="13"/>
      <c r="O45" s="79"/>
      <c r="P45" s="79"/>
      <c r="Q45" s="13"/>
      <c r="R45" s="79"/>
      <c r="S45" s="79"/>
      <c r="T45" s="45"/>
      <c r="U45" s="342"/>
      <c r="V45" s="79"/>
      <c r="W45" s="79"/>
      <c r="X45" s="45"/>
    </row>
    <row r="46" spans="1:24" s="41" customFormat="1" ht="15" hidden="1" customHeight="1" x14ac:dyDescent="0.25">
      <c r="A46" s="118" t="s">
        <v>182</v>
      </c>
      <c r="B46" s="53" t="s">
        <v>637</v>
      </c>
      <c r="C46" s="642" t="s">
        <v>183</v>
      </c>
      <c r="D46" s="643"/>
      <c r="E46" s="643"/>
      <c r="F46" s="160">
        <v>0</v>
      </c>
      <c r="G46" s="342">
        <v>0</v>
      </c>
      <c r="H46" s="312">
        <v>0</v>
      </c>
      <c r="I46" s="510">
        <v>0</v>
      </c>
      <c r="J46" s="239">
        <f>SUM(M46:X46)</f>
        <v>0</v>
      </c>
      <c r="K46" s="148"/>
      <c r="L46" s="160">
        <f t="shared" si="2"/>
        <v>0</v>
      </c>
      <c r="M46" s="74"/>
      <c r="N46" s="13"/>
      <c r="O46" s="79"/>
      <c r="P46" s="79"/>
      <c r="Q46" s="13"/>
      <c r="R46" s="79"/>
      <c r="S46" s="79"/>
      <c r="T46" s="45"/>
      <c r="U46" s="342"/>
      <c r="V46" s="79"/>
      <c r="W46" s="79"/>
      <c r="X46" s="45"/>
    </row>
    <row r="47" spans="1:24" s="18" customFormat="1" ht="15" hidden="1" customHeight="1" x14ac:dyDescent="0.25">
      <c r="A47" s="118" t="s">
        <v>184</v>
      </c>
      <c r="B47" s="53" t="s">
        <v>638</v>
      </c>
      <c r="C47" s="642" t="s">
        <v>185</v>
      </c>
      <c r="D47" s="643"/>
      <c r="E47" s="643"/>
      <c r="F47" s="160">
        <v>0</v>
      </c>
      <c r="G47" s="342">
        <v>0</v>
      </c>
      <c r="H47" s="312">
        <v>0</v>
      </c>
      <c r="I47" s="510">
        <v>0</v>
      </c>
      <c r="J47" s="239">
        <f>J48+J49</f>
        <v>0</v>
      </c>
      <c r="K47" s="148">
        <f t="shared" ref="K47:X47" si="12">K48+K49</f>
        <v>0</v>
      </c>
      <c r="L47" s="160">
        <f t="shared" si="2"/>
        <v>0</v>
      </c>
      <c r="M47" s="74">
        <f t="shared" si="12"/>
        <v>0</v>
      </c>
      <c r="N47" s="13">
        <f t="shared" si="12"/>
        <v>0</v>
      </c>
      <c r="O47" s="79">
        <f t="shared" si="12"/>
        <v>0</v>
      </c>
      <c r="P47" s="79">
        <f t="shared" si="12"/>
        <v>0</v>
      </c>
      <c r="Q47" s="13">
        <f t="shared" si="12"/>
        <v>0</v>
      </c>
      <c r="R47" s="79">
        <f t="shared" si="12"/>
        <v>0</v>
      </c>
      <c r="S47" s="79">
        <f t="shared" si="12"/>
        <v>0</v>
      </c>
      <c r="T47" s="45">
        <f t="shared" si="12"/>
        <v>0</v>
      </c>
      <c r="U47" s="342">
        <f t="shared" si="12"/>
        <v>0</v>
      </c>
      <c r="V47" s="79">
        <f t="shared" si="12"/>
        <v>0</v>
      </c>
      <c r="W47" s="79">
        <f t="shared" si="12"/>
        <v>0</v>
      </c>
      <c r="X47" s="45">
        <f t="shared" si="12"/>
        <v>0</v>
      </c>
    </row>
    <row r="48" spans="1:24" ht="15" hidden="1" customHeight="1" x14ac:dyDescent="0.25">
      <c r="B48" s="54"/>
      <c r="C48" s="250"/>
      <c r="D48" s="624" t="s">
        <v>186</v>
      </c>
      <c r="E48" s="624"/>
      <c r="F48" s="159">
        <v>0</v>
      </c>
      <c r="G48" s="343">
        <v>0</v>
      </c>
      <c r="H48" s="313">
        <v>0</v>
      </c>
      <c r="I48" s="513">
        <v>0</v>
      </c>
      <c r="J48" s="232">
        <f>SUM(M48:X48)</f>
        <v>0</v>
      </c>
      <c r="K48" s="141"/>
      <c r="L48" s="159">
        <f t="shared" si="2"/>
        <v>0</v>
      </c>
      <c r="M48" s="72"/>
      <c r="N48" s="1"/>
      <c r="O48" s="78"/>
      <c r="P48" s="78"/>
      <c r="Q48" s="1"/>
      <c r="R48" s="78"/>
      <c r="S48" s="78"/>
      <c r="T48" s="44"/>
      <c r="U48" s="343"/>
      <c r="V48" s="78"/>
      <c r="W48" s="78"/>
      <c r="X48" s="44"/>
    </row>
    <row r="49" spans="1:24" ht="15" hidden="1" customHeight="1" x14ac:dyDescent="0.25">
      <c r="B49" s="54"/>
      <c r="C49" s="250"/>
      <c r="D49" s="624" t="s">
        <v>187</v>
      </c>
      <c r="E49" s="624"/>
      <c r="F49" s="159">
        <v>0</v>
      </c>
      <c r="G49" s="343">
        <v>0</v>
      </c>
      <c r="H49" s="313">
        <v>0</v>
      </c>
      <c r="I49" s="513">
        <v>0</v>
      </c>
      <c r="J49" s="232">
        <f>SUM(M49:X49)</f>
        <v>0</v>
      </c>
      <c r="K49" s="141"/>
      <c r="L49" s="159">
        <f t="shared" si="2"/>
        <v>0</v>
      </c>
      <c r="M49" s="72"/>
      <c r="N49" s="1"/>
      <c r="O49" s="78"/>
      <c r="P49" s="78"/>
      <c r="Q49" s="1"/>
      <c r="R49" s="78"/>
      <c r="S49" s="78"/>
      <c r="T49" s="44"/>
      <c r="U49" s="343"/>
      <c r="V49" s="78"/>
      <c r="W49" s="78"/>
      <c r="X49" s="44"/>
    </row>
    <row r="50" spans="1:24" s="41" customFormat="1" ht="15" hidden="1" customHeight="1" x14ac:dyDescent="0.25">
      <c r="A50" s="118" t="s">
        <v>188</v>
      </c>
      <c r="B50" s="53" t="s">
        <v>639</v>
      </c>
      <c r="C50" s="628" t="s">
        <v>189</v>
      </c>
      <c r="D50" s="629"/>
      <c r="E50" s="629"/>
      <c r="F50" s="160">
        <v>0</v>
      </c>
      <c r="G50" s="342">
        <v>0</v>
      </c>
      <c r="H50" s="312">
        <v>0</v>
      </c>
      <c r="I50" s="510">
        <v>0</v>
      </c>
      <c r="J50" s="239">
        <f>SUM(M50:X50)</f>
        <v>0</v>
      </c>
      <c r="K50" s="148"/>
      <c r="L50" s="160">
        <f t="shared" si="2"/>
        <v>0</v>
      </c>
      <c r="M50" s="74"/>
      <c r="N50" s="13"/>
      <c r="O50" s="79"/>
      <c r="P50" s="79"/>
      <c r="Q50" s="13"/>
      <c r="R50" s="79"/>
      <c r="S50" s="79"/>
      <c r="T50" s="45"/>
      <c r="U50" s="342"/>
      <c r="V50" s="79"/>
      <c r="W50" s="79"/>
      <c r="X50" s="45"/>
    </row>
    <row r="51" spans="1:24" s="41" customFormat="1" x14ac:dyDescent="0.25">
      <c r="A51" s="118" t="s">
        <v>190</v>
      </c>
      <c r="B51" s="53" t="s">
        <v>640</v>
      </c>
      <c r="C51" s="628" t="s">
        <v>191</v>
      </c>
      <c r="D51" s="629"/>
      <c r="E51" s="629"/>
      <c r="F51" s="160">
        <v>5000</v>
      </c>
      <c r="G51" s="342">
        <v>5000</v>
      </c>
      <c r="H51" s="312">
        <v>5000</v>
      </c>
      <c r="I51" s="510">
        <v>5000</v>
      </c>
      <c r="J51" s="239">
        <f>SUM(M51:X51)</f>
        <v>5000</v>
      </c>
      <c r="K51" s="148"/>
      <c r="L51" s="160">
        <f t="shared" si="2"/>
        <v>5000</v>
      </c>
      <c r="M51" s="74"/>
      <c r="N51" s="13"/>
      <c r="O51" s="79"/>
      <c r="P51" s="79">
        <v>2010</v>
      </c>
      <c r="Q51" s="13"/>
      <c r="R51" s="79"/>
      <c r="S51" s="79"/>
      <c r="T51" s="45"/>
      <c r="U51" s="342"/>
      <c r="V51" s="79"/>
      <c r="W51" s="79"/>
      <c r="X51" s="45">
        <v>2990</v>
      </c>
    </row>
    <row r="52" spans="1:24" ht="15" hidden="1" customHeight="1" x14ac:dyDescent="0.25">
      <c r="B52" s="88" t="s">
        <v>641</v>
      </c>
      <c r="C52" s="626" t="s">
        <v>192</v>
      </c>
      <c r="D52" s="627"/>
      <c r="E52" s="627"/>
      <c r="F52" s="158">
        <v>0</v>
      </c>
      <c r="G52" s="341">
        <v>0</v>
      </c>
      <c r="H52" s="311">
        <v>0</v>
      </c>
      <c r="I52" s="509">
        <v>0</v>
      </c>
      <c r="J52" s="233">
        <f>J53+J54</f>
        <v>0</v>
      </c>
      <c r="K52" s="142">
        <f t="shared" ref="K52:X52" si="13">K53+K54</f>
        <v>0</v>
      </c>
      <c r="L52" s="158">
        <f t="shared" si="2"/>
        <v>0</v>
      </c>
      <c r="M52" s="90">
        <f t="shared" si="13"/>
        <v>0</v>
      </c>
      <c r="N52" s="91">
        <f t="shared" si="13"/>
        <v>0</v>
      </c>
      <c r="O52" s="94">
        <f t="shared" si="13"/>
        <v>0</v>
      </c>
      <c r="P52" s="94">
        <f t="shared" si="13"/>
        <v>0</v>
      </c>
      <c r="Q52" s="91">
        <f t="shared" si="13"/>
        <v>0</v>
      </c>
      <c r="R52" s="94">
        <f t="shared" si="13"/>
        <v>0</v>
      </c>
      <c r="S52" s="94">
        <f t="shared" si="13"/>
        <v>0</v>
      </c>
      <c r="T52" s="95">
        <f t="shared" si="13"/>
        <v>0</v>
      </c>
      <c r="U52" s="341">
        <f t="shared" si="13"/>
        <v>0</v>
      </c>
      <c r="V52" s="94">
        <f t="shared" si="13"/>
        <v>0</v>
      </c>
      <c r="W52" s="94">
        <f t="shared" si="13"/>
        <v>0</v>
      </c>
      <c r="X52" s="95">
        <f t="shared" si="13"/>
        <v>0</v>
      </c>
    </row>
    <row r="53" spans="1:24" s="41" customFormat="1" ht="15" hidden="1" customHeight="1" x14ac:dyDescent="0.25">
      <c r="A53" s="118" t="s">
        <v>193</v>
      </c>
      <c r="B53" s="53" t="s">
        <v>642</v>
      </c>
      <c r="C53" s="628" t="s">
        <v>194</v>
      </c>
      <c r="D53" s="629"/>
      <c r="E53" s="629"/>
      <c r="F53" s="160">
        <v>0</v>
      </c>
      <c r="G53" s="342">
        <v>0</v>
      </c>
      <c r="H53" s="312">
        <v>0</v>
      </c>
      <c r="I53" s="510">
        <v>0</v>
      </c>
      <c r="J53" s="239">
        <f>SUM(M53:X53)</f>
        <v>0</v>
      </c>
      <c r="K53" s="148"/>
      <c r="L53" s="160">
        <f t="shared" si="2"/>
        <v>0</v>
      </c>
      <c r="M53" s="74"/>
      <c r="N53" s="13"/>
      <c r="O53" s="79"/>
      <c r="P53" s="79"/>
      <c r="Q53" s="13"/>
      <c r="R53" s="79"/>
      <c r="S53" s="79"/>
      <c r="T53" s="45"/>
      <c r="U53" s="342"/>
      <c r="V53" s="79"/>
      <c r="W53" s="79"/>
      <c r="X53" s="45"/>
    </row>
    <row r="54" spans="1:24" s="41" customFormat="1" ht="15" hidden="1" customHeight="1" x14ac:dyDescent="0.25">
      <c r="A54" s="118" t="s">
        <v>195</v>
      </c>
      <c r="B54" s="53" t="s">
        <v>643</v>
      </c>
      <c r="C54" s="628" t="s">
        <v>196</v>
      </c>
      <c r="D54" s="629"/>
      <c r="E54" s="629"/>
      <c r="F54" s="160">
        <v>0</v>
      </c>
      <c r="G54" s="342">
        <v>0</v>
      </c>
      <c r="H54" s="312">
        <v>0</v>
      </c>
      <c r="I54" s="510">
        <v>0</v>
      </c>
      <c r="J54" s="239">
        <f>SUM(M54:X54)</f>
        <v>0</v>
      </c>
      <c r="K54" s="148"/>
      <c r="L54" s="160">
        <f t="shared" si="2"/>
        <v>0</v>
      </c>
      <c r="M54" s="74"/>
      <c r="N54" s="13"/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x14ac:dyDescent="0.25">
      <c r="B55" s="88" t="s">
        <v>644</v>
      </c>
      <c r="C55" s="626" t="s">
        <v>197</v>
      </c>
      <c r="D55" s="627"/>
      <c r="E55" s="627"/>
      <c r="F55" s="158">
        <v>24823</v>
      </c>
      <c r="G55" s="341">
        <v>24823</v>
      </c>
      <c r="H55" s="311">
        <v>23573</v>
      </c>
      <c r="I55" s="509">
        <v>23573</v>
      </c>
      <c r="J55" s="233">
        <f>J56+J57+J58+J59+J60</f>
        <v>50000</v>
      </c>
      <c r="K55" s="142">
        <f t="shared" ref="K55:X55" si="14">K56+K57+K58+K59+K60</f>
        <v>0</v>
      </c>
      <c r="L55" s="158">
        <f t="shared" si="2"/>
        <v>50000</v>
      </c>
      <c r="M55" s="90">
        <f t="shared" si="14"/>
        <v>1843</v>
      </c>
      <c r="N55" s="91">
        <f t="shared" si="14"/>
        <v>1705</v>
      </c>
      <c r="O55" s="94">
        <f t="shared" si="14"/>
        <v>1545</v>
      </c>
      <c r="P55" s="94">
        <f t="shared" si="14"/>
        <v>4170</v>
      </c>
      <c r="Q55" s="91">
        <f t="shared" si="14"/>
        <v>1654</v>
      </c>
      <c r="R55" s="94">
        <f t="shared" si="14"/>
        <v>7289</v>
      </c>
      <c r="S55" s="94">
        <f t="shared" si="14"/>
        <v>2056</v>
      </c>
      <c r="T55" s="95">
        <f t="shared" si="14"/>
        <v>2125</v>
      </c>
      <c r="U55" s="341">
        <f t="shared" si="14"/>
        <v>2000</v>
      </c>
      <c r="V55" s="94">
        <f t="shared" si="14"/>
        <v>20000</v>
      </c>
      <c r="W55" s="94">
        <f t="shared" si="14"/>
        <v>2500</v>
      </c>
      <c r="X55" s="95">
        <f t="shared" si="14"/>
        <v>3113</v>
      </c>
    </row>
    <row r="56" spans="1:24" s="41" customFormat="1" ht="15.75" thickBot="1" x14ac:dyDescent="0.3">
      <c r="A56" s="118" t="s">
        <v>198</v>
      </c>
      <c r="B56" s="53" t="s">
        <v>645</v>
      </c>
      <c r="C56" s="628" t="s">
        <v>876</v>
      </c>
      <c r="D56" s="629"/>
      <c r="E56" s="629"/>
      <c r="F56" s="160">
        <v>24823</v>
      </c>
      <c r="G56" s="342">
        <v>24823</v>
      </c>
      <c r="H56" s="312">
        <v>23573</v>
      </c>
      <c r="I56" s="510">
        <v>23573</v>
      </c>
      <c r="J56" s="239">
        <f>SUM(M56:X56)</f>
        <v>50000</v>
      </c>
      <c r="K56" s="148"/>
      <c r="L56" s="160">
        <f t="shared" si="2"/>
        <v>50000</v>
      </c>
      <c r="M56" s="74">
        <v>1843</v>
      </c>
      <c r="N56" s="13">
        <v>1705</v>
      </c>
      <c r="O56" s="79">
        <v>1545</v>
      </c>
      <c r="P56" s="79">
        <v>4170</v>
      </c>
      <c r="Q56" s="13">
        <v>1654</v>
      </c>
      <c r="R56" s="79">
        <v>7289</v>
      </c>
      <c r="S56" s="79">
        <v>2056</v>
      </c>
      <c r="T56" s="45">
        <v>2125</v>
      </c>
      <c r="U56" s="342">
        <v>2000</v>
      </c>
      <c r="V56" s="79">
        <v>20000</v>
      </c>
      <c r="W56" s="79">
        <v>2500</v>
      </c>
      <c r="X56" s="45">
        <f>2000-706+1819</f>
        <v>3113</v>
      </c>
    </row>
    <row r="57" spans="1:24" s="41" customFormat="1" ht="15.75" hidden="1" customHeight="1" thickBot="1" x14ac:dyDescent="0.3">
      <c r="A57" s="118" t="s">
        <v>199</v>
      </c>
      <c r="B57" s="53" t="s">
        <v>646</v>
      </c>
      <c r="C57" s="628" t="s">
        <v>200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customHeight="1" thickBot="1" x14ac:dyDescent="0.3">
      <c r="A58" s="118" t="s">
        <v>201</v>
      </c>
      <c r="B58" s="53" t="s">
        <v>647</v>
      </c>
      <c r="C58" s="628" t="s">
        <v>202</v>
      </c>
      <c r="D58" s="629"/>
      <c r="E58" s="629"/>
      <c r="F58" s="160">
        <v>0</v>
      </c>
      <c r="G58" s="342">
        <v>0</v>
      </c>
      <c r="H58" s="312">
        <v>0</v>
      </c>
      <c r="I58" s="510">
        <v>0</v>
      </c>
      <c r="J58" s="239">
        <f>SUM(M58:X58)</f>
        <v>0</v>
      </c>
      <c r="K58" s="148"/>
      <c r="L58" s="160">
        <f t="shared" si="2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s="41" customFormat="1" ht="15.75" hidden="1" customHeight="1" thickBot="1" x14ac:dyDescent="0.3">
      <c r="A59" s="118" t="s">
        <v>203</v>
      </c>
      <c r="B59" s="53" t="s">
        <v>648</v>
      </c>
      <c r="C59" s="628" t="s">
        <v>204</v>
      </c>
      <c r="D59" s="629"/>
      <c r="E59" s="629"/>
      <c r="F59" s="160">
        <v>0</v>
      </c>
      <c r="G59" s="342">
        <v>0</v>
      </c>
      <c r="H59" s="312">
        <v>0</v>
      </c>
      <c r="I59" s="510">
        <v>0</v>
      </c>
      <c r="J59" s="239">
        <f>SUM(M59:X59)</f>
        <v>0</v>
      </c>
      <c r="K59" s="148"/>
      <c r="L59" s="160">
        <f t="shared" si="2"/>
        <v>0</v>
      </c>
      <c r="M59" s="74"/>
      <c r="N59" s="13"/>
      <c r="O59" s="79"/>
      <c r="P59" s="79"/>
      <c r="Q59" s="13"/>
      <c r="R59" s="79"/>
      <c r="S59" s="79"/>
      <c r="T59" s="45"/>
      <c r="U59" s="342"/>
      <c r="V59" s="79"/>
      <c r="W59" s="79"/>
      <c r="X59" s="45"/>
    </row>
    <row r="60" spans="1:24" s="41" customFormat="1" ht="15.75" hidden="1" customHeight="1" thickBot="1" x14ac:dyDescent="0.3">
      <c r="A60" s="118" t="s">
        <v>205</v>
      </c>
      <c r="B60" s="188" t="s">
        <v>649</v>
      </c>
      <c r="C60" s="706" t="s">
        <v>206</v>
      </c>
      <c r="D60" s="707"/>
      <c r="E60" s="707"/>
      <c r="F60" s="160">
        <v>0</v>
      </c>
      <c r="G60" s="347">
        <v>0</v>
      </c>
      <c r="H60" s="319">
        <v>0</v>
      </c>
      <c r="I60" s="511">
        <v>0</v>
      </c>
      <c r="J60" s="252">
        <f>SUM(M60:X60)</f>
        <v>0</v>
      </c>
      <c r="K60" s="189"/>
      <c r="L60" s="160">
        <f t="shared" si="2"/>
        <v>0</v>
      </c>
      <c r="M60" s="74"/>
      <c r="N60" s="13"/>
      <c r="O60" s="79"/>
      <c r="P60" s="79"/>
      <c r="Q60" s="13"/>
      <c r="R60" s="79"/>
      <c r="S60" s="79"/>
      <c r="T60" s="45"/>
      <c r="U60" s="342"/>
      <c r="V60" s="79"/>
      <c r="W60" s="79"/>
      <c r="X60" s="45"/>
    </row>
    <row r="61" spans="1:24" ht="15.75" thickBot="1" x14ac:dyDescent="0.3">
      <c r="B61" s="81" t="s">
        <v>207</v>
      </c>
      <c r="C61" s="632" t="s">
        <v>208</v>
      </c>
      <c r="D61" s="633"/>
      <c r="E61" s="633"/>
      <c r="F61" s="156">
        <v>0</v>
      </c>
      <c r="G61" s="338">
        <v>0</v>
      </c>
      <c r="H61" s="308">
        <v>0</v>
      </c>
      <c r="I61" s="506">
        <v>0</v>
      </c>
      <c r="J61" s="235">
        <f>J62+J63+J64+J65+J66+J67+J68+J72</f>
        <v>0</v>
      </c>
      <c r="K61" s="144">
        <f t="shared" ref="K61:X61" si="15">K62+K63+K64+K65+K66+K67+K68+K72</f>
        <v>0</v>
      </c>
      <c r="L61" s="156">
        <f t="shared" si="2"/>
        <v>0</v>
      </c>
      <c r="M61" s="82">
        <f t="shared" si="15"/>
        <v>0</v>
      </c>
      <c r="N61" s="83">
        <f t="shared" si="15"/>
        <v>0</v>
      </c>
      <c r="O61" s="86">
        <f t="shared" si="15"/>
        <v>0</v>
      </c>
      <c r="P61" s="86">
        <f t="shared" si="15"/>
        <v>0</v>
      </c>
      <c r="Q61" s="83">
        <f t="shared" si="15"/>
        <v>0</v>
      </c>
      <c r="R61" s="86">
        <f t="shared" si="15"/>
        <v>0</v>
      </c>
      <c r="S61" s="86">
        <f t="shared" si="15"/>
        <v>0</v>
      </c>
      <c r="T61" s="87">
        <f t="shared" si="15"/>
        <v>0</v>
      </c>
      <c r="U61" s="338">
        <f t="shared" si="15"/>
        <v>0</v>
      </c>
      <c r="V61" s="86">
        <f t="shared" si="15"/>
        <v>0</v>
      </c>
      <c r="W61" s="86">
        <f t="shared" si="15"/>
        <v>0</v>
      </c>
      <c r="X61" s="87">
        <f t="shared" si="15"/>
        <v>0</v>
      </c>
    </row>
    <row r="62" spans="1:24" s="18" customFormat="1" ht="15.75" hidden="1" customHeight="1" thickBot="1" x14ac:dyDescent="0.3">
      <c r="A62" s="118" t="s">
        <v>877</v>
      </c>
      <c r="B62" s="108" t="s">
        <v>878</v>
      </c>
      <c r="C62" s="634" t="s">
        <v>879</v>
      </c>
      <c r="D62" s="635"/>
      <c r="E62" s="635"/>
      <c r="F62" s="158">
        <v>0</v>
      </c>
      <c r="G62" s="339">
        <v>0</v>
      </c>
      <c r="H62" s="309">
        <v>0</v>
      </c>
      <c r="I62" s="507">
        <v>0</v>
      </c>
      <c r="J62" s="231">
        <f t="shared" ref="J62:J67" si="16">SUM(M62:X62)</f>
        <v>0</v>
      </c>
      <c r="K62" s="140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customHeight="1" thickBot="1" x14ac:dyDescent="0.3">
      <c r="A63" s="118" t="s">
        <v>209</v>
      </c>
      <c r="B63" s="108" t="s">
        <v>650</v>
      </c>
      <c r="C63" s="634" t="s">
        <v>210</v>
      </c>
      <c r="D63" s="635"/>
      <c r="E63" s="635"/>
      <c r="F63" s="158">
        <v>0</v>
      </c>
      <c r="G63" s="339">
        <v>0</v>
      </c>
      <c r="H63" s="309">
        <v>0</v>
      </c>
      <c r="I63" s="507">
        <v>0</v>
      </c>
      <c r="J63" s="231">
        <f t="shared" si="16"/>
        <v>0</v>
      </c>
      <c r="K63" s="140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customHeight="1" thickBot="1" x14ac:dyDescent="0.3">
      <c r="A64" s="118" t="s">
        <v>211</v>
      </c>
      <c r="B64" s="88" t="s">
        <v>651</v>
      </c>
      <c r="C64" s="626" t="s">
        <v>352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customHeight="1" thickBot="1" x14ac:dyDescent="0.3">
      <c r="A65" s="118" t="s">
        <v>212</v>
      </c>
      <c r="B65" s="108" t="s">
        <v>652</v>
      </c>
      <c r="C65" s="626" t="s">
        <v>880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customHeight="1" thickBot="1" x14ac:dyDescent="0.3">
      <c r="A66" s="118" t="s">
        <v>213</v>
      </c>
      <c r="B66" s="88" t="s">
        <v>653</v>
      </c>
      <c r="C66" s="626" t="s">
        <v>881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 t="shared" si="16"/>
        <v>0</v>
      </c>
      <c r="K66" s="142"/>
      <c r="L66" s="158">
        <f t="shared" si="2"/>
        <v>0</v>
      </c>
      <c r="M66" s="90"/>
      <c r="N66" s="91"/>
      <c r="O66" s="94"/>
      <c r="P66" s="94"/>
      <c r="Q66" s="91"/>
      <c r="R66" s="94"/>
      <c r="S66" s="94"/>
      <c r="T66" s="95"/>
      <c r="U66" s="341"/>
      <c r="V66" s="94"/>
      <c r="W66" s="94"/>
      <c r="X66" s="95"/>
    </row>
    <row r="67" spans="1:25" s="18" customFormat="1" ht="15.75" hidden="1" customHeight="1" thickBot="1" x14ac:dyDescent="0.3">
      <c r="A67" s="118" t="s">
        <v>214</v>
      </c>
      <c r="B67" s="108" t="s">
        <v>654</v>
      </c>
      <c r="C67" s="626" t="s">
        <v>215</v>
      </c>
      <c r="D67" s="627"/>
      <c r="E67" s="627"/>
      <c r="F67" s="158">
        <v>0</v>
      </c>
      <c r="G67" s="341">
        <v>0</v>
      </c>
      <c r="H67" s="311">
        <v>0</v>
      </c>
      <c r="I67" s="509">
        <v>0</v>
      </c>
      <c r="J67" s="233">
        <f t="shared" si="16"/>
        <v>0</v>
      </c>
      <c r="K67" s="142"/>
      <c r="L67" s="158">
        <f t="shared" si="2"/>
        <v>0</v>
      </c>
      <c r="M67" s="90"/>
      <c r="N67" s="91"/>
      <c r="O67" s="94"/>
      <c r="P67" s="94"/>
      <c r="Q67" s="91"/>
      <c r="R67" s="94"/>
      <c r="S67" s="94"/>
      <c r="T67" s="95"/>
      <c r="U67" s="341"/>
      <c r="V67" s="94"/>
      <c r="W67" s="94"/>
      <c r="X67" s="95"/>
    </row>
    <row r="68" spans="1:25" s="18" customFormat="1" ht="15.75" hidden="1" customHeight="1" thickBot="1" x14ac:dyDescent="0.3">
      <c r="A68" s="118" t="s">
        <v>216</v>
      </c>
      <c r="B68" s="88" t="s">
        <v>655</v>
      </c>
      <c r="C68" s="626" t="s">
        <v>217</v>
      </c>
      <c r="D68" s="627"/>
      <c r="E68" s="627"/>
      <c r="F68" s="158">
        <v>0</v>
      </c>
      <c r="G68" s="341">
        <v>0</v>
      </c>
      <c r="H68" s="311">
        <v>0</v>
      </c>
      <c r="I68" s="509">
        <v>0</v>
      </c>
      <c r="J68" s="233">
        <f>J69+J70+J71</f>
        <v>0</v>
      </c>
      <c r="K68" s="142">
        <f t="shared" ref="K68:X68" si="17">K69+K70+K71</f>
        <v>0</v>
      </c>
      <c r="L68" s="158">
        <f t="shared" si="2"/>
        <v>0</v>
      </c>
      <c r="M68" s="90">
        <f t="shared" si="17"/>
        <v>0</v>
      </c>
      <c r="N68" s="91">
        <f t="shared" si="17"/>
        <v>0</v>
      </c>
      <c r="O68" s="94">
        <f t="shared" si="17"/>
        <v>0</v>
      </c>
      <c r="P68" s="94">
        <f t="shared" si="17"/>
        <v>0</v>
      </c>
      <c r="Q68" s="91">
        <f t="shared" si="17"/>
        <v>0</v>
      </c>
      <c r="R68" s="94">
        <f t="shared" si="17"/>
        <v>0</v>
      </c>
      <c r="S68" s="94">
        <f t="shared" si="17"/>
        <v>0</v>
      </c>
      <c r="T68" s="95">
        <f t="shared" si="17"/>
        <v>0</v>
      </c>
      <c r="U68" s="341">
        <f t="shared" si="17"/>
        <v>0</v>
      </c>
      <c r="V68" s="94">
        <f t="shared" si="17"/>
        <v>0</v>
      </c>
      <c r="W68" s="94">
        <f t="shared" si="17"/>
        <v>0</v>
      </c>
      <c r="X68" s="95">
        <f t="shared" si="17"/>
        <v>0</v>
      </c>
    </row>
    <row r="69" spans="1:25" ht="15.75" hidden="1" customHeight="1" thickBot="1" x14ac:dyDescent="0.3">
      <c r="B69" s="54"/>
      <c r="C69" s="2"/>
      <c r="D69" s="624" t="s">
        <v>343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  <c r="Y69" s="21"/>
    </row>
    <row r="70" spans="1:25" ht="15.75" hidden="1" customHeight="1" thickBot="1" x14ac:dyDescent="0.3">
      <c r="B70" s="54"/>
      <c r="C70" s="2"/>
      <c r="D70" s="624" t="s">
        <v>344</v>
      </c>
      <c r="E70" s="624"/>
      <c r="F70" s="159">
        <v>0</v>
      </c>
      <c r="G70" s="343">
        <v>0</v>
      </c>
      <c r="H70" s="313">
        <v>0</v>
      </c>
      <c r="I70" s="513">
        <v>0</v>
      </c>
      <c r="J70" s="232">
        <f>SUM(M70:X70)</f>
        <v>0</v>
      </c>
      <c r="K70" s="141"/>
      <c r="L70" s="159">
        <f t="shared" si="2"/>
        <v>0</v>
      </c>
      <c r="M70" s="72"/>
      <c r="N70" s="1"/>
      <c r="O70" s="78"/>
      <c r="P70" s="78"/>
      <c r="Q70" s="1"/>
      <c r="R70" s="78"/>
      <c r="S70" s="78"/>
      <c r="T70" s="44"/>
      <c r="U70" s="343"/>
      <c r="V70" s="78"/>
      <c r="W70" s="78"/>
      <c r="X70" s="44"/>
    </row>
    <row r="71" spans="1:25" ht="15.75" hidden="1" customHeight="1" thickBot="1" x14ac:dyDescent="0.3">
      <c r="B71" s="54"/>
      <c r="C71" s="2"/>
      <c r="D71" s="624" t="s">
        <v>345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2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s="18" customFormat="1" ht="15.75" hidden="1" customHeight="1" thickBot="1" x14ac:dyDescent="0.3">
      <c r="A72" s="118" t="s">
        <v>218</v>
      </c>
      <c r="B72" s="88" t="s">
        <v>656</v>
      </c>
      <c r="C72" s="626" t="s">
        <v>219</v>
      </c>
      <c r="D72" s="627"/>
      <c r="E72" s="627"/>
      <c r="F72" s="158">
        <v>0</v>
      </c>
      <c r="G72" s="341">
        <v>0</v>
      </c>
      <c r="H72" s="311">
        <v>0</v>
      </c>
      <c r="I72" s="509">
        <v>0</v>
      </c>
      <c r="J72" s="233">
        <f>J73+J74+J75+J76</f>
        <v>0</v>
      </c>
      <c r="K72" s="142">
        <f t="shared" ref="K72:X72" si="18">K73+K74+K75+K76</f>
        <v>0</v>
      </c>
      <c r="L72" s="158">
        <f t="shared" ref="L72:L135" si="19">SUM(J72:K72)</f>
        <v>0</v>
      </c>
      <c r="M72" s="90">
        <f t="shared" si="18"/>
        <v>0</v>
      </c>
      <c r="N72" s="91">
        <f t="shared" si="18"/>
        <v>0</v>
      </c>
      <c r="O72" s="94">
        <f t="shared" si="18"/>
        <v>0</v>
      </c>
      <c r="P72" s="94">
        <f t="shared" si="18"/>
        <v>0</v>
      </c>
      <c r="Q72" s="91">
        <f t="shared" si="18"/>
        <v>0</v>
      </c>
      <c r="R72" s="94">
        <f t="shared" si="18"/>
        <v>0</v>
      </c>
      <c r="S72" s="94">
        <f t="shared" si="18"/>
        <v>0</v>
      </c>
      <c r="T72" s="95">
        <f t="shared" si="18"/>
        <v>0</v>
      </c>
      <c r="U72" s="341">
        <f t="shared" si="18"/>
        <v>0</v>
      </c>
      <c r="V72" s="94">
        <f t="shared" si="18"/>
        <v>0</v>
      </c>
      <c r="W72" s="94">
        <f t="shared" si="18"/>
        <v>0</v>
      </c>
      <c r="X72" s="95">
        <f t="shared" si="18"/>
        <v>0</v>
      </c>
    </row>
    <row r="73" spans="1:25" ht="15.75" hidden="1" customHeight="1" thickBot="1" x14ac:dyDescent="0.3">
      <c r="B73" s="54"/>
      <c r="C73" s="2"/>
      <c r="D73" s="624" t="s">
        <v>835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9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24" t="s">
        <v>346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9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hidden="1" customHeight="1" thickBot="1" x14ac:dyDescent="0.3">
      <c r="B75" s="54"/>
      <c r="C75" s="2"/>
      <c r="D75" s="624" t="s">
        <v>836</v>
      </c>
      <c r="E75" s="624"/>
      <c r="F75" s="159">
        <v>0</v>
      </c>
      <c r="G75" s="343">
        <v>0</v>
      </c>
      <c r="H75" s="313">
        <v>0</v>
      </c>
      <c r="I75" s="513">
        <v>0</v>
      </c>
      <c r="J75" s="232">
        <f>SUM(M75:X75)</f>
        <v>0</v>
      </c>
      <c r="K75" s="141"/>
      <c r="L75" s="159">
        <f t="shared" si="19"/>
        <v>0</v>
      </c>
      <c r="M75" s="72"/>
      <c r="N75" s="1"/>
      <c r="O75" s="78"/>
      <c r="P75" s="78"/>
      <c r="Q75" s="1"/>
      <c r="R75" s="78"/>
      <c r="S75" s="78"/>
      <c r="T75" s="44"/>
      <c r="U75" s="343"/>
      <c r="V75" s="78"/>
      <c r="W75" s="78"/>
      <c r="X75" s="44"/>
    </row>
    <row r="76" spans="1:25" ht="15.75" hidden="1" customHeight="1" thickBot="1" x14ac:dyDescent="0.3">
      <c r="B76" s="54"/>
      <c r="C76" s="2"/>
      <c r="D76" s="624" t="s">
        <v>834</v>
      </c>
      <c r="E76" s="624"/>
      <c r="F76" s="159">
        <v>0</v>
      </c>
      <c r="G76" s="343">
        <v>0</v>
      </c>
      <c r="H76" s="313">
        <v>0</v>
      </c>
      <c r="I76" s="513">
        <v>0</v>
      </c>
      <c r="J76" s="232">
        <f>SUM(M76:X76)</f>
        <v>0</v>
      </c>
      <c r="K76" s="141"/>
      <c r="L76" s="159">
        <f t="shared" si="19"/>
        <v>0</v>
      </c>
      <c r="M76" s="72"/>
      <c r="N76" s="1"/>
      <c r="O76" s="78"/>
      <c r="P76" s="78"/>
      <c r="Q76" s="1"/>
      <c r="R76" s="78"/>
      <c r="S76" s="78"/>
      <c r="T76" s="44"/>
      <c r="U76" s="343"/>
      <c r="V76" s="78"/>
      <c r="W76" s="78"/>
      <c r="X76" s="44"/>
    </row>
    <row r="77" spans="1:25" ht="15.75" thickBot="1" x14ac:dyDescent="0.3">
      <c r="B77" s="96" t="s">
        <v>220</v>
      </c>
      <c r="C77" s="632" t="s">
        <v>221</v>
      </c>
      <c r="D77" s="633"/>
      <c r="E77" s="633"/>
      <c r="F77" s="156">
        <v>0</v>
      </c>
      <c r="G77" s="338">
        <v>0</v>
      </c>
      <c r="H77" s="308">
        <v>0</v>
      </c>
      <c r="I77" s="506">
        <v>0</v>
      </c>
      <c r="J77" s="235">
        <f>J78+J81+J85+J86+J97+J108+J119+J122+J134+J135+J136+J137+J148</f>
        <v>0</v>
      </c>
      <c r="K77" s="144">
        <f t="shared" ref="K77:X77" si="20">K78+K81+K85+K86+K97+K108+K119+K122+K134+K135+K136+K137+K148</f>
        <v>0</v>
      </c>
      <c r="L77" s="156">
        <f t="shared" si="19"/>
        <v>0</v>
      </c>
      <c r="M77" s="82">
        <f t="shared" si="20"/>
        <v>0</v>
      </c>
      <c r="N77" s="83">
        <f t="shared" si="20"/>
        <v>0</v>
      </c>
      <c r="O77" s="86">
        <f t="shared" si="20"/>
        <v>0</v>
      </c>
      <c r="P77" s="86">
        <f t="shared" si="20"/>
        <v>0</v>
      </c>
      <c r="Q77" s="83">
        <f t="shared" si="20"/>
        <v>0</v>
      </c>
      <c r="R77" s="86">
        <f t="shared" si="20"/>
        <v>0</v>
      </c>
      <c r="S77" s="86">
        <f t="shared" si="20"/>
        <v>0</v>
      </c>
      <c r="T77" s="87">
        <f t="shared" si="20"/>
        <v>0</v>
      </c>
      <c r="U77" s="338">
        <f t="shared" si="20"/>
        <v>0</v>
      </c>
      <c r="V77" s="86">
        <f t="shared" si="20"/>
        <v>0</v>
      </c>
      <c r="W77" s="86">
        <f t="shared" si="20"/>
        <v>0</v>
      </c>
      <c r="X77" s="87">
        <f t="shared" si="20"/>
        <v>0</v>
      </c>
    </row>
    <row r="78" spans="1:25" s="41" customFormat="1" ht="15.75" hidden="1" customHeight="1" thickBot="1" x14ac:dyDescent="0.3">
      <c r="A78" s="118" t="s">
        <v>222</v>
      </c>
      <c r="B78" s="116" t="s">
        <v>657</v>
      </c>
      <c r="C78" s="657" t="s">
        <v>223</v>
      </c>
      <c r="D78" s="658"/>
      <c r="E78" s="65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X78" si="21">K79+K80</f>
        <v>0</v>
      </c>
      <c r="L78" s="161">
        <f t="shared" si="19"/>
        <v>0</v>
      </c>
      <c r="M78" s="163">
        <f t="shared" si="21"/>
        <v>0</v>
      </c>
      <c r="N78" s="124">
        <f t="shared" si="21"/>
        <v>0</v>
      </c>
      <c r="O78" s="125">
        <f t="shared" si="21"/>
        <v>0</v>
      </c>
      <c r="P78" s="125">
        <f t="shared" si="21"/>
        <v>0</v>
      </c>
      <c r="Q78" s="124">
        <f t="shared" si="21"/>
        <v>0</v>
      </c>
      <c r="R78" s="125">
        <f t="shared" si="21"/>
        <v>0</v>
      </c>
      <c r="S78" s="125">
        <f t="shared" si="21"/>
        <v>0</v>
      </c>
      <c r="T78" s="126">
        <f t="shared" si="21"/>
        <v>0</v>
      </c>
      <c r="U78" s="344">
        <f t="shared" si="21"/>
        <v>0</v>
      </c>
      <c r="V78" s="125">
        <f t="shared" si="21"/>
        <v>0</v>
      </c>
      <c r="W78" s="125">
        <f t="shared" si="21"/>
        <v>0</v>
      </c>
      <c r="X78" s="126">
        <f t="shared" si="21"/>
        <v>0</v>
      </c>
    </row>
    <row r="79" spans="1:25" ht="15.75" hidden="1" customHeight="1" thickBot="1" x14ac:dyDescent="0.3">
      <c r="B79" s="54"/>
      <c r="C79" s="2"/>
      <c r="D79" s="624" t="s">
        <v>347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>SUM(M79:X79)</f>
        <v>0</v>
      </c>
      <c r="K79" s="141"/>
      <c r="L79" s="159">
        <f t="shared" si="19"/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</row>
    <row r="80" spans="1:25" ht="15.75" hidden="1" customHeight="1" thickBot="1" x14ac:dyDescent="0.3">
      <c r="B80" s="54"/>
      <c r="C80" s="2"/>
      <c r="D80" s="624" t="s">
        <v>348</v>
      </c>
      <c r="E80" s="624"/>
      <c r="F80" s="159">
        <v>0</v>
      </c>
      <c r="G80" s="343">
        <v>0</v>
      </c>
      <c r="H80" s="313">
        <v>0</v>
      </c>
      <c r="I80" s="513">
        <v>0</v>
      </c>
      <c r="J80" s="232">
        <f>SUM(M80:X80)</f>
        <v>0</v>
      </c>
      <c r="K80" s="141"/>
      <c r="L80" s="159">
        <f t="shared" si="19"/>
        <v>0</v>
      </c>
      <c r="M80" s="72"/>
      <c r="N80" s="1"/>
      <c r="O80" s="78"/>
      <c r="P80" s="78"/>
      <c r="Q80" s="1"/>
      <c r="R80" s="78"/>
      <c r="S80" s="78"/>
      <c r="T80" s="44"/>
      <c r="U80" s="343"/>
      <c r="V80" s="78"/>
      <c r="W80" s="78"/>
      <c r="X80" s="44"/>
    </row>
    <row r="81" spans="1:24" ht="15.75" hidden="1" customHeight="1" thickBot="1" x14ac:dyDescent="0.3">
      <c r="B81" s="116" t="s">
        <v>837</v>
      </c>
      <c r="C81" s="657" t="s">
        <v>838</v>
      </c>
      <c r="D81" s="658"/>
      <c r="E81" s="658"/>
      <c r="F81" s="161">
        <v>0</v>
      </c>
      <c r="G81" s="344">
        <v>0</v>
      </c>
      <c r="H81" s="314">
        <v>0</v>
      </c>
      <c r="I81" s="515">
        <v>0</v>
      </c>
      <c r="J81" s="240">
        <f>J82+J83+J84</f>
        <v>0</v>
      </c>
      <c r="K81" s="149">
        <f t="shared" ref="K81:X81" si="22">K82+K83+K84</f>
        <v>0</v>
      </c>
      <c r="L81" s="161">
        <f t="shared" si="19"/>
        <v>0</v>
      </c>
      <c r="M81" s="163">
        <f t="shared" si="22"/>
        <v>0</v>
      </c>
      <c r="N81" s="124">
        <f t="shared" si="22"/>
        <v>0</v>
      </c>
      <c r="O81" s="125">
        <f t="shared" si="22"/>
        <v>0</v>
      </c>
      <c r="P81" s="125">
        <f t="shared" si="22"/>
        <v>0</v>
      </c>
      <c r="Q81" s="124">
        <f t="shared" si="22"/>
        <v>0</v>
      </c>
      <c r="R81" s="125">
        <f t="shared" si="22"/>
        <v>0</v>
      </c>
      <c r="S81" s="125">
        <f t="shared" si="22"/>
        <v>0</v>
      </c>
      <c r="T81" s="126">
        <f t="shared" si="22"/>
        <v>0</v>
      </c>
      <c r="U81" s="344">
        <f t="shared" si="22"/>
        <v>0</v>
      </c>
      <c r="V81" s="125">
        <f t="shared" si="22"/>
        <v>0</v>
      </c>
      <c r="W81" s="125">
        <f t="shared" si="22"/>
        <v>0</v>
      </c>
      <c r="X81" s="126">
        <f t="shared" si="22"/>
        <v>0</v>
      </c>
    </row>
    <row r="82" spans="1:24" s="199" customFormat="1" ht="15.75" hidden="1" customHeight="1" thickBot="1" x14ac:dyDescent="0.3">
      <c r="A82" s="118" t="s">
        <v>882</v>
      </c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9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199" customFormat="1" ht="15.75" hidden="1" customHeight="1" thickBot="1" x14ac:dyDescent="0.3">
      <c r="A83" s="118" t="s">
        <v>224</v>
      </c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SUM(M83:X83)</f>
        <v>0</v>
      </c>
      <c r="K83" s="182"/>
      <c r="L83" s="183">
        <f t="shared" si="19"/>
        <v>0</v>
      </c>
      <c r="M83" s="191"/>
      <c r="N83" s="185"/>
      <c r="O83" s="186"/>
      <c r="P83" s="186"/>
      <c r="Q83" s="185"/>
      <c r="R83" s="186"/>
      <c r="S83" s="186"/>
      <c r="T83" s="187"/>
      <c r="U83" s="340"/>
      <c r="V83" s="186"/>
      <c r="W83" s="186"/>
      <c r="X83" s="187"/>
    </row>
    <row r="84" spans="1:24" s="199" customFormat="1" ht="15.75" hidden="1" customHeight="1" thickBot="1" x14ac:dyDescent="0.3">
      <c r="A84" s="118" t="s">
        <v>226</v>
      </c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SUM(M84:X84)</f>
        <v>0</v>
      </c>
      <c r="K84" s="182"/>
      <c r="L84" s="183">
        <f t="shared" si="19"/>
        <v>0</v>
      </c>
      <c r="M84" s="191"/>
      <c r="N84" s="185"/>
      <c r="O84" s="186"/>
      <c r="P84" s="186"/>
      <c r="Q84" s="185"/>
      <c r="R84" s="186"/>
      <c r="S84" s="186"/>
      <c r="T84" s="187"/>
      <c r="U84" s="340"/>
      <c r="V84" s="186"/>
      <c r="W84" s="186"/>
      <c r="X84" s="187"/>
    </row>
    <row r="85" spans="1:24" s="41" customFormat="1" ht="27.75" hidden="1" customHeight="1" x14ac:dyDescent="0.25">
      <c r="A85" s="118" t="s">
        <v>228</v>
      </c>
      <c r="B85" s="101" t="s">
        <v>660</v>
      </c>
      <c r="C85" s="708" t="s">
        <v>353</v>
      </c>
      <c r="D85" s="709"/>
      <c r="E85" s="709"/>
      <c r="F85" s="162">
        <v>0</v>
      </c>
      <c r="G85" s="345">
        <v>0</v>
      </c>
      <c r="H85" s="315">
        <v>0</v>
      </c>
      <c r="I85" s="516">
        <v>0</v>
      </c>
      <c r="J85" s="241">
        <f>SUM(M85:X85)</f>
        <v>0</v>
      </c>
      <c r="K85" s="150"/>
      <c r="L85" s="162">
        <f t="shared" si="19"/>
        <v>0</v>
      </c>
      <c r="M85" s="102"/>
      <c r="N85" s="103"/>
      <c r="O85" s="106"/>
      <c r="P85" s="106"/>
      <c r="Q85" s="103"/>
      <c r="R85" s="106"/>
      <c r="S85" s="106"/>
      <c r="T85" s="107"/>
      <c r="U85" s="345"/>
      <c r="V85" s="106"/>
      <c r="W85" s="106"/>
      <c r="X85" s="107"/>
    </row>
    <row r="86" spans="1:24" s="41" customFormat="1" ht="15.75" hidden="1" customHeight="1" thickBot="1" x14ac:dyDescent="0.3">
      <c r="A86" s="118" t="s">
        <v>229</v>
      </c>
      <c r="B86" s="101" t="s">
        <v>661</v>
      </c>
      <c r="C86" s="708" t="s">
        <v>803</v>
      </c>
      <c r="D86" s="709"/>
      <c r="E86" s="709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X86" si="23">K87+K88+K89+K90+K91+K92+K93+K94+K95+K96</f>
        <v>0</v>
      </c>
      <c r="L86" s="162">
        <f t="shared" si="19"/>
        <v>0</v>
      </c>
      <c r="M86" s="102">
        <f t="shared" si="23"/>
        <v>0</v>
      </c>
      <c r="N86" s="103">
        <f t="shared" si="23"/>
        <v>0</v>
      </c>
      <c r="O86" s="106">
        <f t="shared" si="23"/>
        <v>0</v>
      </c>
      <c r="P86" s="106">
        <f t="shared" si="23"/>
        <v>0</v>
      </c>
      <c r="Q86" s="103">
        <f t="shared" si="23"/>
        <v>0</v>
      </c>
      <c r="R86" s="106">
        <f t="shared" si="23"/>
        <v>0</v>
      </c>
      <c r="S86" s="106">
        <f t="shared" si="23"/>
        <v>0</v>
      </c>
      <c r="T86" s="107">
        <f t="shared" si="23"/>
        <v>0</v>
      </c>
      <c r="U86" s="345">
        <f t="shared" si="23"/>
        <v>0</v>
      </c>
      <c r="V86" s="106">
        <f t="shared" si="23"/>
        <v>0</v>
      </c>
      <c r="W86" s="106">
        <f t="shared" si="23"/>
        <v>0</v>
      </c>
      <c r="X86" s="107">
        <f t="shared" si="23"/>
        <v>0</v>
      </c>
    </row>
    <row r="87" spans="1:24" ht="15.75" hidden="1" customHeight="1" thickBot="1" x14ac:dyDescent="0.3">
      <c r="B87" s="54"/>
      <c r="C87" s="2"/>
      <c r="D87" s="624" t="s">
        <v>370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24">SUM(M87:X87)</f>
        <v>0</v>
      </c>
      <c r="K87" s="141"/>
      <c r="L87" s="159">
        <f t="shared" si="19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.75" hidden="1" customHeight="1" thickBot="1" x14ac:dyDescent="0.3">
      <c r="B88" s="54"/>
      <c r="C88" s="2"/>
      <c r="D88" s="624" t="s">
        <v>506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9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.75" hidden="1" customHeight="1" thickBot="1" x14ac:dyDescent="0.3">
      <c r="B89" s="54"/>
      <c r="C89" s="2"/>
      <c r="D89" s="624" t="s">
        <v>507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9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.75" hidden="1" customHeight="1" thickBot="1" x14ac:dyDescent="0.3">
      <c r="B90" s="54"/>
      <c r="C90" s="2"/>
      <c r="D90" s="624" t="s">
        <v>508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9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15.75" hidden="1" customHeight="1" thickBot="1" x14ac:dyDescent="0.3">
      <c r="B91" s="54"/>
      <c r="C91" s="2"/>
      <c r="D91" s="624" t="s">
        <v>509</v>
      </c>
      <c r="E91" s="624"/>
      <c r="F91" s="159">
        <v>0</v>
      </c>
      <c r="G91" s="343">
        <v>0</v>
      </c>
      <c r="H91" s="313">
        <v>0</v>
      </c>
      <c r="I91" s="513">
        <v>0</v>
      </c>
      <c r="J91" s="232">
        <f t="shared" si="24"/>
        <v>0</v>
      </c>
      <c r="K91" s="141"/>
      <c r="L91" s="159">
        <f t="shared" si="19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.75" hidden="1" customHeight="1" thickBot="1" x14ac:dyDescent="0.3">
      <c r="B92" s="54"/>
      <c r="C92" s="2"/>
      <c r="D92" s="624" t="s">
        <v>510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9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511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9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15.75" hidden="1" customHeight="1" thickBot="1" x14ac:dyDescent="0.3">
      <c r="B94" s="54"/>
      <c r="C94" s="2"/>
      <c r="D94" s="624" t="s">
        <v>804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 t="shared" si="24"/>
        <v>0</v>
      </c>
      <c r="K94" s="141"/>
      <c r="L94" s="159">
        <f t="shared" si="19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ht="25.5" hidden="1" customHeight="1" x14ac:dyDescent="0.25">
      <c r="B95" s="54"/>
      <c r="C95" s="2"/>
      <c r="D95" s="625" t="s">
        <v>512</v>
      </c>
      <c r="E95" s="625"/>
      <c r="F95" s="159">
        <v>0</v>
      </c>
      <c r="G95" s="343">
        <v>0</v>
      </c>
      <c r="H95" s="313">
        <v>0</v>
      </c>
      <c r="I95" s="513">
        <v>0</v>
      </c>
      <c r="J95" s="242">
        <f t="shared" si="24"/>
        <v>0</v>
      </c>
      <c r="K95" s="151"/>
      <c r="L95" s="159">
        <f t="shared" si="19"/>
        <v>0</v>
      </c>
      <c r="M95" s="72"/>
      <c r="N95" s="1"/>
      <c r="O95" s="78"/>
      <c r="P95" s="78"/>
      <c r="Q95" s="1"/>
      <c r="R95" s="78"/>
      <c r="S95" s="78"/>
      <c r="T95" s="44"/>
      <c r="U95" s="343"/>
      <c r="V95" s="78"/>
      <c r="W95" s="78"/>
      <c r="X95" s="44"/>
    </row>
    <row r="96" spans="1:24" ht="25.5" hidden="1" customHeight="1" x14ac:dyDescent="0.25">
      <c r="B96" s="54"/>
      <c r="C96" s="2"/>
      <c r="D96" s="625" t="s">
        <v>513</v>
      </c>
      <c r="E96" s="625"/>
      <c r="F96" s="159">
        <v>0</v>
      </c>
      <c r="G96" s="343">
        <v>0</v>
      </c>
      <c r="H96" s="313">
        <v>0</v>
      </c>
      <c r="I96" s="513">
        <v>0</v>
      </c>
      <c r="J96" s="242">
        <f t="shared" si="24"/>
        <v>0</v>
      </c>
      <c r="K96" s="151"/>
      <c r="L96" s="159">
        <f t="shared" si="19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s="41" customFormat="1" ht="15" hidden="1" customHeight="1" x14ac:dyDescent="0.25">
      <c r="A97" s="118" t="s">
        <v>230</v>
      </c>
      <c r="B97" s="101" t="s">
        <v>662</v>
      </c>
      <c r="C97" s="708" t="s">
        <v>805</v>
      </c>
      <c r="D97" s="709"/>
      <c r="E97" s="709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X97" si="25">K98+K99+K100+K101+K102+K103+K104+K105+K106+K107</f>
        <v>0</v>
      </c>
      <c r="L97" s="162">
        <f t="shared" si="19"/>
        <v>0</v>
      </c>
      <c r="M97" s="102">
        <f t="shared" si="25"/>
        <v>0</v>
      </c>
      <c r="N97" s="103">
        <f t="shared" si="25"/>
        <v>0</v>
      </c>
      <c r="O97" s="106">
        <f t="shared" si="25"/>
        <v>0</v>
      </c>
      <c r="P97" s="106">
        <f t="shared" si="25"/>
        <v>0</v>
      </c>
      <c r="Q97" s="103">
        <f t="shared" si="25"/>
        <v>0</v>
      </c>
      <c r="R97" s="106">
        <f t="shared" si="25"/>
        <v>0</v>
      </c>
      <c r="S97" s="106">
        <f t="shared" si="25"/>
        <v>0</v>
      </c>
      <c r="T97" s="107">
        <f t="shared" si="25"/>
        <v>0</v>
      </c>
      <c r="U97" s="345">
        <f t="shared" si="25"/>
        <v>0</v>
      </c>
      <c r="V97" s="106">
        <f t="shared" si="25"/>
        <v>0</v>
      </c>
      <c r="W97" s="106">
        <f t="shared" si="25"/>
        <v>0</v>
      </c>
      <c r="X97" s="107">
        <f t="shared" si="25"/>
        <v>0</v>
      </c>
    </row>
    <row r="98" spans="1:24" ht="15.75" hidden="1" customHeight="1" thickBot="1" x14ac:dyDescent="0.3">
      <c r="B98" s="54"/>
      <c r="C98" s="2"/>
      <c r="D98" s="624" t="s">
        <v>369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26">SUM(M98:X98)</f>
        <v>0</v>
      </c>
      <c r="K98" s="141"/>
      <c r="L98" s="159">
        <f t="shared" si="19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.75" hidden="1" customHeight="1" thickBot="1" x14ac:dyDescent="0.3">
      <c r="B99" s="54"/>
      <c r="C99" s="2"/>
      <c r="D99" s="624" t="s">
        <v>514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9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.75" hidden="1" customHeight="1" thickBot="1" x14ac:dyDescent="0.3">
      <c r="B100" s="54"/>
      <c r="C100" s="2"/>
      <c r="D100" s="624" t="s">
        <v>516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9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.75" hidden="1" customHeight="1" thickBot="1" x14ac:dyDescent="0.3">
      <c r="B101" s="54"/>
      <c r="C101" s="2"/>
      <c r="D101" s="624" t="s">
        <v>807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9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15.75" hidden="1" customHeight="1" thickBot="1" x14ac:dyDescent="0.3">
      <c r="B102" s="54"/>
      <c r="C102" s="2"/>
      <c r="D102" s="624" t="s">
        <v>521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26"/>
        <v>0</v>
      </c>
      <c r="K102" s="141"/>
      <c r="L102" s="159">
        <f t="shared" si="19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.75" hidden="1" customHeight="1" thickBot="1" x14ac:dyDescent="0.3">
      <c r="B103" s="54"/>
      <c r="C103" s="2"/>
      <c r="D103" s="624" t="s">
        <v>519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9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523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9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15.75" hidden="1" customHeight="1" thickBot="1" x14ac:dyDescent="0.3">
      <c r="B105" s="54"/>
      <c r="C105" s="2"/>
      <c r="D105" s="624" t="s">
        <v>806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26"/>
        <v>0</v>
      </c>
      <c r="K105" s="141"/>
      <c r="L105" s="159">
        <f t="shared" si="19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ht="25.5" hidden="1" customHeight="1" x14ac:dyDescent="0.25">
      <c r="B106" s="54"/>
      <c r="C106" s="2"/>
      <c r="D106" s="625" t="s">
        <v>526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26"/>
        <v>0</v>
      </c>
      <c r="K106" s="151"/>
      <c r="L106" s="159">
        <f t="shared" si="19"/>
        <v>0</v>
      </c>
      <c r="M106" s="72"/>
      <c r="N106" s="1"/>
      <c r="O106" s="78"/>
      <c r="P106" s="78"/>
      <c r="Q106" s="1"/>
      <c r="R106" s="78"/>
      <c r="S106" s="78"/>
      <c r="T106" s="44"/>
      <c r="U106" s="343"/>
      <c r="V106" s="78"/>
      <c r="W106" s="78"/>
      <c r="X106" s="44"/>
    </row>
    <row r="107" spans="1:24" ht="25.5" hidden="1" customHeight="1" x14ac:dyDescent="0.25">
      <c r="B107" s="54"/>
      <c r="C107" s="2"/>
      <c r="D107" s="625" t="s">
        <v>528</v>
      </c>
      <c r="E107" s="625"/>
      <c r="F107" s="159">
        <v>0</v>
      </c>
      <c r="G107" s="343">
        <v>0</v>
      </c>
      <c r="H107" s="313">
        <v>0</v>
      </c>
      <c r="I107" s="513">
        <v>0</v>
      </c>
      <c r="J107" s="242">
        <f t="shared" si="26"/>
        <v>0</v>
      </c>
      <c r="K107" s="151"/>
      <c r="L107" s="159">
        <f t="shared" si="19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s="41" customFormat="1" ht="15.75" hidden="1" customHeight="1" thickBot="1" x14ac:dyDescent="0.3">
      <c r="A108" s="118" t="s">
        <v>231</v>
      </c>
      <c r="B108" s="101" t="s">
        <v>663</v>
      </c>
      <c r="C108" s="655" t="s">
        <v>232</v>
      </c>
      <c r="D108" s="656"/>
      <c r="E108" s="656"/>
      <c r="F108" s="162">
        <v>0</v>
      </c>
      <c r="G108" s="345">
        <v>0</v>
      </c>
      <c r="H108" s="315">
        <v>0</v>
      </c>
      <c r="I108" s="516">
        <v>0</v>
      </c>
      <c r="J108" s="243">
        <f>J109+J110+J111+J112+J113+J114+J115+J116+J117+J118</f>
        <v>0</v>
      </c>
      <c r="K108" s="152">
        <f t="shared" ref="K108:X108" si="27">K109+K110+K111+K112+K113+K114+K115+K116+K117+K118</f>
        <v>0</v>
      </c>
      <c r="L108" s="162">
        <f t="shared" si="19"/>
        <v>0</v>
      </c>
      <c r="M108" s="102">
        <f t="shared" si="27"/>
        <v>0</v>
      </c>
      <c r="N108" s="103">
        <f t="shared" si="27"/>
        <v>0</v>
      </c>
      <c r="O108" s="106">
        <f t="shared" si="27"/>
        <v>0</v>
      </c>
      <c r="P108" s="106">
        <f t="shared" si="27"/>
        <v>0</v>
      </c>
      <c r="Q108" s="103">
        <f t="shared" si="27"/>
        <v>0</v>
      </c>
      <c r="R108" s="106">
        <f t="shared" si="27"/>
        <v>0</v>
      </c>
      <c r="S108" s="106">
        <f t="shared" si="27"/>
        <v>0</v>
      </c>
      <c r="T108" s="107">
        <f t="shared" si="27"/>
        <v>0</v>
      </c>
      <c r="U108" s="345">
        <f t="shared" si="27"/>
        <v>0</v>
      </c>
      <c r="V108" s="106">
        <f t="shared" si="27"/>
        <v>0</v>
      </c>
      <c r="W108" s="106">
        <f t="shared" si="27"/>
        <v>0</v>
      </c>
      <c r="X108" s="107">
        <f t="shared" si="27"/>
        <v>0</v>
      </c>
    </row>
    <row r="109" spans="1:24" ht="15.75" hidden="1" customHeight="1" thickBot="1" x14ac:dyDescent="0.3">
      <c r="B109" s="54"/>
      <c r="C109" s="2"/>
      <c r="D109" s="624" t="s">
        <v>368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ref="J109:J118" si="28">SUM(M109:X109)</f>
        <v>0</v>
      </c>
      <c r="K109" s="141"/>
      <c r="L109" s="159">
        <f t="shared" si="19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.75" hidden="1" customHeight="1" thickBot="1" x14ac:dyDescent="0.3">
      <c r="B110" s="54"/>
      <c r="C110" s="2"/>
      <c r="D110" s="624" t="s">
        <v>515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9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.75" hidden="1" customHeight="1" thickBot="1" x14ac:dyDescent="0.3">
      <c r="B111" s="54"/>
      <c r="C111" s="2"/>
      <c r="D111" s="624" t="s">
        <v>517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9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.75" hidden="1" customHeight="1" thickBot="1" x14ac:dyDescent="0.3">
      <c r="B112" s="54"/>
      <c r="C112" s="2"/>
      <c r="D112" s="624" t="s">
        <v>518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9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15.75" hidden="1" customHeight="1" thickBot="1" x14ac:dyDescent="0.3">
      <c r="B113" s="54"/>
      <c r="C113" s="2"/>
      <c r="D113" s="624" t="s">
        <v>522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28"/>
        <v>0</v>
      </c>
      <c r="K113" s="141"/>
      <c r="L113" s="159">
        <f t="shared" si="19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.75" hidden="1" customHeight="1" thickBot="1" x14ac:dyDescent="0.3">
      <c r="B114" s="54"/>
      <c r="C114" s="2"/>
      <c r="D114" s="624" t="s">
        <v>520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9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524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9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15.75" hidden="1" customHeight="1" thickBot="1" x14ac:dyDescent="0.3">
      <c r="B116" s="54"/>
      <c r="C116" s="2"/>
      <c r="D116" s="624" t="s">
        <v>525</v>
      </c>
      <c r="E116" s="624"/>
      <c r="F116" s="159">
        <v>0</v>
      </c>
      <c r="G116" s="343">
        <v>0</v>
      </c>
      <c r="H116" s="313">
        <v>0</v>
      </c>
      <c r="I116" s="513">
        <v>0</v>
      </c>
      <c r="J116" s="232">
        <f t="shared" si="28"/>
        <v>0</v>
      </c>
      <c r="K116" s="141"/>
      <c r="L116" s="159">
        <f t="shared" si="19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ht="25.5" hidden="1" customHeight="1" x14ac:dyDescent="0.25">
      <c r="B117" s="54"/>
      <c r="C117" s="2"/>
      <c r="D117" s="625" t="s">
        <v>527</v>
      </c>
      <c r="E117" s="625"/>
      <c r="F117" s="159">
        <v>0</v>
      </c>
      <c r="G117" s="343">
        <v>0</v>
      </c>
      <c r="H117" s="313">
        <v>0</v>
      </c>
      <c r="I117" s="513">
        <v>0</v>
      </c>
      <c r="J117" s="242">
        <f t="shared" si="28"/>
        <v>0</v>
      </c>
      <c r="K117" s="151"/>
      <c r="L117" s="159">
        <f t="shared" si="19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</row>
    <row r="118" spans="1:24" ht="25.5" hidden="1" customHeight="1" x14ac:dyDescent="0.25">
      <c r="B118" s="54"/>
      <c r="C118" s="2"/>
      <c r="D118" s="625" t="s">
        <v>529</v>
      </c>
      <c r="E118" s="625"/>
      <c r="F118" s="159">
        <v>0</v>
      </c>
      <c r="G118" s="343">
        <v>0</v>
      </c>
      <c r="H118" s="313">
        <v>0</v>
      </c>
      <c r="I118" s="513">
        <v>0</v>
      </c>
      <c r="J118" s="242">
        <f t="shared" si="28"/>
        <v>0</v>
      </c>
      <c r="K118" s="151"/>
      <c r="L118" s="159">
        <f t="shared" si="19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s="41" customFormat="1" ht="27.75" hidden="1" customHeight="1" x14ac:dyDescent="0.25">
      <c r="A119" s="118" t="s">
        <v>233</v>
      </c>
      <c r="B119" s="101" t="s">
        <v>664</v>
      </c>
      <c r="C119" s="708" t="s">
        <v>808</v>
      </c>
      <c r="D119" s="709"/>
      <c r="E119" s="709"/>
      <c r="F119" s="162">
        <v>0</v>
      </c>
      <c r="G119" s="345">
        <v>0</v>
      </c>
      <c r="H119" s="315">
        <v>0</v>
      </c>
      <c r="I119" s="516">
        <v>0</v>
      </c>
      <c r="J119" s="241">
        <f>J120+J121</f>
        <v>0</v>
      </c>
      <c r="K119" s="150">
        <f t="shared" ref="K119:X119" si="29">K120+K121</f>
        <v>0</v>
      </c>
      <c r="L119" s="162">
        <f t="shared" si="19"/>
        <v>0</v>
      </c>
      <c r="M119" s="102">
        <f t="shared" si="29"/>
        <v>0</v>
      </c>
      <c r="N119" s="103">
        <f t="shared" si="29"/>
        <v>0</v>
      </c>
      <c r="O119" s="106">
        <f t="shared" si="29"/>
        <v>0</v>
      </c>
      <c r="P119" s="106">
        <f t="shared" si="29"/>
        <v>0</v>
      </c>
      <c r="Q119" s="103">
        <f t="shared" si="29"/>
        <v>0</v>
      </c>
      <c r="R119" s="106">
        <f t="shared" si="29"/>
        <v>0</v>
      </c>
      <c r="S119" s="106">
        <f t="shared" si="29"/>
        <v>0</v>
      </c>
      <c r="T119" s="107">
        <f t="shared" si="29"/>
        <v>0</v>
      </c>
      <c r="U119" s="345">
        <f t="shared" si="29"/>
        <v>0</v>
      </c>
      <c r="V119" s="106">
        <f t="shared" si="29"/>
        <v>0</v>
      </c>
      <c r="W119" s="106">
        <f t="shared" si="29"/>
        <v>0</v>
      </c>
      <c r="X119" s="107">
        <f t="shared" si="29"/>
        <v>0</v>
      </c>
    </row>
    <row r="120" spans="1:24" ht="15.75" hidden="1" customHeight="1" thickBot="1" x14ac:dyDescent="0.3">
      <c r="B120" s="54"/>
      <c r="C120" s="2"/>
      <c r="D120" s="624" t="s">
        <v>531</v>
      </c>
      <c r="E120" s="624"/>
      <c r="F120" s="159">
        <v>0</v>
      </c>
      <c r="G120" s="343">
        <v>0</v>
      </c>
      <c r="H120" s="313">
        <v>0</v>
      </c>
      <c r="I120" s="513">
        <v>0</v>
      </c>
      <c r="J120" s="232">
        <f>SUM(M120:X120)</f>
        <v>0</v>
      </c>
      <c r="K120" s="141"/>
      <c r="L120" s="159">
        <f t="shared" si="19"/>
        <v>0</v>
      </c>
      <c r="M120" s="72"/>
      <c r="N120" s="1"/>
      <c r="O120" s="78"/>
      <c r="P120" s="78"/>
      <c r="Q120" s="1"/>
      <c r="R120" s="78"/>
      <c r="S120" s="78"/>
      <c r="T120" s="44"/>
      <c r="U120" s="343"/>
      <c r="V120" s="78"/>
      <c r="W120" s="78"/>
      <c r="X120" s="44"/>
    </row>
    <row r="121" spans="1:24" ht="25.5" hidden="1" customHeight="1" x14ac:dyDescent="0.25">
      <c r="B121" s="54"/>
      <c r="C121" s="2"/>
      <c r="D121" s="625" t="s">
        <v>530</v>
      </c>
      <c r="E121" s="625"/>
      <c r="F121" s="159">
        <v>0</v>
      </c>
      <c r="G121" s="343">
        <v>0</v>
      </c>
      <c r="H121" s="313">
        <v>0</v>
      </c>
      <c r="I121" s="513">
        <v>0</v>
      </c>
      <c r="J121" s="242">
        <f>SUM(M121:X121)</f>
        <v>0</v>
      </c>
      <c r="K121" s="151"/>
      <c r="L121" s="159">
        <f t="shared" si="19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s="41" customFormat="1" ht="15.75" hidden="1" customHeight="1" thickBot="1" x14ac:dyDescent="0.3">
      <c r="A122" s="118" t="s">
        <v>234</v>
      </c>
      <c r="B122" s="101" t="s">
        <v>666</v>
      </c>
      <c r="C122" s="708" t="s">
        <v>809</v>
      </c>
      <c r="D122" s="709"/>
      <c r="E122" s="709"/>
      <c r="F122" s="162">
        <v>0</v>
      </c>
      <c r="G122" s="345">
        <v>0</v>
      </c>
      <c r="H122" s="315">
        <v>0</v>
      </c>
      <c r="I122" s="516">
        <v>0</v>
      </c>
      <c r="J122" s="241">
        <f>J123+J124+J125+J126+J127+J128+J129+J130+J131+J132+J133</f>
        <v>0</v>
      </c>
      <c r="K122" s="150">
        <f t="shared" ref="K122:X122" si="30">K123+K124+K125+K126+K127+K128+K129+K130+K131+K132+K133</f>
        <v>0</v>
      </c>
      <c r="L122" s="162">
        <f t="shared" si="19"/>
        <v>0</v>
      </c>
      <c r="M122" s="102">
        <f t="shared" si="30"/>
        <v>0</v>
      </c>
      <c r="N122" s="103">
        <f t="shared" si="30"/>
        <v>0</v>
      </c>
      <c r="O122" s="106">
        <f t="shared" si="30"/>
        <v>0</v>
      </c>
      <c r="P122" s="106">
        <f t="shared" si="30"/>
        <v>0</v>
      </c>
      <c r="Q122" s="103">
        <f t="shared" si="30"/>
        <v>0</v>
      </c>
      <c r="R122" s="106">
        <f t="shared" si="30"/>
        <v>0</v>
      </c>
      <c r="S122" s="106">
        <f t="shared" si="30"/>
        <v>0</v>
      </c>
      <c r="T122" s="107">
        <f t="shared" si="30"/>
        <v>0</v>
      </c>
      <c r="U122" s="345">
        <f t="shared" si="30"/>
        <v>0</v>
      </c>
      <c r="V122" s="106">
        <f t="shared" si="30"/>
        <v>0</v>
      </c>
      <c r="W122" s="106">
        <f t="shared" si="30"/>
        <v>0</v>
      </c>
      <c r="X122" s="107">
        <f t="shared" si="30"/>
        <v>0</v>
      </c>
    </row>
    <row r="123" spans="1:24" ht="15.75" hidden="1" customHeight="1" thickBot="1" x14ac:dyDescent="0.3">
      <c r="B123" s="54"/>
      <c r="C123" s="2"/>
      <c r="D123" s="624" t="s">
        <v>354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ref="J123:J136" si="31">SUM(M123:X123)</f>
        <v>0</v>
      </c>
      <c r="K123" s="141"/>
      <c r="L123" s="159">
        <f t="shared" si="19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.75" hidden="1" customHeight="1" thickBot="1" x14ac:dyDescent="0.3">
      <c r="B124" s="54"/>
      <c r="C124" s="2"/>
      <c r="D124" s="624" t="s">
        <v>357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9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.75" hidden="1" customHeight="1" thickBot="1" x14ac:dyDescent="0.3">
      <c r="B125" s="54"/>
      <c r="C125" s="2"/>
      <c r="D125" s="624" t="s">
        <v>358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9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15.75" hidden="1" customHeight="1" thickBot="1" x14ac:dyDescent="0.3">
      <c r="B126" s="54"/>
      <c r="C126" s="2"/>
      <c r="D126" s="624" t="s">
        <v>355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1"/>
        <v>0</v>
      </c>
      <c r="K126" s="141"/>
      <c r="L126" s="159">
        <f t="shared" si="19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15.75" hidden="1" customHeight="1" thickBot="1" x14ac:dyDescent="0.3">
      <c r="B127" s="54"/>
      <c r="C127" s="2"/>
      <c r="D127" s="624" t="s">
        <v>810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31"/>
        <v>0</v>
      </c>
      <c r="K127" s="141"/>
      <c r="L127" s="159">
        <f t="shared" si="19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25.5" hidden="1" customHeight="1" x14ac:dyDescent="0.25">
      <c r="B128" s="54"/>
      <c r="C128" s="2"/>
      <c r="D128" s="625" t="s">
        <v>532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31"/>
        <v>0</v>
      </c>
      <c r="K128" s="151"/>
      <c r="L128" s="159">
        <f t="shared" si="19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25.5" hidden="1" customHeight="1" x14ac:dyDescent="0.25">
      <c r="B129" s="54"/>
      <c r="C129" s="2"/>
      <c r="D129" s="625" t="s">
        <v>533</v>
      </c>
      <c r="E129" s="625"/>
      <c r="F129" s="159">
        <v>0</v>
      </c>
      <c r="G129" s="343">
        <v>0</v>
      </c>
      <c r="H129" s="313">
        <v>0</v>
      </c>
      <c r="I129" s="513">
        <v>0</v>
      </c>
      <c r="J129" s="242">
        <f t="shared" si="31"/>
        <v>0</v>
      </c>
      <c r="K129" s="151"/>
      <c r="L129" s="159">
        <f t="shared" si="19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15.75" hidden="1" customHeight="1" thickBot="1" x14ac:dyDescent="0.3">
      <c r="B130" s="54"/>
      <c r="C130" s="2"/>
      <c r="D130" s="624" t="s">
        <v>364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 t="shared" si="31"/>
        <v>0</v>
      </c>
      <c r="K130" s="141"/>
      <c r="L130" s="159">
        <f t="shared" si="19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.75" hidden="1" customHeight="1" thickBot="1" x14ac:dyDescent="0.3">
      <c r="B131" s="54"/>
      <c r="C131" s="2"/>
      <c r="D131" s="624" t="s">
        <v>356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9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ht="25.5" hidden="1" customHeight="1" x14ac:dyDescent="0.25">
      <c r="B132" s="54"/>
      <c r="C132" s="2"/>
      <c r="D132" s="625" t="s">
        <v>534</v>
      </c>
      <c r="E132" s="625"/>
      <c r="F132" s="159">
        <v>0</v>
      </c>
      <c r="G132" s="343">
        <v>0</v>
      </c>
      <c r="H132" s="313">
        <v>0</v>
      </c>
      <c r="I132" s="513">
        <v>0</v>
      </c>
      <c r="J132" s="242">
        <f t="shared" si="31"/>
        <v>0</v>
      </c>
      <c r="K132" s="151"/>
      <c r="L132" s="159">
        <f t="shared" si="19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</row>
    <row r="133" spans="1:24" ht="15.75" hidden="1" customHeight="1" thickBot="1" x14ac:dyDescent="0.3">
      <c r="B133" s="54"/>
      <c r="C133" s="2"/>
      <c r="D133" s="624" t="s">
        <v>535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31"/>
        <v>0</v>
      </c>
      <c r="K133" s="141"/>
      <c r="L133" s="159">
        <f t="shared" si="19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</row>
    <row r="134" spans="1:24" s="41" customFormat="1" ht="15.75" hidden="1" customHeight="1" thickBot="1" x14ac:dyDescent="0.3">
      <c r="A134" s="118" t="s">
        <v>235</v>
      </c>
      <c r="B134" s="101" t="s">
        <v>665</v>
      </c>
      <c r="C134" s="655" t="s">
        <v>236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si="19"/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.75" hidden="1" customHeight="1" thickBot="1" x14ac:dyDescent="0.3">
      <c r="A135" s="118" t="s">
        <v>237</v>
      </c>
      <c r="B135" s="101" t="s">
        <v>667</v>
      </c>
      <c r="C135" s="655" t="s">
        <v>238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 t="shared" si="31"/>
        <v>0</v>
      </c>
      <c r="K135" s="152"/>
      <c r="L135" s="162">
        <f t="shared" si="19"/>
        <v>0</v>
      </c>
      <c r="M135" s="102"/>
      <c r="N135" s="103"/>
      <c r="O135" s="106"/>
      <c r="P135" s="106"/>
      <c r="Q135" s="103"/>
      <c r="R135" s="106"/>
      <c r="S135" s="106"/>
      <c r="T135" s="107"/>
      <c r="U135" s="345"/>
      <c r="V135" s="106"/>
      <c r="W135" s="106"/>
      <c r="X135" s="107"/>
    </row>
    <row r="136" spans="1:24" s="41" customFormat="1" ht="15.75" hidden="1" customHeight="1" thickBot="1" x14ac:dyDescent="0.3">
      <c r="A136" s="118" t="s">
        <v>239</v>
      </c>
      <c r="B136" s="101" t="s">
        <v>668</v>
      </c>
      <c r="C136" s="655" t="s">
        <v>240</v>
      </c>
      <c r="D136" s="656"/>
      <c r="E136" s="656"/>
      <c r="F136" s="162">
        <v>0</v>
      </c>
      <c r="G136" s="345">
        <v>0</v>
      </c>
      <c r="H136" s="315">
        <v>0</v>
      </c>
      <c r="I136" s="516">
        <v>0</v>
      </c>
      <c r="J136" s="243">
        <f t="shared" si="31"/>
        <v>0</v>
      </c>
      <c r="K136" s="152"/>
      <c r="L136" s="162">
        <f t="shared" ref="L136:L199" si="32">SUM(J136:K136)</f>
        <v>0</v>
      </c>
      <c r="M136" s="102"/>
      <c r="N136" s="103"/>
      <c r="O136" s="106"/>
      <c r="P136" s="106"/>
      <c r="Q136" s="103"/>
      <c r="R136" s="106"/>
      <c r="S136" s="106"/>
      <c r="T136" s="107"/>
      <c r="U136" s="345"/>
      <c r="V136" s="106"/>
      <c r="W136" s="106"/>
      <c r="X136" s="107"/>
    </row>
    <row r="137" spans="1:24" s="41" customFormat="1" ht="15.75" hidden="1" customHeight="1" thickBot="1" x14ac:dyDescent="0.3">
      <c r="A137" s="118" t="s">
        <v>241</v>
      </c>
      <c r="B137" s="101" t="s">
        <v>669</v>
      </c>
      <c r="C137" s="655" t="s">
        <v>242</v>
      </c>
      <c r="D137" s="656"/>
      <c r="E137" s="656"/>
      <c r="F137" s="162">
        <v>0</v>
      </c>
      <c r="G137" s="345">
        <v>0</v>
      </c>
      <c r="H137" s="315">
        <v>0</v>
      </c>
      <c r="I137" s="516">
        <v>0</v>
      </c>
      <c r="J137" s="243">
        <f>J138+J139+J140+J141+J142+J143+J144+J145+J146+J147</f>
        <v>0</v>
      </c>
      <c r="K137" s="152">
        <f t="shared" ref="K137:X137" si="33">K138+K139+K140+K141+K142+K143+K144+K145+K146+K147</f>
        <v>0</v>
      </c>
      <c r="L137" s="162">
        <f t="shared" si="32"/>
        <v>0</v>
      </c>
      <c r="M137" s="102">
        <f t="shared" si="33"/>
        <v>0</v>
      </c>
      <c r="N137" s="103">
        <f t="shared" si="33"/>
        <v>0</v>
      </c>
      <c r="O137" s="106">
        <f t="shared" si="33"/>
        <v>0</v>
      </c>
      <c r="P137" s="106">
        <f t="shared" si="33"/>
        <v>0</v>
      </c>
      <c r="Q137" s="103">
        <f t="shared" si="33"/>
        <v>0</v>
      </c>
      <c r="R137" s="106">
        <f t="shared" si="33"/>
        <v>0</v>
      </c>
      <c r="S137" s="106">
        <f t="shared" si="33"/>
        <v>0</v>
      </c>
      <c r="T137" s="107">
        <f t="shared" si="33"/>
        <v>0</v>
      </c>
      <c r="U137" s="345">
        <f t="shared" si="33"/>
        <v>0</v>
      </c>
      <c r="V137" s="106">
        <f t="shared" si="33"/>
        <v>0</v>
      </c>
      <c r="W137" s="106">
        <f t="shared" si="33"/>
        <v>0</v>
      </c>
      <c r="X137" s="107">
        <f t="shared" si="33"/>
        <v>0</v>
      </c>
    </row>
    <row r="138" spans="1:24" ht="15.75" hidden="1" customHeight="1" thickBot="1" x14ac:dyDescent="0.3">
      <c r="B138" s="54"/>
      <c r="C138" s="2"/>
      <c r="D138" s="624" t="s">
        <v>359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ref="J138:J148" si="34">SUM(M138:X138)</f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.75" hidden="1" customHeight="1" thickBot="1" x14ac:dyDescent="0.3">
      <c r="B139" s="54"/>
      <c r="C139" s="2"/>
      <c r="D139" s="624" t="s">
        <v>360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.75" hidden="1" customHeight="1" thickBot="1" x14ac:dyDescent="0.3">
      <c r="B140" s="54"/>
      <c r="C140" s="2"/>
      <c r="D140" s="624" t="s">
        <v>361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15.75" hidden="1" customHeight="1" thickBot="1" x14ac:dyDescent="0.3">
      <c r="B141" s="54"/>
      <c r="C141" s="2"/>
      <c r="D141" s="624" t="s">
        <v>362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34"/>
        <v>0</v>
      </c>
      <c r="K141" s="14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15.75" hidden="1" customHeight="1" thickBot="1" x14ac:dyDescent="0.3">
      <c r="B142" s="54"/>
      <c r="C142" s="2"/>
      <c r="D142" s="624" t="s">
        <v>363</v>
      </c>
      <c r="E142" s="624"/>
      <c r="F142" s="159">
        <v>0</v>
      </c>
      <c r="G142" s="343">
        <v>0</v>
      </c>
      <c r="H142" s="313">
        <v>0</v>
      </c>
      <c r="I142" s="513">
        <v>0</v>
      </c>
      <c r="J142" s="232">
        <f t="shared" si="34"/>
        <v>0</v>
      </c>
      <c r="K142" s="14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25.5" hidden="1" customHeight="1" x14ac:dyDescent="0.25">
      <c r="B143" s="54"/>
      <c r="C143" s="2"/>
      <c r="D143" s="625" t="s">
        <v>536</v>
      </c>
      <c r="E143" s="625"/>
      <c r="F143" s="159">
        <v>0</v>
      </c>
      <c r="G143" s="343">
        <v>0</v>
      </c>
      <c r="H143" s="313">
        <v>0</v>
      </c>
      <c r="I143" s="513">
        <v>0</v>
      </c>
      <c r="J143" s="242">
        <f t="shared" si="34"/>
        <v>0</v>
      </c>
      <c r="K143" s="15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539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.75" hidden="1" customHeight="1" thickBot="1" x14ac:dyDescent="0.3">
      <c r="B145" s="54"/>
      <c r="C145" s="2"/>
      <c r="D145" s="624" t="s">
        <v>365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ht="25.5" hidden="1" customHeight="1" x14ac:dyDescent="0.25">
      <c r="B146" s="54"/>
      <c r="C146" s="2"/>
      <c r="D146" s="625" t="s">
        <v>542</v>
      </c>
      <c r="E146" s="625"/>
      <c r="F146" s="159">
        <v>0</v>
      </c>
      <c r="G146" s="343">
        <v>0</v>
      </c>
      <c r="H146" s="313">
        <v>0</v>
      </c>
      <c r="I146" s="513">
        <v>0</v>
      </c>
      <c r="J146" s="242">
        <f t="shared" si="34"/>
        <v>0</v>
      </c>
      <c r="K146" s="151"/>
      <c r="L146" s="159">
        <f t="shared" si="32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</row>
    <row r="147" spans="1:24" ht="15.75" hidden="1" customHeight="1" thickBot="1" x14ac:dyDescent="0.3">
      <c r="B147" s="54"/>
      <c r="C147" s="2"/>
      <c r="D147" s="624" t="s">
        <v>543</v>
      </c>
      <c r="E147" s="624"/>
      <c r="F147" s="159">
        <v>0</v>
      </c>
      <c r="G147" s="343">
        <v>0</v>
      </c>
      <c r="H147" s="313">
        <v>0</v>
      </c>
      <c r="I147" s="513">
        <v>0</v>
      </c>
      <c r="J147" s="232">
        <f t="shared" si="34"/>
        <v>0</v>
      </c>
      <c r="K147" s="141"/>
      <c r="L147" s="159">
        <f t="shared" si="32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</row>
    <row r="148" spans="1:24" s="41" customFormat="1" ht="15.75" hidden="1" customHeight="1" thickBot="1" x14ac:dyDescent="0.3">
      <c r="A148" s="118" t="s">
        <v>243</v>
      </c>
      <c r="B148" s="127" t="s">
        <v>670</v>
      </c>
      <c r="C148" s="710" t="s">
        <v>244</v>
      </c>
      <c r="D148" s="711"/>
      <c r="E148" s="711"/>
      <c r="F148" s="162">
        <v>0</v>
      </c>
      <c r="G148" s="471">
        <v>0</v>
      </c>
      <c r="H148" s="491">
        <v>0</v>
      </c>
      <c r="I148" s="521">
        <v>0</v>
      </c>
      <c r="J148" s="244">
        <f t="shared" si="34"/>
        <v>0</v>
      </c>
      <c r="K148" s="153"/>
      <c r="L148" s="162">
        <f t="shared" si="32"/>
        <v>0</v>
      </c>
      <c r="M148" s="102"/>
      <c r="N148" s="103"/>
      <c r="O148" s="106"/>
      <c r="P148" s="106"/>
      <c r="Q148" s="103"/>
      <c r="R148" s="106"/>
      <c r="S148" s="106"/>
      <c r="T148" s="107"/>
      <c r="U148" s="345"/>
      <c r="V148" s="106"/>
      <c r="W148" s="106"/>
      <c r="X148" s="107"/>
    </row>
    <row r="149" spans="1:24" ht="15.75" thickBot="1" x14ac:dyDescent="0.3">
      <c r="B149" s="96" t="s">
        <v>245</v>
      </c>
      <c r="C149" s="632" t="s">
        <v>246</v>
      </c>
      <c r="D149" s="633"/>
      <c r="E149" s="633"/>
      <c r="F149" s="156">
        <v>0</v>
      </c>
      <c r="G149" s="338">
        <v>0</v>
      </c>
      <c r="H149" s="308">
        <v>0</v>
      </c>
      <c r="I149" s="506">
        <v>0</v>
      </c>
      <c r="J149" s="235">
        <f>J150+J151+J154+J155+J156+J157+J158</f>
        <v>0</v>
      </c>
      <c r="K149" s="144">
        <f t="shared" ref="K149:X149" si="35">K150+K151+K154+K155+K156+K157+K158</f>
        <v>0</v>
      </c>
      <c r="L149" s="156">
        <f t="shared" si="32"/>
        <v>0</v>
      </c>
      <c r="M149" s="82">
        <f t="shared" si="35"/>
        <v>0</v>
      </c>
      <c r="N149" s="83">
        <f t="shared" si="35"/>
        <v>0</v>
      </c>
      <c r="O149" s="86">
        <f t="shared" si="35"/>
        <v>0</v>
      </c>
      <c r="P149" s="86">
        <f t="shared" si="35"/>
        <v>0</v>
      </c>
      <c r="Q149" s="83">
        <f t="shared" si="35"/>
        <v>0</v>
      </c>
      <c r="R149" s="86">
        <f t="shared" si="35"/>
        <v>0</v>
      </c>
      <c r="S149" s="86">
        <f t="shared" si="35"/>
        <v>0</v>
      </c>
      <c r="T149" s="87">
        <f t="shared" si="35"/>
        <v>0</v>
      </c>
      <c r="U149" s="338">
        <f t="shared" si="35"/>
        <v>0</v>
      </c>
      <c r="V149" s="86">
        <f t="shared" si="35"/>
        <v>0</v>
      </c>
      <c r="W149" s="86">
        <f t="shared" si="35"/>
        <v>0</v>
      </c>
      <c r="X149" s="87">
        <f t="shared" si="35"/>
        <v>0</v>
      </c>
    </row>
    <row r="150" spans="1:24" s="18" customFormat="1" ht="15.75" hidden="1" customHeight="1" thickBot="1" x14ac:dyDescent="0.3">
      <c r="A150" s="118" t="s">
        <v>247</v>
      </c>
      <c r="B150" s="108" t="s">
        <v>671</v>
      </c>
      <c r="C150" s="634" t="s">
        <v>248</v>
      </c>
      <c r="D150" s="635"/>
      <c r="E150" s="635"/>
      <c r="F150" s="158">
        <v>0</v>
      </c>
      <c r="G150" s="339">
        <v>0</v>
      </c>
      <c r="H150" s="309">
        <v>0</v>
      </c>
      <c r="I150" s="507">
        <v>0</v>
      </c>
      <c r="J150" s="231">
        <f>SUM(M150:X150)</f>
        <v>0</v>
      </c>
      <c r="K150" s="140"/>
      <c r="L150" s="158">
        <f t="shared" si="32"/>
        <v>0</v>
      </c>
      <c r="M150" s="90"/>
      <c r="N150" s="91"/>
      <c r="O150" s="94"/>
      <c r="P150" s="94"/>
      <c r="Q150" s="91"/>
      <c r="R150" s="94"/>
      <c r="S150" s="94"/>
      <c r="T150" s="95"/>
      <c r="U150" s="341"/>
      <c r="V150" s="94"/>
      <c r="W150" s="94"/>
      <c r="X150" s="95"/>
    </row>
    <row r="151" spans="1:24" s="18" customFormat="1" ht="15.75" hidden="1" customHeight="1" thickBot="1" x14ac:dyDescent="0.3">
      <c r="A151" s="118" t="s">
        <v>249</v>
      </c>
      <c r="B151" s="88" t="s">
        <v>672</v>
      </c>
      <c r="C151" s="626" t="s">
        <v>250</v>
      </c>
      <c r="D151" s="627"/>
      <c r="E151" s="627"/>
      <c r="F151" s="158">
        <v>0</v>
      </c>
      <c r="G151" s="341">
        <v>0</v>
      </c>
      <c r="H151" s="311">
        <v>0</v>
      </c>
      <c r="I151" s="509">
        <v>0</v>
      </c>
      <c r="J151" s="233">
        <f>J152+J153</f>
        <v>0</v>
      </c>
      <c r="K151" s="142">
        <f t="shared" ref="K151:X151" si="36">K152+K153</f>
        <v>0</v>
      </c>
      <c r="L151" s="158">
        <f t="shared" si="32"/>
        <v>0</v>
      </c>
      <c r="M151" s="90">
        <f t="shared" si="36"/>
        <v>0</v>
      </c>
      <c r="N151" s="91">
        <f t="shared" si="36"/>
        <v>0</v>
      </c>
      <c r="O151" s="94">
        <f t="shared" si="36"/>
        <v>0</v>
      </c>
      <c r="P151" s="94">
        <f t="shared" si="36"/>
        <v>0</v>
      </c>
      <c r="Q151" s="91">
        <f t="shared" si="36"/>
        <v>0</v>
      </c>
      <c r="R151" s="94">
        <f t="shared" si="36"/>
        <v>0</v>
      </c>
      <c r="S151" s="94">
        <f t="shared" si="36"/>
        <v>0</v>
      </c>
      <c r="T151" s="95">
        <f t="shared" si="36"/>
        <v>0</v>
      </c>
      <c r="U151" s="341">
        <f t="shared" si="36"/>
        <v>0</v>
      </c>
      <c r="V151" s="94">
        <f t="shared" si="36"/>
        <v>0</v>
      </c>
      <c r="W151" s="94">
        <f t="shared" si="36"/>
        <v>0</v>
      </c>
      <c r="X151" s="95">
        <f t="shared" si="36"/>
        <v>0</v>
      </c>
    </row>
    <row r="152" spans="1:24" ht="15.75" hidden="1" customHeight="1" thickBot="1" x14ac:dyDescent="0.3">
      <c r="B152" s="54"/>
      <c r="C152" s="2"/>
      <c r="D152" s="624" t="s">
        <v>250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ref="J152:J158" si="37">SUM(M152:X152)</f>
        <v>0</v>
      </c>
      <c r="K152" s="141"/>
      <c r="L152" s="159">
        <f t="shared" si="32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</row>
    <row r="153" spans="1:24" ht="15.75" hidden="1" customHeight="1" thickBot="1" x14ac:dyDescent="0.3">
      <c r="B153" s="54"/>
      <c r="C153" s="2"/>
      <c r="D153" s="624" t="s">
        <v>349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37"/>
        <v>0</v>
      </c>
      <c r="K153" s="141"/>
      <c r="L153" s="159">
        <f t="shared" si="32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</row>
    <row r="154" spans="1:24" s="18" customFormat="1" ht="15.75" hidden="1" customHeight="1" thickBot="1" x14ac:dyDescent="0.3">
      <c r="A154" s="118" t="s">
        <v>251</v>
      </c>
      <c r="B154" s="88" t="s">
        <v>673</v>
      </c>
      <c r="C154" s="626" t="s">
        <v>252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.75" hidden="1" customHeight="1" thickBot="1" x14ac:dyDescent="0.3">
      <c r="A155" s="118" t="s">
        <v>253</v>
      </c>
      <c r="B155" s="88" t="s">
        <v>674</v>
      </c>
      <c r="C155" s="626" t="s">
        <v>254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 t="s">
        <v>255</v>
      </c>
      <c r="B156" s="88" t="s">
        <v>675</v>
      </c>
      <c r="C156" s="626" t="s">
        <v>256</v>
      </c>
      <c r="D156" s="627"/>
      <c r="E156" s="627"/>
      <c r="F156" s="158">
        <v>0</v>
      </c>
      <c r="G156" s="341">
        <v>0</v>
      </c>
      <c r="H156" s="311">
        <v>0</v>
      </c>
      <c r="I156" s="509">
        <v>0</v>
      </c>
      <c r="J156" s="233">
        <f t="shared" si="37"/>
        <v>0</v>
      </c>
      <c r="K156" s="142"/>
      <c r="L156" s="158">
        <f t="shared" si="32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s="18" customFormat="1" ht="15.75" hidden="1" customHeight="1" thickBot="1" x14ac:dyDescent="0.3">
      <c r="A157" s="118" t="s">
        <v>257</v>
      </c>
      <c r="B157" s="88" t="s">
        <v>676</v>
      </c>
      <c r="C157" s="626" t="s">
        <v>258</v>
      </c>
      <c r="D157" s="627"/>
      <c r="E157" s="627"/>
      <c r="F157" s="158">
        <v>0</v>
      </c>
      <c r="G157" s="341">
        <v>0</v>
      </c>
      <c r="H157" s="311">
        <v>0</v>
      </c>
      <c r="I157" s="509">
        <v>0</v>
      </c>
      <c r="J157" s="233">
        <f t="shared" si="37"/>
        <v>0</v>
      </c>
      <c r="K157" s="142"/>
      <c r="L157" s="158">
        <f t="shared" si="32"/>
        <v>0</v>
      </c>
      <c r="M157" s="90"/>
      <c r="N157" s="91"/>
      <c r="O157" s="94"/>
      <c r="P157" s="94"/>
      <c r="Q157" s="91"/>
      <c r="R157" s="94"/>
      <c r="S157" s="94"/>
      <c r="T157" s="95"/>
      <c r="U157" s="341"/>
      <c r="V157" s="94"/>
      <c r="W157" s="94"/>
      <c r="X157" s="95"/>
    </row>
    <row r="158" spans="1:24" s="18" customFormat="1" ht="15.75" hidden="1" customHeight="1" thickBot="1" x14ac:dyDescent="0.3">
      <c r="A158" s="118" t="s">
        <v>259</v>
      </c>
      <c r="B158" s="117" t="s">
        <v>677</v>
      </c>
      <c r="C158" s="718" t="s">
        <v>260</v>
      </c>
      <c r="D158" s="719"/>
      <c r="E158" s="719"/>
      <c r="F158" s="158">
        <v>0</v>
      </c>
      <c r="G158" s="469">
        <v>0</v>
      </c>
      <c r="H158" s="488">
        <v>0</v>
      </c>
      <c r="I158" s="518">
        <v>0</v>
      </c>
      <c r="J158" s="245">
        <f t="shared" si="37"/>
        <v>0</v>
      </c>
      <c r="K158" s="154"/>
      <c r="L158" s="158">
        <f t="shared" si="32"/>
        <v>0</v>
      </c>
      <c r="M158" s="90"/>
      <c r="N158" s="91"/>
      <c r="O158" s="94"/>
      <c r="P158" s="94"/>
      <c r="Q158" s="91"/>
      <c r="R158" s="94"/>
      <c r="S158" s="94"/>
      <c r="T158" s="95"/>
      <c r="U158" s="341"/>
      <c r="V158" s="94"/>
      <c r="W158" s="94"/>
      <c r="X158" s="95"/>
    </row>
    <row r="159" spans="1:24" ht="15.75" thickBot="1" x14ac:dyDescent="0.3">
      <c r="B159" s="96" t="s">
        <v>261</v>
      </c>
      <c r="C159" s="632" t="s">
        <v>262</v>
      </c>
      <c r="D159" s="633"/>
      <c r="E159" s="633"/>
      <c r="F159" s="156">
        <v>0</v>
      </c>
      <c r="G159" s="338">
        <v>0</v>
      </c>
      <c r="H159" s="308">
        <v>0</v>
      </c>
      <c r="I159" s="506">
        <v>0</v>
      </c>
      <c r="J159" s="235">
        <f>J160+J161+J162+J163</f>
        <v>0</v>
      </c>
      <c r="K159" s="144">
        <f t="shared" ref="K159:X159" si="38">K160+K161+K162+K163</f>
        <v>0</v>
      </c>
      <c r="L159" s="156">
        <f t="shared" si="32"/>
        <v>0</v>
      </c>
      <c r="M159" s="82">
        <f t="shared" si="38"/>
        <v>0</v>
      </c>
      <c r="N159" s="83">
        <f t="shared" si="38"/>
        <v>0</v>
      </c>
      <c r="O159" s="86">
        <f t="shared" si="38"/>
        <v>0</v>
      </c>
      <c r="P159" s="86">
        <f t="shared" si="38"/>
        <v>0</v>
      </c>
      <c r="Q159" s="83">
        <f t="shared" si="38"/>
        <v>0</v>
      </c>
      <c r="R159" s="86">
        <f t="shared" si="38"/>
        <v>0</v>
      </c>
      <c r="S159" s="86">
        <f t="shared" si="38"/>
        <v>0</v>
      </c>
      <c r="T159" s="87">
        <f t="shared" si="38"/>
        <v>0</v>
      </c>
      <c r="U159" s="338">
        <f t="shared" si="38"/>
        <v>0</v>
      </c>
      <c r="V159" s="86">
        <f t="shared" si="38"/>
        <v>0</v>
      </c>
      <c r="W159" s="86">
        <f t="shared" si="38"/>
        <v>0</v>
      </c>
      <c r="X159" s="87">
        <f t="shared" si="38"/>
        <v>0</v>
      </c>
    </row>
    <row r="160" spans="1:24" s="18" customFormat="1" ht="15.75" hidden="1" customHeight="1" thickBot="1" x14ac:dyDescent="0.3">
      <c r="A160" s="118" t="s">
        <v>263</v>
      </c>
      <c r="B160" s="253" t="s">
        <v>678</v>
      </c>
      <c r="C160" s="720" t="s">
        <v>264</v>
      </c>
      <c r="D160" s="721"/>
      <c r="E160" s="721"/>
      <c r="F160" s="256">
        <v>0</v>
      </c>
      <c r="G160" s="381">
        <v>0</v>
      </c>
      <c r="H160" s="489">
        <v>0</v>
      </c>
      <c r="I160" s="519">
        <v>0</v>
      </c>
      <c r="J160" s="254">
        <f>SUM(M160:X160)</f>
        <v>0</v>
      </c>
      <c r="K160" s="255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259"/>
      <c r="X160" s="261"/>
    </row>
    <row r="161" spans="1:24" s="18" customFormat="1" ht="15.75" hidden="1" customHeight="1" thickBot="1" x14ac:dyDescent="0.3">
      <c r="A161" s="118" t="s">
        <v>265</v>
      </c>
      <c r="B161" s="262" t="s">
        <v>679</v>
      </c>
      <c r="C161" s="712" t="s">
        <v>884</v>
      </c>
      <c r="D161" s="713"/>
      <c r="E161" s="713"/>
      <c r="F161" s="256">
        <v>0</v>
      </c>
      <c r="G161" s="346">
        <v>0</v>
      </c>
      <c r="H161" s="318">
        <v>0</v>
      </c>
      <c r="I161" s="517">
        <v>0</v>
      </c>
      <c r="J161" s="263">
        <f>SUM(M161:X161)</f>
        <v>0</v>
      </c>
      <c r="K161" s="264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259"/>
      <c r="X161" s="261"/>
    </row>
    <row r="162" spans="1:24" s="18" customFormat="1" ht="15.75" hidden="1" customHeight="1" thickBot="1" x14ac:dyDescent="0.3">
      <c r="A162" s="118" t="s">
        <v>266</v>
      </c>
      <c r="B162" s="262" t="s">
        <v>680</v>
      </c>
      <c r="C162" s="712" t="s">
        <v>267</v>
      </c>
      <c r="D162" s="713"/>
      <c r="E162" s="713"/>
      <c r="F162" s="256">
        <v>0</v>
      </c>
      <c r="G162" s="346">
        <v>0</v>
      </c>
      <c r="H162" s="318">
        <v>0</v>
      </c>
      <c r="I162" s="517">
        <v>0</v>
      </c>
      <c r="J162" s="263">
        <f>SUM(M162:X162)</f>
        <v>0</v>
      </c>
      <c r="K162" s="264"/>
      <c r="L162" s="256">
        <f t="shared" si="32"/>
        <v>0</v>
      </c>
      <c r="M162" s="257"/>
      <c r="N162" s="258"/>
      <c r="O162" s="259"/>
      <c r="P162" s="259"/>
      <c r="Q162" s="258"/>
      <c r="R162" s="259"/>
      <c r="S162" s="259"/>
      <c r="T162" s="261"/>
      <c r="U162" s="346"/>
      <c r="V162" s="259"/>
      <c r="W162" s="259"/>
      <c r="X162" s="261"/>
    </row>
    <row r="163" spans="1:24" s="18" customFormat="1" ht="15.75" hidden="1" customHeight="1" thickBot="1" x14ac:dyDescent="0.3">
      <c r="A163" s="118" t="s">
        <v>268</v>
      </c>
      <c r="B163" s="265" t="s">
        <v>681</v>
      </c>
      <c r="C163" s="714" t="s">
        <v>366</v>
      </c>
      <c r="D163" s="715"/>
      <c r="E163" s="715"/>
      <c r="F163" s="256">
        <v>0</v>
      </c>
      <c r="G163" s="470">
        <v>0</v>
      </c>
      <c r="H163" s="490">
        <v>0</v>
      </c>
      <c r="I163" s="520">
        <v>0</v>
      </c>
      <c r="J163" s="266">
        <f>SUM(M163:X163)</f>
        <v>0</v>
      </c>
      <c r="K163" s="267"/>
      <c r="L163" s="256">
        <f t="shared" si="32"/>
        <v>0</v>
      </c>
      <c r="M163" s="257"/>
      <c r="N163" s="258"/>
      <c r="O163" s="259"/>
      <c r="P163" s="259"/>
      <c r="Q163" s="258"/>
      <c r="R163" s="259"/>
      <c r="S163" s="259"/>
      <c r="T163" s="261"/>
      <c r="U163" s="346"/>
      <c r="V163" s="259"/>
      <c r="W163" s="259"/>
      <c r="X163" s="261"/>
    </row>
    <row r="164" spans="1:24" ht="15.75" thickBot="1" x14ac:dyDescent="0.3">
      <c r="B164" s="96" t="s">
        <v>269</v>
      </c>
      <c r="C164" s="632" t="s">
        <v>270</v>
      </c>
      <c r="D164" s="633"/>
      <c r="E164" s="633"/>
      <c r="F164" s="156">
        <v>0</v>
      </c>
      <c r="G164" s="338">
        <v>0</v>
      </c>
      <c r="H164" s="308">
        <v>0</v>
      </c>
      <c r="I164" s="506">
        <v>0</v>
      </c>
      <c r="J164" s="235">
        <f>J165+J166+J177+J188+J199+J202+J214+J215+J216</f>
        <v>0</v>
      </c>
      <c r="K164" s="144">
        <f t="shared" ref="K164:X164" si="39">K165+K166+K177+K188+K199+K202+K214+K215+K216</f>
        <v>0</v>
      </c>
      <c r="L164" s="156">
        <f t="shared" si="32"/>
        <v>0</v>
      </c>
      <c r="M164" s="82">
        <f t="shared" si="39"/>
        <v>0</v>
      </c>
      <c r="N164" s="83">
        <f t="shared" si="39"/>
        <v>0</v>
      </c>
      <c r="O164" s="86">
        <f t="shared" si="39"/>
        <v>0</v>
      </c>
      <c r="P164" s="86">
        <f t="shared" si="39"/>
        <v>0</v>
      </c>
      <c r="Q164" s="83">
        <f t="shared" si="39"/>
        <v>0</v>
      </c>
      <c r="R164" s="86">
        <f t="shared" si="39"/>
        <v>0</v>
      </c>
      <c r="S164" s="86">
        <f t="shared" si="39"/>
        <v>0</v>
      </c>
      <c r="T164" s="87">
        <f t="shared" si="39"/>
        <v>0</v>
      </c>
      <c r="U164" s="338">
        <f t="shared" si="39"/>
        <v>0</v>
      </c>
      <c r="V164" s="86">
        <f t="shared" si="39"/>
        <v>0</v>
      </c>
      <c r="W164" s="86">
        <f t="shared" si="39"/>
        <v>0</v>
      </c>
      <c r="X164" s="87">
        <f t="shared" si="39"/>
        <v>0</v>
      </c>
    </row>
    <row r="165" spans="1:24" s="18" customFormat="1" ht="25.5" hidden="1" customHeight="1" x14ac:dyDescent="0.25">
      <c r="A165" s="118" t="s">
        <v>271</v>
      </c>
      <c r="B165" s="88" t="s">
        <v>682</v>
      </c>
      <c r="C165" s="646" t="s">
        <v>367</v>
      </c>
      <c r="D165" s="647"/>
      <c r="E165" s="647"/>
      <c r="F165" s="158">
        <v>0</v>
      </c>
      <c r="G165" s="341">
        <v>0</v>
      </c>
      <c r="H165" s="311">
        <v>0</v>
      </c>
      <c r="I165" s="509">
        <v>0</v>
      </c>
      <c r="J165" s="246">
        <f>SUM(M165:X165)</f>
        <v>0</v>
      </c>
      <c r="K165" s="155"/>
      <c r="L165" s="158">
        <f t="shared" si="32"/>
        <v>0</v>
      </c>
      <c r="M165" s="90"/>
      <c r="N165" s="91"/>
      <c r="O165" s="94"/>
      <c r="P165" s="94"/>
      <c r="Q165" s="91"/>
      <c r="R165" s="94"/>
      <c r="S165" s="94"/>
      <c r="T165" s="95"/>
      <c r="U165" s="341"/>
      <c r="V165" s="94"/>
      <c r="W165" s="94"/>
      <c r="X165" s="95"/>
    </row>
    <row r="166" spans="1:24" s="18" customFormat="1" ht="16.350000000000001" hidden="1" customHeight="1" x14ac:dyDescent="0.25">
      <c r="A166" s="118" t="s">
        <v>272</v>
      </c>
      <c r="B166" s="88" t="s">
        <v>683</v>
      </c>
      <c r="C166" s="716" t="s">
        <v>811</v>
      </c>
      <c r="D166" s="717"/>
      <c r="E166" s="717"/>
      <c r="F166" s="158">
        <v>0</v>
      </c>
      <c r="G166" s="341">
        <v>0</v>
      </c>
      <c r="H166" s="311">
        <v>0</v>
      </c>
      <c r="I166" s="509">
        <v>0</v>
      </c>
      <c r="J166" s="246">
        <f>J167+J168+J169+J170+J171+J172+J173+J174+J175+J176</f>
        <v>0</v>
      </c>
      <c r="K166" s="155">
        <f t="shared" ref="K166:X166" si="40">K167+K168+K169+K170+K171+K172+K173+K174+K175+K176</f>
        <v>0</v>
      </c>
      <c r="L166" s="158">
        <f t="shared" si="32"/>
        <v>0</v>
      </c>
      <c r="M166" s="90">
        <f t="shared" si="40"/>
        <v>0</v>
      </c>
      <c r="N166" s="91">
        <f t="shared" si="40"/>
        <v>0</v>
      </c>
      <c r="O166" s="94">
        <f t="shared" si="40"/>
        <v>0</v>
      </c>
      <c r="P166" s="94">
        <f t="shared" si="40"/>
        <v>0</v>
      </c>
      <c r="Q166" s="91">
        <f t="shared" si="40"/>
        <v>0</v>
      </c>
      <c r="R166" s="94">
        <f t="shared" si="40"/>
        <v>0</v>
      </c>
      <c r="S166" s="94">
        <f t="shared" si="40"/>
        <v>0</v>
      </c>
      <c r="T166" s="95">
        <f t="shared" si="40"/>
        <v>0</v>
      </c>
      <c r="U166" s="341">
        <f t="shared" si="40"/>
        <v>0</v>
      </c>
      <c r="V166" s="94">
        <f t="shared" si="40"/>
        <v>0</v>
      </c>
      <c r="W166" s="94">
        <f t="shared" si="40"/>
        <v>0</v>
      </c>
      <c r="X166" s="95">
        <f t="shared" si="40"/>
        <v>0</v>
      </c>
    </row>
    <row r="167" spans="1:24" ht="15.75" hidden="1" customHeight="1" thickBot="1" x14ac:dyDescent="0.3">
      <c r="B167" s="54"/>
      <c r="C167" s="2"/>
      <c r="D167" s="624" t="s">
        <v>812</v>
      </c>
      <c r="E167" s="624"/>
      <c r="F167" s="159">
        <v>0</v>
      </c>
      <c r="G167" s="343">
        <v>0</v>
      </c>
      <c r="H167" s="313">
        <v>0</v>
      </c>
      <c r="I167" s="513">
        <v>0</v>
      </c>
      <c r="J167" s="232">
        <f t="shared" ref="J167:J176" si="41">SUM(M167:X167)</f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15.75" hidden="1" customHeight="1" thickBot="1" x14ac:dyDescent="0.3">
      <c r="B168" s="54"/>
      <c r="C168" s="2"/>
      <c r="D168" s="624" t="s">
        <v>813</v>
      </c>
      <c r="E168" s="624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customHeight="1" thickBot="1" x14ac:dyDescent="0.3">
      <c r="B169" s="54"/>
      <c r="C169" s="2"/>
      <c r="D169" s="624" t="s">
        <v>545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25.5" hidden="1" customHeight="1" x14ac:dyDescent="0.25">
      <c r="B170" s="54"/>
      <c r="C170" s="2"/>
      <c r="D170" s="625" t="s">
        <v>548</v>
      </c>
      <c r="E170" s="625"/>
      <c r="F170" s="159">
        <v>0</v>
      </c>
      <c r="G170" s="343">
        <v>0</v>
      </c>
      <c r="H170" s="313">
        <v>0</v>
      </c>
      <c r="I170" s="513">
        <v>0</v>
      </c>
      <c r="J170" s="242">
        <f t="shared" si="41"/>
        <v>0</v>
      </c>
      <c r="K170" s="15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.75" hidden="1" customHeight="1" thickBot="1" x14ac:dyDescent="0.3">
      <c r="B171" s="54"/>
      <c r="C171" s="2"/>
      <c r="D171" s="624" t="s">
        <v>550</v>
      </c>
      <c r="E171" s="624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15.75" hidden="1" customHeight="1" thickBot="1" x14ac:dyDescent="0.3">
      <c r="B172" s="54"/>
      <c r="C172" s="2"/>
      <c r="D172" s="624" t="s">
        <v>551</v>
      </c>
      <c r="E172" s="624"/>
      <c r="F172" s="159">
        <v>0</v>
      </c>
      <c r="G172" s="343">
        <v>0</v>
      </c>
      <c r="H172" s="313">
        <v>0</v>
      </c>
      <c r="I172" s="513">
        <v>0</v>
      </c>
      <c r="J172" s="232">
        <f t="shared" si="41"/>
        <v>0</v>
      </c>
      <c r="K172" s="14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25" t="s">
        <v>555</v>
      </c>
      <c r="E173" s="625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25" t="s">
        <v>558</v>
      </c>
      <c r="E174" s="625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25" t="s">
        <v>560</v>
      </c>
      <c r="E175" s="625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2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25" t="s">
        <v>563</v>
      </c>
      <c r="E176" s="625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s="18" customFormat="1" ht="25.5" hidden="1" customHeight="1" x14ac:dyDescent="0.25">
      <c r="A177" s="121" t="s">
        <v>273</v>
      </c>
      <c r="B177" s="88" t="s">
        <v>684</v>
      </c>
      <c r="C177" s="716" t="s">
        <v>605</v>
      </c>
      <c r="D177" s="717"/>
      <c r="E177" s="717"/>
      <c r="F177" s="158">
        <v>0</v>
      </c>
      <c r="G177" s="341">
        <v>0</v>
      </c>
      <c r="H177" s="311">
        <v>0</v>
      </c>
      <c r="I177" s="509">
        <v>0</v>
      </c>
      <c r="J177" s="246">
        <f>J178+J179+J180+J181+J182+J183+J184+J185+J186+J187</f>
        <v>0</v>
      </c>
      <c r="K177" s="155">
        <f t="shared" ref="K177:X177" si="42">K178+K179+K180+K181+K182+K183+K184+K185+K186+K187</f>
        <v>0</v>
      </c>
      <c r="L177" s="158">
        <f t="shared" si="32"/>
        <v>0</v>
      </c>
      <c r="M177" s="90">
        <f t="shared" si="42"/>
        <v>0</v>
      </c>
      <c r="N177" s="91">
        <f t="shared" si="42"/>
        <v>0</v>
      </c>
      <c r="O177" s="94">
        <f t="shared" si="42"/>
        <v>0</v>
      </c>
      <c r="P177" s="94">
        <f t="shared" si="42"/>
        <v>0</v>
      </c>
      <c r="Q177" s="91">
        <f t="shared" si="42"/>
        <v>0</v>
      </c>
      <c r="R177" s="94">
        <f t="shared" si="42"/>
        <v>0</v>
      </c>
      <c r="S177" s="94">
        <f t="shared" si="42"/>
        <v>0</v>
      </c>
      <c r="T177" s="95">
        <f t="shared" si="42"/>
        <v>0</v>
      </c>
      <c r="U177" s="341">
        <f t="shared" si="42"/>
        <v>0</v>
      </c>
      <c r="V177" s="94">
        <f t="shared" si="42"/>
        <v>0</v>
      </c>
      <c r="W177" s="94">
        <f t="shared" si="42"/>
        <v>0</v>
      </c>
      <c r="X177" s="95">
        <f t="shared" si="42"/>
        <v>0</v>
      </c>
    </row>
    <row r="178" spans="1:24" ht="15.75" hidden="1" customHeight="1" thickBot="1" x14ac:dyDescent="0.3">
      <c r="B178" s="54"/>
      <c r="C178" s="2"/>
      <c r="D178" s="624" t="s">
        <v>814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7" si="43">SUM(M178:X178)</f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15.75" hidden="1" customHeight="1" thickBot="1" x14ac:dyDescent="0.3">
      <c r="B179" s="54"/>
      <c r="C179" s="2"/>
      <c r="D179" s="624" t="s">
        <v>815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43"/>
        <v>0</v>
      </c>
      <c r="K179" s="14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customHeight="1" thickBot="1" x14ac:dyDescent="0.3">
      <c r="B180" s="54"/>
      <c r="C180" s="2"/>
      <c r="D180" s="624" t="s">
        <v>546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25.5" hidden="1" customHeight="1" x14ac:dyDescent="0.25">
      <c r="B181" s="54"/>
      <c r="C181" s="2"/>
      <c r="D181" s="625" t="s">
        <v>549</v>
      </c>
      <c r="E181" s="625"/>
      <c r="F181" s="159">
        <v>0</v>
      </c>
      <c r="G181" s="343">
        <v>0</v>
      </c>
      <c r="H181" s="313">
        <v>0</v>
      </c>
      <c r="I181" s="513">
        <v>0</v>
      </c>
      <c r="J181" s="242">
        <f t="shared" si="43"/>
        <v>0</v>
      </c>
      <c r="K181" s="15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.75" hidden="1" customHeight="1" thickBot="1" x14ac:dyDescent="0.3">
      <c r="B182" s="54"/>
      <c r="C182" s="2"/>
      <c r="D182" s="624" t="s">
        <v>552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15.75" hidden="1" customHeight="1" thickBot="1" x14ac:dyDescent="0.3">
      <c r="B183" s="54"/>
      <c r="C183" s="2"/>
      <c r="D183" s="624" t="s">
        <v>816</v>
      </c>
      <c r="E183" s="624"/>
      <c r="F183" s="159">
        <v>0</v>
      </c>
      <c r="G183" s="343">
        <v>0</v>
      </c>
      <c r="H183" s="313">
        <v>0</v>
      </c>
      <c r="I183" s="513">
        <v>0</v>
      </c>
      <c r="J183" s="232">
        <f t="shared" si="43"/>
        <v>0</v>
      </c>
      <c r="K183" s="14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25" t="s">
        <v>556</v>
      </c>
      <c r="E184" s="625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25" t="s">
        <v>559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25" t="s">
        <v>561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2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25" t="s">
        <v>564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s="18" customFormat="1" ht="15.75" hidden="1" customHeight="1" thickBot="1" x14ac:dyDescent="0.3">
      <c r="A188" s="118" t="s">
        <v>274</v>
      </c>
      <c r="B188" s="88" t="s">
        <v>685</v>
      </c>
      <c r="C188" s="626" t="s">
        <v>275</v>
      </c>
      <c r="D188" s="627"/>
      <c r="E188" s="627"/>
      <c r="F188" s="158">
        <v>0</v>
      </c>
      <c r="G188" s="341">
        <v>0</v>
      </c>
      <c r="H188" s="311">
        <v>0</v>
      </c>
      <c r="I188" s="509">
        <v>0</v>
      </c>
      <c r="J188" s="233">
        <f>J189+J190+J191+J192+J193+J194+J195+J196+J197+J198</f>
        <v>0</v>
      </c>
      <c r="K188" s="142">
        <f t="shared" ref="K188:X188" si="44">K189+K190+K191+K192+K193+K194+K195+K196+K197+K198</f>
        <v>0</v>
      </c>
      <c r="L188" s="158">
        <f t="shared" si="32"/>
        <v>0</v>
      </c>
      <c r="M188" s="90">
        <f t="shared" si="44"/>
        <v>0</v>
      </c>
      <c r="N188" s="91">
        <f t="shared" si="44"/>
        <v>0</v>
      </c>
      <c r="O188" s="94">
        <f t="shared" si="44"/>
        <v>0</v>
      </c>
      <c r="P188" s="94">
        <f t="shared" si="44"/>
        <v>0</v>
      </c>
      <c r="Q188" s="91">
        <f t="shared" si="44"/>
        <v>0</v>
      </c>
      <c r="R188" s="94">
        <f t="shared" si="44"/>
        <v>0</v>
      </c>
      <c r="S188" s="94">
        <f t="shared" si="44"/>
        <v>0</v>
      </c>
      <c r="T188" s="95">
        <f t="shared" si="44"/>
        <v>0</v>
      </c>
      <c r="U188" s="341">
        <f t="shared" si="44"/>
        <v>0</v>
      </c>
      <c r="V188" s="94">
        <f t="shared" si="44"/>
        <v>0</v>
      </c>
      <c r="W188" s="94">
        <f t="shared" si="44"/>
        <v>0</v>
      </c>
      <c r="X188" s="95">
        <f t="shared" si="44"/>
        <v>0</v>
      </c>
    </row>
    <row r="189" spans="1:24" ht="15.75" hidden="1" customHeight="1" thickBot="1" x14ac:dyDescent="0.3">
      <c r="B189" s="54"/>
      <c r="C189" s="2"/>
      <c r="D189" s="624" t="s">
        <v>371</v>
      </c>
      <c r="E189" s="624"/>
      <c r="F189" s="159">
        <v>0</v>
      </c>
      <c r="G189" s="343">
        <v>0</v>
      </c>
      <c r="H189" s="313">
        <v>0</v>
      </c>
      <c r="I189" s="513">
        <v>0</v>
      </c>
      <c r="J189" s="232">
        <f t="shared" ref="J189:J198" si="45">SUM(M189:X189)</f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customHeight="1" thickBot="1" x14ac:dyDescent="0.3">
      <c r="B190" s="54"/>
      <c r="C190" s="2"/>
      <c r="D190" s="624" t="s">
        <v>544</v>
      </c>
      <c r="E190" s="624"/>
      <c r="F190" s="159">
        <v>0</v>
      </c>
      <c r="G190" s="343">
        <v>0</v>
      </c>
      <c r="H190" s="313">
        <v>0</v>
      </c>
      <c r="I190" s="513">
        <v>0</v>
      </c>
      <c r="J190" s="232">
        <f t="shared" si="45"/>
        <v>0</v>
      </c>
      <c r="K190" s="14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customHeight="1" thickBot="1" x14ac:dyDescent="0.3">
      <c r="B191" s="54"/>
      <c r="C191" s="2"/>
      <c r="D191" s="624" t="s">
        <v>547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customHeight="1" thickBot="1" x14ac:dyDescent="0.3">
      <c r="B192" s="54"/>
      <c r="C192" s="2"/>
      <c r="D192" s="625" t="s">
        <v>817</v>
      </c>
      <c r="E192" s="625"/>
      <c r="F192" s="159">
        <v>0</v>
      </c>
      <c r="G192" s="343">
        <v>0</v>
      </c>
      <c r="H192" s="313">
        <v>0</v>
      </c>
      <c r="I192" s="513">
        <v>0</v>
      </c>
      <c r="J192" s="242">
        <f t="shared" si="45"/>
        <v>0</v>
      </c>
      <c r="K192" s="15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.75" hidden="1" customHeight="1" thickBot="1" x14ac:dyDescent="0.3">
      <c r="B193" s="54"/>
      <c r="C193" s="2"/>
      <c r="D193" s="624" t="s">
        <v>554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customHeight="1" thickBot="1" x14ac:dyDescent="0.3">
      <c r="B194" s="54"/>
      <c r="C194" s="2"/>
      <c r="D194" s="624" t="s">
        <v>553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25" t="s">
        <v>557</v>
      </c>
      <c r="E195" s="625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.75" hidden="1" customHeight="1" thickBot="1" x14ac:dyDescent="0.3">
      <c r="B196" s="54"/>
      <c r="C196" s="2"/>
      <c r="D196" s="624" t="s">
        <v>818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25" t="s">
        <v>562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2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25.5" hidden="1" customHeight="1" x14ac:dyDescent="0.25">
      <c r="B198" s="54"/>
      <c r="C198" s="2"/>
      <c r="D198" s="625" t="s">
        <v>565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45"/>
        <v>0</v>
      </c>
      <c r="K198" s="151"/>
      <c r="L198" s="159">
        <f t="shared" si="32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s="18" customFormat="1" ht="25.5" hidden="1" customHeight="1" x14ac:dyDescent="0.25">
      <c r="A199" s="118" t="s">
        <v>276</v>
      </c>
      <c r="B199" s="88" t="s">
        <v>686</v>
      </c>
      <c r="C199" s="716" t="s">
        <v>606</v>
      </c>
      <c r="D199" s="717"/>
      <c r="E199" s="717"/>
      <c r="F199" s="158">
        <v>0</v>
      </c>
      <c r="G199" s="341">
        <v>0</v>
      </c>
      <c r="H199" s="311">
        <v>0</v>
      </c>
      <c r="I199" s="509">
        <v>0</v>
      </c>
      <c r="J199" s="246">
        <f>J200+J201</f>
        <v>0</v>
      </c>
      <c r="K199" s="155">
        <f t="shared" ref="K199:X199" si="46">K200+K201</f>
        <v>0</v>
      </c>
      <c r="L199" s="158">
        <f t="shared" si="32"/>
        <v>0</v>
      </c>
      <c r="M199" s="90">
        <f t="shared" si="46"/>
        <v>0</v>
      </c>
      <c r="N199" s="91">
        <f t="shared" si="46"/>
        <v>0</v>
      </c>
      <c r="O199" s="94">
        <f t="shared" si="46"/>
        <v>0</v>
      </c>
      <c r="P199" s="94">
        <f t="shared" si="46"/>
        <v>0</v>
      </c>
      <c r="Q199" s="91">
        <f t="shared" si="46"/>
        <v>0</v>
      </c>
      <c r="R199" s="94">
        <f t="shared" si="46"/>
        <v>0</v>
      </c>
      <c r="S199" s="94">
        <f t="shared" si="46"/>
        <v>0</v>
      </c>
      <c r="T199" s="95">
        <f t="shared" si="46"/>
        <v>0</v>
      </c>
      <c r="U199" s="341">
        <f t="shared" si="46"/>
        <v>0</v>
      </c>
      <c r="V199" s="94">
        <f t="shared" si="46"/>
        <v>0</v>
      </c>
      <c r="W199" s="94">
        <f t="shared" si="46"/>
        <v>0</v>
      </c>
      <c r="X199" s="95">
        <f t="shared" si="46"/>
        <v>0</v>
      </c>
    </row>
    <row r="200" spans="1:24" ht="25.5" hidden="1" customHeight="1" x14ac:dyDescent="0.25">
      <c r="B200" s="54"/>
      <c r="C200" s="2"/>
      <c r="D200" s="625" t="s">
        <v>568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>SUM(M200:X200)</f>
        <v>0</v>
      </c>
      <c r="K200" s="151"/>
      <c r="L200" s="159">
        <f t="shared" ref="L200:L257" si="47">SUM(J200:K200)</f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ht="25.5" hidden="1" customHeight="1" x14ac:dyDescent="0.25">
      <c r="B201" s="54"/>
      <c r="C201" s="2"/>
      <c r="D201" s="625" t="s">
        <v>569</v>
      </c>
      <c r="E201" s="625"/>
      <c r="F201" s="159">
        <v>0</v>
      </c>
      <c r="G201" s="343">
        <v>0</v>
      </c>
      <c r="H201" s="313">
        <v>0</v>
      </c>
      <c r="I201" s="513">
        <v>0</v>
      </c>
      <c r="J201" s="242">
        <f>SUM(M201:X201)</f>
        <v>0</v>
      </c>
      <c r="K201" s="15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s="18" customFormat="1" ht="15" hidden="1" customHeight="1" x14ac:dyDescent="0.25">
      <c r="A202" s="118" t="s">
        <v>277</v>
      </c>
      <c r="B202" s="88" t="s">
        <v>687</v>
      </c>
      <c r="C202" s="716" t="s">
        <v>819</v>
      </c>
      <c r="D202" s="717"/>
      <c r="E202" s="717"/>
      <c r="F202" s="158">
        <v>0</v>
      </c>
      <c r="G202" s="341">
        <v>0</v>
      </c>
      <c r="H202" s="311">
        <v>0</v>
      </c>
      <c r="I202" s="509">
        <v>0</v>
      </c>
      <c r="J202" s="246">
        <f>J203+J204+J205+J206+J207+J208+J209+J210+J211+J212+J213</f>
        <v>0</v>
      </c>
      <c r="K202" s="155">
        <f t="shared" ref="K202:X202" si="48">K203+K204+K205+K206+K207+K208+K209+K210+K211+K212+K213</f>
        <v>0</v>
      </c>
      <c r="L202" s="158">
        <f t="shared" si="47"/>
        <v>0</v>
      </c>
      <c r="M202" s="90">
        <f t="shared" si="48"/>
        <v>0</v>
      </c>
      <c r="N202" s="91">
        <f t="shared" si="48"/>
        <v>0</v>
      </c>
      <c r="O202" s="94">
        <f t="shared" si="48"/>
        <v>0</v>
      </c>
      <c r="P202" s="94">
        <f t="shared" si="48"/>
        <v>0</v>
      </c>
      <c r="Q202" s="91">
        <f t="shared" si="48"/>
        <v>0</v>
      </c>
      <c r="R202" s="94">
        <f t="shared" si="48"/>
        <v>0</v>
      </c>
      <c r="S202" s="94">
        <f t="shared" si="48"/>
        <v>0</v>
      </c>
      <c r="T202" s="95">
        <f t="shared" si="48"/>
        <v>0</v>
      </c>
      <c r="U202" s="341">
        <f t="shared" si="48"/>
        <v>0</v>
      </c>
      <c r="V202" s="94">
        <f t="shared" si="48"/>
        <v>0</v>
      </c>
      <c r="W202" s="94">
        <f t="shared" si="48"/>
        <v>0</v>
      </c>
      <c r="X202" s="95">
        <f t="shared" si="48"/>
        <v>0</v>
      </c>
    </row>
    <row r="203" spans="1:24" ht="15.75" hidden="1" customHeight="1" thickBot="1" x14ac:dyDescent="0.3">
      <c r="B203" s="54"/>
      <c r="C203" s="2"/>
      <c r="D203" s="624" t="s">
        <v>372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ref="J203:J215" si="49">SUM(M203:X203)</f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customHeight="1" thickBot="1" x14ac:dyDescent="0.3">
      <c r="B204" s="54"/>
      <c r="C204" s="2"/>
      <c r="D204" s="624" t="s">
        <v>820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customHeight="1" thickBot="1" x14ac:dyDescent="0.3">
      <c r="B205" s="54"/>
      <c r="C205" s="2"/>
      <c r="D205" s="624" t="s">
        <v>375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.75" hidden="1" customHeight="1" thickBot="1" x14ac:dyDescent="0.3">
      <c r="B206" s="54"/>
      <c r="C206" s="2"/>
      <c r="D206" s="624" t="s">
        <v>373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.75" hidden="1" customHeight="1" thickBot="1" x14ac:dyDescent="0.3">
      <c r="B207" s="54"/>
      <c r="C207" s="2"/>
      <c r="D207" s="624" t="s">
        <v>821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25.5" hidden="1" customHeight="1" x14ac:dyDescent="0.25">
      <c r="B208" s="54"/>
      <c r="C208" s="2"/>
      <c r="D208" s="625" t="s">
        <v>537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49"/>
        <v>0</v>
      </c>
      <c r="K208" s="15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25.5" hidden="1" customHeight="1" x14ac:dyDescent="0.25">
      <c r="B209" s="54"/>
      <c r="C209" s="2"/>
      <c r="D209" s="625" t="s">
        <v>540</v>
      </c>
      <c r="E209" s="625"/>
      <c r="F209" s="159">
        <v>0</v>
      </c>
      <c r="G209" s="343">
        <v>0</v>
      </c>
      <c r="H209" s="313">
        <v>0</v>
      </c>
      <c r="I209" s="513">
        <v>0</v>
      </c>
      <c r="J209" s="242">
        <f t="shared" si="49"/>
        <v>0</v>
      </c>
      <c r="K209" s="15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customHeight="1" thickBot="1" x14ac:dyDescent="0.3">
      <c r="B210" s="54"/>
      <c r="C210" s="2"/>
      <c r="D210" s="624" t="s">
        <v>822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customHeight="1" thickBot="1" x14ac:dyDescent="0.3">
      <c r="B211" s="54"/>
      <c r="C211" s="2"/>
      <c r="D211" s="624" t="s">
        <v>374</v>
      </c>
      <c r="E211" s="624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.75" hidden="1" customHeight="1" thickBot="1" x14ac:dyDescent="0.3">
      <c r="B212" s="54"/>
      <c r="C212" s="2"/>
      <c r="D212" s="624" t="s">
        <v>823</v>
      </c>
      <c r="E212" s="624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.75" hidden="1" customHeight="1" thickBot="1" x14ac:dyDescent="0.3">
      <c r="B213" s="54"/>
      <c r="C213" s="2"/>
      <c r="D213" s="624" t="s">
        <v>566</v>
      </c>
      <c r="E213" s="624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s="18" customFormat="1" ht="15.75" hidden="1" customHeight="1" thickBot="1" x14ac:dyDescent="0.3">
      <c r="A214" s="118" t="s">
        <v>278</v>
      </c>
      <c r="B214" s="88" t="s">
        <v>688</v>
      </c>
      <c r="C214" s="626" t="s">
        <v>279</v>
      </c>
      <c r="D214" s="627"/>
      <c r="E214" s="627"/>
      <c r="F214" s="158">
        <v>0</v>
      </c>
      <c r="G214" s="341">
        <v>0</v>
      </c>
      <c r="H214" s="311">
        <v>0</v>
      </c>
      <c r="I214" s="509">
        <v>0</v>
      </c>
      <c r="J214" s="233">
        <f t="shared" si="49"/>
        <v>0</v>
      </c>
      <c r="K214" s="142"/>
      <c r="L214" s="158">
        <f t="shared" si="47"/>
        <v>0</v>
      </c>
      <c r="M214" s="90"/>
      <c r="N214" s="91"/>
      <c r="O214" s="94"/>
      <c r="P214" s="94"/>
      <c r="Q214" s="91"/>
      <c r="R214" s="94"/>
      <c r="S214" s="94"/>
      <c r="T214" s="95"/>
      <c r="U214" s="341"/>
      <c r="V214" s="94"/>
      <c r="W214" s="94"/>
      <c r="X214" s="95"/>
    </row>
    <row r="215" spans="1:24" s="18" customFormat="1" ht="15.75" hidden="1" customHeight="1" thickBot="1" x14ac:dyDescent="0.3">
      <c r="A215" s="118" t="s">
        <v>280</v>
      </c>
      <c r="B215" s="88" t="s">
        <v>689</v>
      </c>
      <c r="C215" s="626" t="s">
        <v>281</v>
      </c>
      <c r="D215" s="627"/>
      <c r="E215" s="627"/>
      <c r="F215" s="158">
        <v>0</v>
      </c>
      <c r="G215" s="341">
        <v>0</v>
      </c>
      <c r="H215" s="311">
        <v>0</v>
      </c>
      <c r="I215" s="509">
        <v>0</v>
      </c>
      <c r="J215" s="233">
        <f t="shared" si="49"/>
        <v>0</v>
      </c>
      <c r="K215" s="142"/>
      <c r="L215" s="158">
        <f t="shared" si="47"/>
        <v>0</v>
      </c>
      <c r="M215" s="90"/>
      <c r="N215" s="91"/>
      <c r="O215" s="94"/>
      <c r="P215" s="94"/>
      <c r="Q215" s="91"/>
      <c r="R215" s="94"/>
      <c r="S215" s="94"/>
      <c r="T215" s="95"/>
      <c r="U215" s="341"/>
      <c r="V215" s="94"/>
      <c r="W215" s="94"/>
      <c r="X215" s="95"/>
    </row>
    <row r="216" spans="1:24" s="18" customFormat="1" ht="15.75" hidden="1" customHeight="1" thickBot="1" x14ac:dyDescent="0.3">
      <c r="A216" s="118" t="s">
        <v>282</v>
      </c>
      <c r="B216" s="88" t="s">
        <v>690</v>
      </c>
      <c r="C216" s="626" t="s">
        <v>283</v>
      </c>
      <c r="D216" s="627"/>
      <c r="E216" s="627"/>
      <c r="F216" s="158">
        <v>0</v>
      </c>
      <c r="G216" s="341">
        <v>0</v>
      </c>
      <c r="H216" s="311">
        <v>0</v>
      </c>
      <c r="I216" s="509">
        <v>0</v>
      </c>
      <c r="J216" s="233">
        <f>J217+J218+J219+J220+J221+J222+J223+J224+J225+J226</f>
        <v>0</v>
      </c>
      <c r="K216" s="142">
        <f t="shared" ref="K216:X216" si="50">K217+K218+K219+K220+K221+K222+K223+K224+K225+K226</f>
        <v>0</v>
      </c>
      <c r="L216" s="158">
        <f t="shared" si="47"/>
        <v>0</v>
      </c>
      <c r="M216" s="90">
        <f t="shared" si="50"/>
        <v>0</v>
      </c>
      <c r="N216" s="91">
        <f t="shared" si="50"/>
        <v>0</v>
      </c>
      <c r="O216" s="94">
        <f t="shared" si="50"/>
        <v>0</v>
      </c>
      <c r="P216" s="94">
        <f t="shared" si="50"/>
        <v>0</v>
      </c>
      <c r="Q216" s="91">
        <f t="shared" si="50"/>
        <v>0</v>
      </c>
      <c r="R216" s="94">
        <f t="shared" si="50"/>
        <v>0</v>
      </c>
      <c r="S216" s="94">
        <f t="shared" si="50"/>
        <v>0</v>
      </c>
      <c r="T216" s="95">
        <f t="shared" si="50"/>
        <v>0</v>
      </c>
      <c r="U216" s="341">
        <f t="shared" si="50"/>
        <v>0</v>
      </c>
      <c r="V216" s="94">
        <f t="shared" si="50"/>
        <v>0</v>
      </c>
      <c r="W216" s="94">
        <f t="shared" si="50"/>
        <v>0</v>
      </c>
      <c r="X216" s="95">
        <f t="shared" si="50"/>
        <v>0</v>
      </c>
    </row>
    <row r="217" spans="1:24" ht="15.75" hidden="1" customHeight="1" thickBot="1" x14ac:dyDescent="0.3">
      <c r="B217" s="54"/>
      <c r="C217" s="2"/>
      <c r="D217" s="624" t="s">
        <v>376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ref="J217:J226" si="51">SUM(M217:X217)</f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customHeight="1" thickBot="1" x14ac:dyDescent="0.3">
      <c r="B218" s="54"/>
      <c r="C218" s="2"/>
      <c r="D218" s="624" t="s">
        <v>377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customHeight="1" thickBot="1" x14ac:dyDescent="0.3">
      <c r="B219" s="54"/>
      <c r="C219" s="2"/>
      <c r="D219" s="624" t="s">
        <v>378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.75" hidden="1" customHeight="1" thickBot="1" x14ac:dyDescent="0.3">
      <c r="B220" s="54"/>
      <c r="C220" s="2"/>
      <c r="D220" s="624" t="s">
        <v>379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.75" hidden="1" customHeight="1" thickBot="1" x14ac:dyDescent="0.3">
      <c r="B221" s="54"/>
      <c r="C221" s="2"/>
      <c r="D221" s="624" t="s">
        <v>380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25.5" hidden="1" customHeight="1" x14ac:dyDescent="0.25">
      <c r="B222" s="54"/>
      <c r="C222" s="2"/>
      <c r="D222" s="625" t="s">
        <v>538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1"/>
        <v>0</v>
      </c>
      <c r="K222" s="15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25.5" hidden="1" customHeight="1" x14ac:dyDescent="0.25">
      <c r="B223" s="54"/>
      <c r="C223" s="2"/>
      <c r="D223" s="625" t="s">
        <v>541</v>
      </c>
      <c r="E223" s="625"/>
      <c r="F223" s="159">
        <v>0</v>
      </c>
      <c r="G223" s="343">
        <v>0</v>
      </c>
      <c r="H223" s="313">
        <v>0</v>
      </c>
      <c r="I223" s="513">
        <v>0</v>
      </c>
      <c r="J223" s="242">
        <f t="shared" si="51"/>
        <v>0</v>
      </c>
      <c r="K223" s="15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customHeight="1" thickBot="1" x14ac:dyDescent="0.3">
      <c r="B224" s="54"/>
      <c r="C224" s="2"/>
      <c r="D224" s="624" t="s">
        <v>381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51"/>
        <v>0</v>
      </c>
      <c r="K224" s="14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hidden="1" customHeight="1" thickBot="1" x14ac:dyDescent="0.3">
      <c r="B225" s="54"/>
      <c r="C225" s="2"/>
      <c r="D225" s="624" t="s">
        <v>382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51"/>
        <v>0</v>
      </c>
      <c r="K225" s="14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.75" hidden="1" customHeight="1" thickBot="1" x14ac:dyDescent="0.3">
      <c r="B226" s="56"/>
      <c r="C226" s="20"/>
      <c r="D226" s="631" t="s">
        <v>567</v>
      </c>
      <c r="E226" s="631"/>
      <c r="F226" s="159">
        <v>0</v>
      </c>
      <c r="G226" s="467">
        <v>0</v>
      </c>
      <c r="H226" s="486">
        <v>0</v>
      </c>
      <c r="I226" s="514">
        <v>0</v>
      </c>
      <c r="J226" s="234">
        <f t="shared" si="51"/>
        <v>0</v>
      </c>
      <c r="K226" s="143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.75" thickBot="1" x14ac:dyDescent="0.3">
      <c r="B227" s="96" t="s">
        <v>284</v>
      </c>
      <c r="C227" s="632" t="s">
        <v>285</v>
      </c>
      <c r="D227" s="633"/>
      <c r="E227" s="633"/>
      <c r="F227" s="156">
        <v>0</v>
      </c>
      <c r="G227" s="338">
        <v>0</v>
      </c>
      <c r="H227" s="308">
        <v>0</v>
      </c>
      <c r="I227" s="506">
        <v>0</v>
      </c>
      <c r="J227" s="235">
        <f>J228+J249+J255+J256</f>
        <v>0</v>
      </c>
      <c r="K227" s="144">
        <f t="shared" ref="K227:X227" si="52">K228+K249+K255+K256</f>
        <v>0</v>
      </c>
      <c r="L227" s="156">
        <f t="shared" si="47"/>
        <v>0</v>
      </c>
      <c r="M227" s="82">
        <f t="shared" si="52"/>
        <v>0</v>
      </c>
      <c r="N227" s="83">
        <f t="shared" si="52"/>
        <v>0</v>
      </c>
      <c r="O227" s="86">
        <f t="shared" si="52"/>
        <v>0</v>
      </c>
      <c r="P227" s="86">
        <f t="shared" si="52"/>
        <v>0</v>
      </c>
      <c r="Q227" s="83">
        <f t="shared" si="52"/>
        <v>0</v>
      </c>
      <c r="R227" s="86">
        <f t="shared" si="52"/>
        <v>0</v>
      </c>
      <c r="S227" s="86">
        <f t="shared" si="52"/>
        <v>0</v>
      </c>
      <c r="T227" s="87">
        <f t="shared" si="52"/>
        <v>0</v>
      </c>
      <c r="U227" s="338">
        <f t="shared" si="52"/>
        <v>0</v>
      </c>
      <c r="V227" s="86">
        <f t="shared" si="52"/>
        <v>0</v>
      </c>
      <c r="W227" s="86">
        <f t="shared" si="52"/>
        <v>0</v>
      </c>
      <c r="X227" s="87">
        <f t="shared" si="52"/>
        <v>0</v>
      </c>
    </row>
    <row r="228" spans="1:24" ht="15.75" hidden="1" customHeight="1" thickBot="1" x14ac:dyDescent="0.3">
      <c r="B228" s="108" t="s">
        <v>691</v>
      </c>
      <c r="C228" s="634" t="s">
        <v>286</v>
      </c>
      <c r="D228" s="635"/>
      <c r="E228" s="635"/>
      <c r="F228" s="157">
        <v>0</v>
      </c>
      <c r="G228" s="339">
        <v>0</v>
      </c>
      <c r="H228" s="309">
        <v>0</v>
      </c>
      <c r="I228" s="507">
        <v>0</v>
      </c>
      <c r="J228" s="231">
        <f>J229+J233+J240+J241+J242+J243+J244+J245+J246</f>
        <v>0</v>
      </c>
      <c r="K228" s="140">
        <f t="shared" ref="K228:X228" si="53">K229+K233+K240+K241+K242+K243+K244+K245+K246</f>
        <v>0</v>
      </c>
      <c r="L228" s="157">
        <f t="shared" si="47"/>
        <v>0</v>
      </c>
      <c r="M228" s="109">
        <f t="shared" si="53"/>
        <v>0</v>
      </c>
      <c r="N228" s="110">
        <f t="shared" si="53"/>
        <v>0</v>
      </c>
      <c r="O228" s="113">
        <f t="shared" si="53"/>
        <v>0</v>
      </c>
      <c r="P228" s="113">
        <f t="shared" si="53"/>
        <v>0</v>
      </c>
      <c r="Q228" s="110">
        <f t="shared" si="53"/>
        <v>0</v>
      </c>
      <c r="R228" s="113">
        <f t="shared" si="53"/>
        <v>0</v>
      </c>
      <c r="S228" s="113">
        <f t="shared" si="53"/>
        <v>0</v>
      </c>
      <c r="T228" s="114">
        <f t="shared" si="53"/>
        <v>0</v>
      </c>
      <c r="U228" s="339">
        <f t="shared" si="53"/>
        <v>0</v>
      </c>
      <c r="V228" s="113">
        <f t="shared" si="53"/>
        <v>0</v>
      </c>
      <c r="W228" s="113">
        <f t="shared" si="53"/>
        <v>0</v>
      </c>
      <c r="X228" s="114">
        <f t="shared" si="53"/>
        <v>0</v>
      </c>
    </row>
    <row r="229" spans="1:24" s="18" customFormat="1" ht="15.75" hidden="1" customHeight="1" thickBot="1" x14ac:dyDescent="0.3">
      <c r="A229" s="118"/>
      <c r="B229" s="53" t="s">
        <v>692</v>
      </c>
      <c r="C229" s="628" t="s">
        <v>287</v>
      </c>
      <c r="D229" s="629"/>
      <c r="E229" s="629"/>
      <c r="F229" s="160">
        <v>0</v>
      </c>
      <c r="G229" s="342">
        <v>0</v>
      </c>
      <c r="H229" s="312">
        <v>0</v>
      </c>
      <c r="I229" s="510">
        <v>0</v>
      </c>
      <c r="J229" s="239">
        <f>J230+J231+J232</f>
        <v>0</v>
      </c>
      <c r="K229" s="148">
        <f t="shared" ref="K229:X229" si="54">K230+K231+K232</f>
        <v>0</v>
      </c>
      <c r="L229" s="160">
        <f t="shared" si="47"/>
        <v>0</v>
      </c>
      <c r="M229" s="74">
        <f t="shared" si="54"/>
        <v>0</v>
      </c>
      <c r="N229" s="13">
        <f t="shared" si="54"/>
        <v>0</v>
      </c>
      <c r="O229" s="79">
        <f t="shared" si="54"/>
        <v>0</v>
      </c>
      <c r="P229" s="79">
        <f t="shared" si="54"/>
        <v>0</v>
      </c>
      <c r="Q229" s="13">
        <f t="shared" si="54"/>
        <v>0</v>
      </c>
      <c r="R229" s="79">
        <f t="shared" si="54"/>
        <v>0</v>
      </c>
      <c r="S229" s="79">
        <f t="shared" si="54"/>
        <v>0</v>
      </c>
      <c r="T229" s="45">
        <f t="shared" si="54"/>
        <v>0</v>
      </c>
      <c r="U229" s="342">
        <f t="shared" si="54"/>
        <v>0</v>
      </c>
      <c r="V229" s="79">
        <f t="shared" si="54"/>
        <v>0</v>
      </c>
      <c r="W229" s="79">
        <f t="shared" si="54"/>
        <v>0</v>
      </c>
      <c r="X229" s="45">
        <f t="shared" si="54"/>
        <v>0</v>
      </c>
    </row>
    <row r="230" spans="1:24" s="199" customFormat="1" ht="15.75" hidden="1" customHeight="1" thickBot="1" x14ac:dyDescent="0.3">
      <c r="A230" s="118" t="s">
        <v>288</v>
      </c>
      <c r="B230" s="181" t="s">
        <v>693</v>
      </c>
      <c r="C230" s="228"/>
      <c r="D230" s="724" t="s">
        <v>705</v>
      </c>
      <c r="E230" s="724"/>
      <c r="F230" s="183">
        <v>0</v>
      </c>
      <c r="G230" s="340">
        <v>0</v>
      </c>
      <c r="H230" s="310">
        <v>0</v>
      </c>
      <c r="I230" s="508">
        <v>0</v>
      </c>
      <c r="J230" s="268">
        <f>SUM(M230:X230)</f>
        <v>0</v>
      </c>
      <c r="K230" s="269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99" customFormat="1" ht="15.75" hidden="1" customHeight="1" thickBot="1" x14ac:dyDescent="0.3">
      <c r="A231" s="118" t="s">
        <v>289</v>
      </c>
      <c r="B231" s="181" t="s">
        <v>694</v>
      </c>
      <c r="C231" s="190"/>
      <c r="D231" s="630" t="s">
        <v>706</v>
      </c>
      <c r="E231" s="630"/>
      <c r="F231" s="183">
        <v>0</v>
      </c>
      <c r="G231" s="340">
        <v>0</v>
      </c>
      <c r="H231" s="310">
        <v>0</v>
      </c>
      <c r="I231" s="508">
        <v>0</v>
      </c>
      <c r="J231" s="251">
        <f>SUM(M231:X231)</f>
        <v>0</v>
      </c>
      <c r="K231" s="182"/>
      <c r="L231" s="183">
        <f t="shared" si="47"/>
        <v>0</v>
      </c>
      <c r="M231" s="191"/>
      <c r="N231" s="185"/>
      <c r="O231" s="186"/>
      <c r="P231" s="186"/>
      <c r="Q231" s="185"/>
      <c r="R231" s="186"/>
      <c r="S231" s="186"/>
      <c r="T231" s="187"/>
      <c r="U231" s="340"/>
      <c r="V231" s="186"/>
      <c r="W231" s="186"/>
      <c r="X231" s="187"/>
    </row>
    <row r="232" spans="1:24" s="199" customFormat="1" ht="15.75" hidden="1" customHeight="1" thickBot="1" x14ac:dyDescent="0.3">
      <c r="A232" s="118" t="s">
        <v>290</v>
      </c>
      <c r="B232" s="181" t="s">
        <v>695</v>
      </c>
      <c r="C232" s="190"/>
      <c r="D232" s="630" t="s">
        <v>707</v>
      </c>
      <c r="E232" s="630"/>
      <c r="F232" s="183">
        <v>0</v>
      </c>
      <c r="G232" s="340">
        <v>0</v>
      </c>
      <c r="H232" s="310">
        <v>0</v>
      </c>
      <c r="I232" s="508">
        <v>0</v>
      </c>
      <c r="J232" s="251">
        <f>SUM(M232:X232)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8" customFormat="1" ht="15.75" hidden="1" customHeight="1" thickBot="1" x14ac:dyDescent="0.3">
      <c r="A233" s="118"/>
      <c r="B233" s="53" t="s">
        <v>696</v>
      </c>
      <c r="C233" s="628" t="s">
        <v>291</v>
      </c>
      <c r="D233" s="629"/>
      <c r="E233" s="629"/>
      <c r="F233" s="160">
        <v>0</v>
      </c>
      <c r="G233" s="342">
        <v>0</v>
      </c>
      <c r="H233" s="312">
        <v>0</v>
      </c>
      <c r="I233" s="510">
        <v>0</v>
      </c>
      <c r="J233" s="239">
        <f>J234+J235+J236+J237+J238+J239</f>
        <v>0</v>
      </c>
      <c r="K233" s="148">
        <f t="shared" ref="K233:X233" si="55">K234+K235+K236+K237+K238+K239</f>
        <v>0</v>
      </c>
      <c r="L233" s="160">
        <f t="shared" si="47"/>
        <v>0</v>
      </c>
      <c r="M233" s="74">
        <f t="shared" si="55"/>
        <v>0</v>
      </c>
      <c r="N233" s="13">
        <f t="shared" si="55"/>
        <v>0</v>
      </c>
      <c r="O233" s="79">
        <f t="shared" si="55"/>
        <v>0</v>
      </c>
      <c r="P233" s="79">
        <f t="shared" si="55"/>
        <v>0</v>
      </c>
      <c r="Q233" s="13">
        <f t="shared" si="55"/>
        <v>0</v>
      </c>
      <c r="R233" s="79">
        <f t="shared" si="55"/>
        <v>0</v>
      </c>
      <c r="S233" s="79">
        <f t="shared" si="55"/>
        <v>0</v>
      </c>
      <c r="T233" s="45">
        <f t="shared" si="55"/>
        <v>0</v>
      </c>
      <c r="U233" s="342">
        <f t="shared" si="55"/>
        <v>0</v>
      </c>
      <c r="V233" s="79">
        <f t="shared" si="55"/>
        <v>0</v>
      </c>
      <c r="W233" s="79">
        <f t="shared" si="55"/>
        <v>0</v>
      </c>
      <c r="X233" s="45">
        <f t="shared" si="55"/>
        <v>0</v>
      </c>
    </row>
    <row r="234" spans="1:24" s="199" customFormat="1" ht="15.75" hidden="1" customHeight="1" thickBot="1" x14ac:dyDescent="0.3">
      <c r="A234" s="118" t="s">
        <v>292</v>
      </c>
      <c r="B234" s="181" t="s">
        <v>697</v>
      </c>
      <c r="C234" s="190"/>
      <c r="D234" s="630" t="s">
        <v>383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 t="shared" ref="J234:J245" si="56"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customHeight="1" thickBot="1" x14ac:dyDescent="0.3">
      <c r="A235" s="118" t="s">
        <v>293</v>
      </c>
      <c r="B235" s="181" t="s">
        <v>698</v>
      </c>
      <c r="C235" s="190"/>
      <c r="D235" s="630" t="s">
        <v>384</v>
      </c>
      <c r="E235" s="630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customHeight="1" thickBot="1" x14ac:dyDescent="0.3">
      <c r="A236" s="118" t="s">
        <v>885</v>
      </c>
      <c r="B236" s="181" t="s">
        <v>886</v>
      </c>
      <c r="C236" s="190"/>
      <c r="D236" s="630" t="s">
        <v>887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customHeight="1" thickBot="1" x14ac:dyDescent="0.3">
      <c r="A237" s="118" t="s">
        <v>294</v>
      </c>
      <c r="B237" s="181" t="s">
        <v>699</v>
      </c>
      <c r="C237" s="190"/>
      <c r="D237" s="630" t="s">
        <v>295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.75" hidden="1" customHeight="1" thickBot="1" x14ac:dyDescent="0.3">
      <c r="A238" s="118" t="s">
        <v>296</v>
      </c>
      <c r="B238" s="181" t="s">
        <v>700</v>
      </c>
      <c r="C238" s="190"/>
      <c r="D238" s="630" t="s">
        <v>297</v>
      </c>
      <c r="E238" s="630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.75" hidden="1" customHeight="1" thickBot="1" x14ac:dyDescent="0.3">
      <c r="A239" s="118" t="s">
        <v>888</v>
      </c>
      <c r="B239" s="181" t="s">
        <v>889</v>
      </c>
      <c r="C239" s="190"/>
      <c r="D239" s="630" t="s">
        <v>890</v>
      </c>
      <c r="E239" s="630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41" customFormat="1" ht="15.75" hidden="1" customHeight="1" thickBot="1" x14ac:dyDescent="0.3">
      <c r="A240" s="118" t="s">
        <v>891</v>
      </c>
      <c r="B240" s="53" t="s">
        <v>892</v>
      </c>
      <c r="C240" s="628" t="s">
        <v>893</v>
      </c>
      <c r="D240" s="629"/>
      <c r="E240" s="629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customHeight="1" thickBot="1" x14ac:dyDescent="0.3">
      <c r="A241" s="118" t="s">
        <v>298</v>
      </c>
      <c r="B241" s="53" t="s">
        <v>701</v>
      </c>
      <c r="C241" s="628" t="s">
        <v>299</v>
      </c>
      <c r="D241" s="629"/>
      <c r="E241" s="629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customHeight="1" thickBot="1" x14ac:dyDescent="0.3">
      <c r="A242" s="118" t="s">
        <v>300</v>
      </c>
      <c r="B242" s="53" t="s">
        <v>702</v>
      </c>
      <c r="C242" s="628" t="s">
        <v>894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customHeight="1" thickBot="1" x14ac:dyDescent="0.3">
      <c r="A243" s="118" t="s">
        <v>301</v>
      </c>
      <c r="B243" s="53" t="s">
        <v>703</v>
      </c>
      <c r="C243" s="628" t="s">
        <v>895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customHeight="1" thickBot="1" x14ac:dyDescent="0.3">
      <c r="A244" s="118" t="s">
        <v>302</v>
      </c>
      <c r="B244" s="53" t="s">
        <v>704</v>
      </c>
      <c r="C244" s="628" t="s">
        <v>303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.75" hidden="1" customHeight="1" thickBot="1" x14ac:dyDescent="0.3">
      <c r="A245" s="118" t="s">
        <v>896</v>
      </c>
      <c r="B245" s="53" t="s">
        <v>897</v>
      </c>
      <c r="C245" s="628" t="s">
        <v>899</v>
      </c>
      <c r="D245" s="629"/>
      <c r="E245" s="629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.75" hidden="1" customHeight="1" thickBot="1" x14ac:dyDescent="0.3">
      <c r="A246" s="118"/>
      <c r="B246" s="53" t="s">
        <v>898</v>
      </c>
      <c r="C246" s="628" t="s">
        <v>900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</f>
        <v>0</v>
      </c>
      <c r="K246" s="148">
        <f t="shared" ref="K246:X246" si="57">K247+K248</f>
        <v>0</v>
      </c>
      <c r="L246" s="160">
        <f t="shared" si="47"/>
        <v>0</v>
      </c>
      <c r="M246" s="74">
        <f t="shared" si="57"/>
        <v>0</v>
      </c>
      <c r="N246" s="13">
        <f t="shared" si="57"/>
        <v>0</v>
      </c>
      <c r="O246" s="79">
        <f t="shared" si="57"/>
        <v>0</v>
      </c>
      <c r="P246" s="79">
        <f t="shared" si="57"/>
        <v>0</v>
      </c>
      <c r="Q246" s="13">
        <f t="shared" si="57"/>
        <v>0</v>
      </c>
      <c r="R246" s="79">
        <f t="shared" si="57"/>
        <v>0</v>
      </c>
      <c r="S246" s="79">
        <f t="shared" si="57"/>
        <v>0</v>
      </c>
      <c r="T246" s="45">
        <f t="shared" si="57"/>
        <v>0</v>
      </c>
      <c r="U246" s="342">
        <f t="shared" si="57"/>
        <v>0</v>
      </c>
      <c r="V246" s="79">
        <f t="shared" si="57"/>
        <v>0</v>
      </c>
      <c r="W246" s="79">
        <f t="shared" si="57"/>
        <v>0</v>
      </c>
      <c r="X246" s="45">
        <f t="shared" si="57"/>
        <v>0</v>
      </c>
    </row>
    <row r="247" spans="1:24" s="199" customFormat="1" ht="15.75" hidden="1" customHeight="1" thickBot="1" x14ac:dyDescent="0.3">
      <c r="A247" s="118" t="s">
        <v>902</v>
      </c>
      <c r="B247" s="181" t="s">
        <v>901</v>
      </c>
      <c r="C247" s="190"/>
      <c r="D247" s="630" t="s">
        <v>905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>SUM(M247:X247)</f>
        <v>0</v>
      </c>
      <c r="K247" s="182"/>
      <c r="L247" s="183">
        <f t="shared" si="47"/>
        <v>0</v>
      </c>
      <c r="M247" s="191"/>
      <c r="N247" s="185"/>
      <c r="O247" s="186"/>
      <c r="P247" s="186"/>
      <c r="Q247" s="185"/>
      <c r="R247" s="186"/>
      <c r="S247" s="186"/>
      <c r="T247" s="187"/>
      <c r="U247" s="340"/>
      <c r="V247" s="186"/>
      <c r="W247" s="186"/>
      <c r="X247" s="187"/>
    </row>
    <row r="248" spans="1:24" s="199" customFormat="1" ht="15.75" hidden="1" customHeight="1" thickBot="1" x14ac:dyDescent="0.3">
      <c r="A248" s="118" t="s">
        <v>903</v>
      </c>
      <c r="B248" s="181" t="s">
        <v>904</v>
      </c>
      <c r="C248" s="190"/>
      <c r="D248" s="630" t="s">
        <v>906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>SUM(M248:X248)</f>
        <v>0</v>
      </c>
      <c r="K248" s="182"/>
      <c r="L248" s="183">
        <f t="shared" si="47"/>
        <v>0</v>
      </c>
      <c r="M248" s="191"/>
      <c r="N248" s="185"/>
      <c r="O248" s="186"/>
      <c r="P248" s="186"/>
      <c r="Q248" s="185"/>
      <c r="R248" s="186"/>
      <c r="S248" s="186"/>
      <c r="T248" s="187"/>
      <c r="U248" s="340"/>
      <c r="V248" s="186"/>
      <c r="W248" s="186"/>
      <c r="X248" s="187"/>
    </row>
    <row r="249" spans="1:24" ht="15.75" hidden="1" customHeight="1" thickBot="1" x14ac:dyDescent="0.3">
      <c r="B249" s="88" t="s">
        <v>708</v>
      </c>
      <c r="C249" s="626" t="s">
        <v>304</v>
      </c>
      <c r="D249" s="627"/>
      <c r="E249" s="627"/>
      <c r="F249" s="158">
        <v>0</v>
      </c>
      <c r="G249" s="341">
        <v>0</v>
      </c>
      <c r="H249" s="311">
        <v>0</v>
      </c>
      <c r="I249" s="509">
        <v>0</v>
      </c>
      <c r="J249" s="233">
        <f>J250+J251+J252+J253+J254</f>
        <v>0</v>
      </c>
      <c r="K249" s="142">
        <f t="shared" ref="K249:X249" si="58">K250+K251+K252+K253+K254</f>
        <v>0</v>
      </c>
      <c r="L249" s="158">
        <f t="shared" si="47"/>
        <v>0</v>
      </c>
      <c r="M249" s="90">
        <f t="shared" si="58"/>
        <v>0</v>
      </c>
      <c r="N249" s="91">
        <f t="shared" si="58"/>
        <v>0</v>
      </c>
      <c r="O249" s="94">
        <f t="shared" si="58"/>
        <v>0</v>
      </c>
      <c r="P249" s="94">
        <f t="shared" si="58"/>
        <v>0</v>
      </c>
      <c r="Q249" s="91">
        <f t="shared" si="58"/>
        <v>0</v>
      </c>
      <c r="R249" s="94">
        <f t="shared" si="58"/>
        <v>0</v>
      </c>
      <c r="S249" s="94">
        <f t="shared" si="58"/>
        <v>0</v>
      </c>
      <c r="T249" s="95">
        <f t="shared" si="58"/>
        <v>0</v>
      </c>
      <c r="U249" s="341">
        <f t="shared" si="58"/>
        <v>0</v>
      </c>
      <c r="V249" s="94">
        <f t="shared" si="58"/>
        <v>0</v>
      </c>
      <c r="W249" s="94">
        <f t="shared" si="58"/>
        <v>0</v>
      </c>
      <c r="X249" s="95">
        <f t="shared" si="58"/>
        <v>0</v>
      </c>
    </row>
    <row r="250" spans="1:24" s="41" customFormat="1" ht="15.75" hidden="1" customHeight="1" thickBot="1" x14ac:dyDescent="0.3">
      <c r="A250" s="118" t="s">
        <v>305</v>
      </c>
      <c r="B250" s="188" t="s">
        <v>709</v>
      </c>
      <c r="C250" s="706" t="s">
        <v>385</v>
      </c>
      <c r="D250" s="707"/>
      <c r="E250" s="707"/>
      <c r="F250" s="201">
        <v>0</v>
      </c>
      <c r="G250" s="347">
        <v>0</v>
      </c>
      <c r="H250" s="319">
        <v>0</v>
      </c>
      <c r="I250" s="511">
        <v>0</v>
      </c>
      <c r="J250" s="252">
        <f t="shared" ref="J250:J256" si="59">SUM(M250:X250)</f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customHeight="1" thickBot="1" x14ac:dyDescent="0.3">
      <c r="A251" s="118" t="s">
        <v>306</v>
      </c>
      <c r="B251" s="188" t="s">
        <v>710</v>
      </c>
      <c r="C251" s="706" t="s">
        <v>386</v>
      </c>
      <c r="D251" s="707"/>
      <c r="E251" s="707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customHeight="1" thickBot="1" x14ac:dyDescent="0.3">
      <c r="A252" s="118" t="s">
        <v>307</v>
      </c>
      <c r="B252" s="188" t="s">
        <v>711</v>
      </c>
      <c r="C252" s="706" t="s">
        <v>308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.75" hidden="1" customHeight="1" thickBot="1" x14ac:dyDescent="0.3">
      <c r="A253" s="118" t="s">
        <v>309</v>
      </c>
      <c r="B253" s="188" t="s">
        <v>712</v>
      </c>
      <c r="C253" s="706" t="s">
        <v>310</v>
      </c>
      <c r="D253" s="707"/>
      <c r="E253" s="707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.75" hidden="1" customHeight="1" thickBot="1" x14ac:dyDescent="0.3">
      <c r="A254" s="118" t="s">
        <v>311</v>
      </c>
      <c r="B254" s="188" t="s">
        <v>713</v>
      </c>
      <c r="C254" s="706" t="s">
        <v>387</v>
      </c>
      <c r="D254" s="707"/>
      <c r="E254" s="707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ht="15.75" hidden="1" customHeight="1" thickBot="1" x14ac:dyDescent="0.3">
      <c r="A255" s="118" t="s">
        <v>313</v>
      </c>
      <c r="B255" s="88" t="s">
        <v>714</v>
      </c>
      <c r="C255" s="626" t="s">
        <v>312</v>
      </c>
      <c r="D255" s="627"/>
      <c r="E255" s="627"/>
      <c r="F255" s="158">
        <v>0</v>
      </c>
      <c r="G255" s="341">
        <v>0</v>
      </c>
      <c r="H255" s="311">
        <v>0</v>
      </c>
      <c r="I255" s="509">
        <v>0</v>
      </c>
      <c r="J255" s="233">
        <f t="shared" si="59"/>
        <v>0</v>
      </c>
      <c r="K255" s="142"/>
      <c r="L255" s="158">
        <f t="shared" si="47"/>
        <v>0</v>
      </c>
      <c r="M255" s="90"/>
      <c r="N255" s="91"/>
      <c r="O255" s="94"/>
      <c r="P255" s="94"/>
      <c r="Q255" s="91"/>
      <c r="R255" s="94"/>
      <c r="S255" s="94"/>
      <c r="T255" s="95"/>
      <c r="U255" s="341"/>
      <c r="V255" s="94"/>
      <c r="W255" s="94"/>
      <c r="X255" s="95"/>
    </row>
    <row r="256" spans="1:24" ht="15.75" hidden="1" customHeight="1" thickBot="1" x14ac:dyDescent="0.3">
      <c r="A256" s="118" t="s">
        <v>907</v>
      </c>
      <c r="B256" s="88" t="s">
        <v>908</v>
      </c>
      <c r="C256" s="626" t="s">
        <v>909</v>
      </c>
      <c r="D256" s="627"/>
      <c r="E256" s="627"/>
      <c r="F256" s="158">
        <v>0</v>
      </c>
      <c r="G256" s="341">
        <v>0</v>
      </c>
      <c r="H256" s="311">
        <v>0</v>
      </c>
      <c r="I256" s="509">
        <v>0</v>
      </c>
      <c r="J256" s="233">
        <f t="shared" si="59"/>
        <v>0</v>
      </c>
      <c r="K256" s="142"/>
      <c r="L256" s="158">
        <f t="shared" si="47"/>
        <v>0</v>
      </c>
      <c r="M256" s="90"/>
      <c r="N256" s="91"/>
      <c r="O256" s="94"/>
      <c r="P256" s="94"/>
      <c r="Q256" s="91"/>
      <c r="R256" s="94"/>
      <c r="S256" s="94"/>
      <c r="T256" s="95"/>
      <c r="U256" s="341"/>
      <c r="V256" s="94"/>
      <c r="W256" s="94"/>
      <c r="X256" s="95"/>
    </row>
    <row r="257" spans="1:24" ht="15.75" thickBot="1" x14ac:dyDescent="0.3">
      <c r="B257" s="722" t="s">
        <v>314</v>
      </c>
      <c r="C257" s="723"/>
      <c r="D257" s="723"/>
      <c r="E257" s="723"/>
      <c r="F257" s="156">
        <v>128169</v>
      </c>
      <c r="G257" s="338">
        <v>128169</v>
      </c>
      <c r="H257" s="308">
        <v>123459</v>
      </c>
      <c r="I257" s="506">
        <v>123459</v>
      </c>
      <c r="J257" s="230">
        <f>J5+J24+J32+J61+J77+J149+J159+J164+J227</f>
        <v>191500</v>
      </c>
      <c r="K257" s="139">
        <f>K5+K24+K32+K61+K77+K149+K159+K164+K227</f>
        <v>0</v>
      </c>
      <c r="L257" s="156">
        <f t="shared" si="47"/>
        <v>191500</v>
      </c>
      <c r="M257" s="82">
        <f t="shared" ref="M257:X257" si="60">M5+M24+M32+M61+M77+M149+M159+M164+M227</f>
        <v>9529</v>
      </c>
      <c r="N257" s="83">
        <f t="shared" si="60"/>
        <v>8598</v>
      </c>
      <c r="O257" s="86">
        <f t="shared" si="60"/>
        <v>7730</v>
      </c>
      <c r="P257" s="86">
        <f t="shared" si="60"/>
        <v>22163</v>
      </c>
      <c r="Q257" s="83">
        <f t="shared" si="60"/>
        <v>8498</v>
      </c>
      <c r="R257" s="86">
        <f t="shared" si="60"/>
        <v>37044</v>
      </c>
      <c r="S257" s="86">
        <f t="shared" si="60"/>
        <v>10316</v>
      </c>
      <c r="T257" s="87">
        <f t="shared" si="60"/>
        <v>10653</v>
      </c>
      <c r="U257" s="338">
        <f t="shared" si="60"/>
        <v>10500</v>
      </c>
      <c r="V257" s="86">
        <f t="shared" si="60"/>
        <v>35868</v>
      </c>
      <c r="W257" s="86">
        <f t="shared" si="60"/>
        <v>15998</v>
      </c>
      <c r="X257" s="87">
        <f t="shared" si="60"/>
        <v>14603</v>
      </c>
    </row>
    <row r="258" spans="1:24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24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24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24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8"/>
      <c r="D290" s="28"/>
      <c r="E290" s="24"/>
      <c r="F290" s="24"/>
      <c r="G290" s="24"/>
      <c r="H290" s="24"/>
      <c r="I290" s="24"/>
      <c r="J290" s="24"/>
      <c r="K290" s="2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9"/>
      <c r="C301" s="23"/>
      <c r="D301" s="23"/>
      <c r="E301" s="24"/>
      <c r="F301" s="24"/>
      <c r="G301" s="24"/>
      <c r="H301" s="24"/>
      <c r="I301" s="24"/>
      <c r="J301" s="24"/>
      <c r="K301" s="24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</row>
    <row r="320" spans="1:24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18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:12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49"/>
    </row>
    <row r="322" spans="1:12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49"/>
    </row>
    <row r="323" spans="1:12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12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12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12" s="12" customFormat="1" x14ac:dyDescent="0.25">
      <c r="A326" s="121"/>
      <c r="B326" s="27"/>
      <c r="C326" s="28"/>
      <c r="D326" s="28"/>
      <c r="E326" s="24"/>
      <c r="F326" s="24"/>
      <c r="G326" s="24"/>
      <c r="H326" s="24"/>
      <c r="I326" s="24"/>
      <c r="J326" s="24"/>
      <c r="K326" s="24"/>
      <c r="L326" s="49"/>
    </row>
    <row r="327" spans="1:12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12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49"/>
    </row>
    <row r="329" spans="1:12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12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12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12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12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12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12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12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K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K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24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24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24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9"/>
      <c r="C364" s="23"/>
      <c r="D364" s="23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8"/>
      <c r="D365" s="28"/>
      <c r="E365" s="24"/>
      <c r="F365" s="24"/>
      <c r="G365" s="24"/>
      <c r="H365" s="24"/>
      <c r="I365" s="24"/>
      <c r="J365" s="24"/>
      <c r="K365" s="24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8"/>
      <c r="D370" s="28"/>
      <c r="E370" s="24"/>
      <c r="F370" s="24"/>
      <c r="G370" s="24"/>
      <c r="H370" s="24"/>
      <c r="I370" s="24"/>
      <c r="J370" s="24"/>
      <c r="K370" s="24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24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9"/>
      <c r="C400" s="23"/>
      <c r="D400" s="23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8"/>
      <c r="D401" s="28"/>
      <c r="E401" s="24"/>
      <c r="F401" s="24"/>
      <c r="G401" s="24"/>
      <c r="H401" s="24"/>
      <c r="I401" s="24"/>
      <c r="J401" s="24"/>
      <c r="K401" s="24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24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24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9"/>
      <c r="C410" s="23"/>
      <c r="D410" s="23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9"/>
      <c r="C436" s="23"/>
      <c r="D436" s="23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9"/>
      <c r="C462" s="23"/>
      <c r="D462" s="23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32"/>
      <c r="C463" s="33"/>
      <c r="D463" s="3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34"/>
      <c r="C464" s="35"/>
      <c r="D464" s="35"/>
      <c r="E464" s="36"/>
      <c r="F464" s="36"/>
      <c r="G464" s="36"/>
      <c r="H464" s="36"/>
      <c r="I464" s="36"/>
      <c r="J464" s="36"/>
      <c r="K464" s="36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19"/>
      <c r="C466" s="37"/>
      <c r="D466" s="37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34"/>
      <c r="C468" s="35"/>
      <c r="D468" s="35"/>
      <c r="E468" s="36"/>
      <c r="F468" s="36"/>
      <c r="G468" s="36"/>
      <c r="H468" s="36"/>
      <c r="I468" s="36"/>
      <c r="J468" s="36"/>
      <c r="K468" s="36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34"/>
      <c r="C476" s="35"/>
      <c r="D476" s="35"/>
      <c r="E476" s="36"/>
      <c r="F476" s="36"/>
      <c r="G476" s="36"/>
      <c r="H476" s="36"/>
      <c r="I476" s="36"/>
      <c r="J476" s="36"/>
      <c r="K476" s="36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</row>
    <row r="478" spans="1:24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18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49"/>
    </row>
    <row r="482" spans="1:24" s="12" customFormat="1" x14ac:dyDescent="0.25">
      <c r="A482" s="121"/>
      <c r="B482" s="32"/>
      <c r="C482" s="33"/>
      <c r="D482" s="33"/>
      <c r="E482" s="24"/>
      <c r="F482" s="24"/>
      <c r="G482" s="24"/>
      <c r="H482" s="24"/>
      <c r="I482" s="24"/>
      <c r="J482" s="24"/>
      <c r="K482" s="24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</sheetData>
  <mergeCells count="246"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35:E35"/>
    <mergeCell ref="C24:E24"/>
    <mergeCell ref="C25:E25"/>
    <mergeCell ref="C26:E26"/>
    <mergeCell ref="C27:E27"/>
    <mergeCell ref="C28:E28"/>
    <mergeCell ref="C29:E29"/>
    <mergeCell ref="C31:E31"/>
    <mergeCell ref="C30:E30"/>
    <mergeCell ref="C32:E32"/>
    <mergeCell ref="U2:X3"/>
    <mergeCell ref="M2:T3"/>
    <mergeCell ref="L3:L4"/>
    <mergeCell ref="H2:H4"/>
    <mergeCell ref="C5:E5"/>
    <mergeCell ref="C6:E6"/>
    <mergeCell ref="C20:E20"/>
    <mergeCell ref="C33:E33"/>
    <mergeCell ref="C34:E34"/>
    <mergeCell ref="C21:E21"/>
    <mergeCell ref="C22:E22"/>
    <mergeCell ref="F2:F4"/>
    <mergeCell ref="G2:G4"/>
    <mergeCell ref="I2:I4"/>
    <mergeCell ref="C23:E23"/>
    <mergeCell ref="B2:E4"/>
    <mergeCell ref="J2:L2"/>
    <mergeCell ref="J3:J4"/>
    <mergeCell ref="K3:K4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 081030 Sportlétesítmények, edzőtáborok működtetése és fejlesztéseKiadások - 2018. év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770"/>
  <sheetViews>
    <sheetView view="pageLayout" topLeftCell="B74" zoomScale="78" zoomScaleNormal="84" zoomScaleSheetLayoutView="100" zoomScalePageLayoutView="78" workbookViewId="0">
      <selection activeCell="Z12" sqref="Z12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2" style="12" customWidth="1"/>
    <col min="11" max="11" width="11.140625" style="12" customWidth="1"/>
    <col min="12" max="12" width="11.7109375" style="49" customWidth="1"/>
    <col min="13" max="13" width="10.140625" style="12" bestFit="1" customWidth="1"/>
    <col min="14" max="14" width="12" style="12" bestFit="1" customWidth="1"/>
    <col min="15" max="15" width="10.7109375" style="12" bestFit="1" customWidth="1"/>
    <col min="16" max="17" width="10.140625" style="12" bestFit="1" customWidth="1"/>
    <col min="18" max="18" width="12" style="12" bestFit="1" customWidth="1"/>
    <col min="19" max="19" width="12.5703125" style="12" customWidth="1"/>
    <col min="20" max="20" width="11.85546875" style="12" bestFit="1" customWidth="1"/>
    <col min="21" max="21" width="12" style="12" customWidth="1"/>
    <col min="22" max="22" width="11.28515625" style="12" customWidth="1"/>
    <col min="23" max="23" width="10.140625" style="12" bestFit="1" customWidth="1"/>
    <col min="24" max="24" width="10.7109375" style="12" bestFit="1" customWidth="1"/>
    <col min="25" max="25" width="10.140625" style="12" bestFit="1" customWidth="1"/>
    <col min="26" max="26" width="12" style="12" bestFit="1" customWidth="1"/>
    <col min="27" max="16384" width="9.140625" style="17"/>
  </cols>
  <sheetData>
    <row r="1" spans="1:26" ht="15.75" thickBot="1" x14ac:dyDescent="0.3">
      <c r="Z1" s="11" t="s">
        <v>827</v>
      </c>
    </row>
    <row r="2" spans="1:26" ht="15" customHeight="1" x14ac:dyDescent="0.25">
      <c r="B2" s="677" t="s">
        <v>0</v>
      </c>
      <c r="C2" s="668"/>
      <c r="D2" s="668"/>
      <c r="E2" s="668"/>
      <c r="F2" s="669" t="s">
        <v>1049</v>
      </c>
      <c r="G2" s="669" t="s">
        <v>1052</v>
      </c>
      <c r="H2" s="669" t="s">
        <v>1054</v>
      </c>
      <c r="I2" s="669" t="s">
        <v>1055</v>
      </c>
      <c r="J2" s="691" t="s">
        <v>1041</v>
      </c>
      <c r="K2" s="683"/>
      <c r="L2" s="684"/>
      <c r="M2" s="661" t="s">
        <v>1046</v>
      </c>
      <c r="N2" s="668"/>
      <c r="O2" s="661" t="s">
        <v>1053</v>
      </c>
      <c r="P2" s="668"/>
      <c r="Q2" s="668"/>
      <c r="R2" s="668"/>
      <c r="S2" s="668"/>
      <c r="T2" s="668"/>
      <c r="U2" s="668"/>
      <c r="V2" s="669"/>
      <c r="W2" s="668" t="s">
        <v>1042</v>
      </c>
      <c r="X2" s="668"/>
      <c r="Y2" s="668"/>
      <c r="Z2" s="669"/>
    </row>
    <row r="3" spans="1:26" ht="27.7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2"/>
      <c r="P3" s="670"/>
      <c r="Q3" s="670"/>
      <c r="R3" s="670"/>
      <c r="S3" s="670"/>
      <c r="T3" s="670"/>
      <c r="U3" s="670"/>
      <c r="V3" s="671"/>
      <c r="W3" s="670"/>
      <c r="X3" s="670"/>
      <c r="Y3" s="670"/>
      <c r="Z3" s="671"/>
    </row>
    <row r="4" spans="1:26" ht="39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248" t="s">
        <v>971</v>
      </c>
      <c r="N4" s="249" t="s">
        <v>972</v>
      </c>
      <c r="O4" s="122" t="s">
        <v>592</v>
      </c>
      <c r="P4" s="63" t="s">
        <v>593</v>
      </c>
      <c r="Q4" s="408" t="s">
        <v>594</v>
      </c>
      <c r="R4" s="408" t="s">
        <v>595</v>
      </c>
      <c r="S4" s="80" t="s">
        <v>596</v>
      </c>
      <c r="T4" s="408" t="s">
        <v>597</v>
      </c>
      <c r="U4" s="408" t="s">
        <v>598</v>
      </c>
      <c r="V4" s="390" t="s">
        <v>599</v>
      </c>
      <c r="W4" s="389" t="s">
        <v>600</v>
      </c>
      <c r="X4" s="408" t="s">
        <v>601</v>
      </c>
      <c r="Y4" s="408" t="s">
        <v>602</v>
      </c>
      <c r="Z4" s="390" t="s">
        <v>603</v>
      </c>
    </row>
    <row r="5" spans="1:26" ht="15.75" thickBot="1" x14ac:dyDescent="0.3">
      <c r="B5" s="81" t="s">
        <v>118</v>
      </c>
      <c r="C5" s="698" t="s">
        <v>119</v>
      </c>
      <c r="D5" s="699"/>
      <c r="E5" s="699"/>
      <c r="F5" s="156">
        <v>1553175</v>
      </c>
      <c r="G5" s="338">
        <v>1553175</v>
      </c>
      <c r="H5" s="308">
        <v>1553175</v>
      </c>
      <c r="I5" s="506">
        <v>1553175</v>
      </c>
      <c r="J5" s="230">
        <f>J6+J32</f>
        <v>1648960</v>
      </c>
      <c r="K5" s="139">
        <f t="shared" ref="K5:Z5" si="0">K6+K32</f>
        <v>0</v>
      </c>
      <c r="L5" s="156">
        <f>SUM(J5:K5)</f>
        <v>1648960</v>
      </c>
      <c r="M5" s="82">
        <f>M6+M32</f>
        <v>713000</v>
      </c>
      <c r="N5" s="83">
        <f>N6+N32</f>
        <v>935960</v>
      </c>
      <c r="O5" s="82">
        <f t="shared" si="0"/>
        <v>94990</v>
      </c>
      <c r="P5" s="83">
        <f t="shared" si="0"/>
        <v>106495</v>
      </c>
      <c r="Q5" s="86">
        <f t="shared" si="0"/>
        <v>106495</v>
      </c>
      <c r="R5" s="86">
        <f t="shared" si="0"/>
        <v>165495</v>
      </c>
      <c r="S5" s="83">
        <f t="shared" si="0"/>
        <v>106495</v>
      </c>
      <c r="T5" s="86">
        <f t="shared" si="0"/>
        <v>106495</v>
      </c>
      <c r="U5" s="86">
        <f t="shared" si="0"/>
        <v>106495</v>
      </c>
      <c r="V5" s="87">
        <f t="shared" si="0"/>
        <v>249520</v>
      </c>
      <c r="W5" s="338">
        <f t="shared" si="0"/>
        <v>106495</v>
      </c>
      <c r="X5" s="86">
        <f t="shared" si="0"/>
        <v>106495</v>
      </c>
      <c r="Y5" s="86">
        <f t="shared" si="0"/>
        <v>106495</v>
      </c>
      <c r="Z5" s="87">
        <f t="shared" si="0"/>
        <v>286995</v>
      </c>
    </row>
    <row r="6" spans="1:26" x14ac:dyDescent="0.25">
      <c r="B6" s="115" t="s">
        <v>608</v>
      </c>
      <c r="C6" s="653" t="s">
        <v>120</v>
      </c>
      <c r="D6" s="654"/>
      <c r="E6" s="654"/>
      <c r="F6" s="157">
        <v>1553175</v>
      </c>
      <c r="G6" s="339">
        <v>1553175</v>
      </c>
      <c r="H6" s="309">
        <v>1553175</v>
      </c>
      <c r="I6" s="507">
        <v>1553175</v>
      </c>
      <c r="J6" s="231">
        <f>J7+J10+J13+J14+J17+J18+J19+J22+J25+J26+J27+J28+J29</f>
        <v>1648960</v>
      </c>
      <c r="K6" s="140">
        <f t="shared" ref="K6:Z6" si="1">K7+K10+K13+K14+K17+K18+K19+K22+K25+K26+K27+K28+K29</f>
        <v>0</v>
      </c>
      <c r="L6" s="157">
        <f t="shared" ref="L6:L110" si="2">SUM(J6:K6)</f>
        <v>1648960</v>
      </c>
      <c r="M6" s="109">
        <f>M7+M10+M13+M14+M17+M18+M19+M22+M25+M26+M27+M28+M29</f>
        <v>713000</v>
      </c>
      <c r="N6" s="113">
        <f>N7+N10+N13+N14+N17+N18+N19+N22+N25+N26+N27+N28+N29</f>
        <v>935960</v>
      </c>
      <c r="O6" s="428">
        <f t="shared" si="1"/>
        <v>94990</v>
      </c>
      <c r="P6" s="110">
        <f t="shared" si="1"/>
        <v>106495</v>
      </c>
      <c r="Q6" s="113">
        <f t="shared" si="1"/>
        <v>106495</v>
      </c>
      <c r="R6" s="113">
        <f t="shared" si="1"/>
        <v>165495</v>
      </c>
      <c r="S6" s="110">
        <f t="shared" si="1"/>
        <v>106495</v>
      </c>
      <c r="T6" s="113">
        <f t="shared" si="1"/>
        <v>106495</v>
      </c>
      <c r="U6" s="113">
        <f t="shared" si="1"/>
        <v>106495</v>
      </c>
      <c r="V6" s="114">
        <f t="shared" si="1"/>
        <v>249520</v>
      </c>
      <c r="W6" s="339">
        <f t="shared" si="1"/>
        <v>106495</v>
      </c>
      <c r="X6" s="113">
        <f t="shared" si="1"/>
        <v>106495</v>
      </c>
      <c r="Y6" s="113">
        <f t="shared" si="1"/>
        <v>106495</v>
      </c>
      <c r="Z6" s="429">
        <f t="shared" si="1"/>
        <v>286995</v>
      </c>
    </row>
    <row r="7" spans="1:26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1266435</v>
      </c>
      <c r="G7" s="340">
        <v>1266435</v>
      </c>
      <c r="H7" s="310">
        <v>1266435</v>
      </c>
      <c r="I7" s="508">
        <v>1266435</v>
      </c>
      <c r="J7" s="251">
        <f>SUM(J8:J9)</f>
        <v>1266435</v>
      </c>
      <c r="K7" s="182">
        <f>SUM(K8:K9)</f>
        <v>0</v>
      </c>
      <c r="L7" s="183">
        <f t="shared" si="2"/>
        <v>1266435</v>
      </c>
      <c r="M7" s="191">
        <f t="shared" ref="M7:Z7" si="3">SUM(M8:M9)</f>
        <v>536625</v>
      </c>
      <c r="N7" s="186">
        <f t="shared" si="3"/>
        <v>729810</v>
      </c>
      <c r="O7" s="191">
        <f t="shared" si="3"/>
        <v>94990</v>
      </c>
      <c r="P7" s="185">
        <f t="shared" si="3"/>
        <v>106495</v>
      </c>
      <c r="Q7" s="186">
        <f>SUM(Q8:Q9)</f>
        <v>106495</v>
      </c>
      <c r="R7" s="186">
        <f t="shared" si="3"/>
        <v>106495</v>
      </c>
      <c r="S7" s="185">
        <f t="shared" si="3"/>
        <v>106495</v>
      </c>
      <c r="T7" s="186">
        <f t="shared" si="3"/>
        <v>106495</v>
      </c>
      <c r="U7" s="186">
        <f t="shared" si="3"/>
        <v>106495</v>
      </c>
      <c r="V7" s="187">
        <f t="shared" si="3"/>
        <v>106495</v>
      </c>
      <c r="W7" s="340">
        <f t="shared" si="3"/>
        <v>106495</v>
      </c>
      <c r="X7" s="186">
        <f t="shared" si="3"/>
        <v>106495</v>
      </c>
      <c r="Y7" s="186">
        <f t="shared" si="3"/>
        <v>106495</v>
      </c>
      <c r="Z7" s="187">
        <f t="shared" si="3"/>
        <v>106495</v>
      </c>
    </row>
    <row r="8" spans="1:26" x14ac:dyDescent="0.25">
      <c r="B8" s="54"/>
      <c r="C8" s="281"/>
      <c r="D8" s="225"/>
      <c r="E8" s="225" t="s">
        <v>997</v>
      </c>
      <c r="F8" s="159">
        <v>536625</v>
      </c>
      <c r="G8" s="343">
        <v>536625</v>
      </c>
      <c r="H8" s="313">
        <v>536625</v>
      </c>
      <c r="I8" s="513">
        <v>536625</v>
      </c>
      <c r="J8" s="232">
        <f>SUM(O8:Z8)</f>
        <v>536625</v>
      </c>
      <c r="K8" s="141"/>
      <c r="L8" s="159">
        <f>SUM(J8:K8)</f>
        <v>536625</v>
      </c>
      <c r="M8" s="72">
        <f>L8</f>
        <v>536625</v>
      </c>
      <c r="N8" s="78"/>
      <c r="O8" s="72">
        <f>161000*0.25</f>
        <v>40250</v>
      </c>
      <c r="P8" s="1">
        <v>45125</v>
      </c>
      <c r="Q8" s="78">
        <v>45125</v>
      </c>
      <c r="R8" s="78">
        <v>45125</v>
      </c>
      <c r="S8" s="1">
        <v>45125</v>
      </c>
      <c r="T8" s="78">
        <v>45125</v>
      </c>
      <c r="U8" s="78">
        <v>45125</v>
      </c>
      <c r="V8" s="44">
        <v>45125</v>
      </c>
      <c r="W8" s="42">
        <v>45125</v>
      </c>
      <c r="X8" s="1">
        <v>45125</v>
      </c>
      <c r="Y8" s="1">
        <v>45125</v>
      </c>
      <c r="Z8" s="44">
        <v>45125</v>
      </c>
    </row>
    <row r="9" spans="1:26" x14ac:dyDescent="0.25">
      <c r="B9" s="54"/>
      <c r="C9" s="281"/>
      <c r="D9" s="225"/>
      <c r="E9" s="225" t="s">
        <v>998</v>
      </c>
      <c r="F9" s="159">
        <v>729810</v>
      </c>
      <c r="G9" s="343">
        <v>729810</v>
      </c>
      <c r="H9" s="313">
        <v>729810</v>
      </c>
      <c r="I9" s="513">
        <v>729810</v>
      </c>
      <c r="J9" s="232">
        <f>SUM(O9:Z9)</f>
        <v>729810</v>
      </c>
      <c r="K9" s="141"/>
      <c r="L9" s="159">
        <f>SUM(J9:K9)</f>
        <v>729810</v>
      </c>
      <c r="M9" s="72"/>
      <c r="N9" s="78">
        <f>L9</f>
        <v>729810</v>
      </c>
      <c r="O9" s="72">
        <f>161000*0.34</f>
        <v>54740.000000000007</v>
      </c>
      <c r="P9" s="1">
        <v>61370</v>
      </c>
      <c r="Q9" s="78">
        <v>61370</v>
      </c>
      <c r="R9" s="78">
        <v>61370</v>
      </c>
      <c r="S9" s="1">
        <v>61370</v>
      </c>
      <c r="T9" s="78">
        <v>61370</v>
      </c>
      <c r="U9" s="78">
        <v>61370</v>
      </c>
      <c r="V9" s="44">
        <v>61370</v>
      </c>
      <c r="W9" s="42">
        <v>61370</v>
      </c>
      <c r="X9" s="1">
        <v>61370</v>
      </c>
      <c r="Y9" s="1">
        <v>61370</v>
      </c>
      <c r="Z9" s="44">
        <v>61370</v>
      </c>
    </row>
    <row r="10" spans="1:26" s="199" customFormat="1" x14ac:dyDescent="0.25">
      <c r="A10" s="118" t="s">
        <v>123</v>
      </c>
      <c r="B10" s="181" t="s">
        <v>610</v>
      </c>
      <c r="C10" s="194"/>
      <c r="D10" s="247" t="s">
        <v>124</v>
      </c>
      <c r="E10" s="247"/>
      <c r="F10" s="183">
        <v>106495</v>
      </c>
      <c r="G10" s="340">
        <v>106495</v>
      </c>
      <c r="H10" s="310">
        <v>106495</v>
      </c>
      <c r="I10" s="508">
        <v>106495</v>
      </c>
      <c r="J10" s="251">
        <f>SUM(J11:J12)</f>
        <v>180500</v>
      </c>
      <c r="K10" s="182">
        <f>SUM(K11:K12)</f>
        <v>0</v>
      </c>
      <c r="L10" s="183">
        <f>SUM(J10:K10)</f>
        <v>180500</v>
      </c>
      <c r="M10" s="191">
        <f t="shared" ref="M10:Z10" si="4">SUM(M11:M12)</f>
        <v>100000</v>
      </c>
      <c r="N10" s="186">
        <f t="shared" si="4"/>
        <v>80500</v>
      </c>
      <c r="O10" s="191">
        <f t="shared" si="4"/>
        <v>0</v>
      </c>
      <c r="P10" s="185">
        <f t="shared" si="4"/>
        <v>0</v>
      </c>
      <c r="Q10" s="186">
        <f t="shared" si="4"/>
        <v>0</v>
      </c>
      <c r="R10" s="186">
        <f t="shared" si="4"/>
        <v>0</v>
      </c>
      <c r="S10" s="185">
        <f t="shared" si="4"/>
        <v>0</v>
      </c>
      <c r="T10" s="186">
        <f t="shared" si="4"/>
        <v>0</v>
      </c>
      <c r="U10" s="186">
        <f t="shared" si="4"/>
        <v>0</v>
      </c>
      <c r="V10" s="187">
        <f t="shared" si="4"/>
        <v>0</v>
      </c>
      <c r="W10" s="340">
        <f t="shared" si="4"/>
        <v>0</v>
      </c>
      <c r="X10" s="186">
        <f t="shared" si="4"/>
        <v>0</v>
      </c>
      <c r="Y10" s="186">
        <f t="shared" si="4"/>
        <v>0</v>
      </c>
      <c r="Z10" s="187">
        <f t="shared" si="4"/>
        <v>180500</v>
      </c>
    </row>
    <row r="11" spans="1:26" x14ac:dyDescent="0.25">
      <c r="B11" s="54"/>
      <c r="C11" s="281"/>
      <c r="D11" s="225"/>
      <c r="E11" s="225" t="s">
        <v>997</v>
      </c>
      <c r="F11" s="159">
        <v>45125</v>
      </c>
      <c r="G11" s="343">
        <v>45125</v>
      </c>
      <c r="H11" s="313">
        <v>45125</v>
      </c>
      <c r="I11" s="513">
        <v>45125</v>
      </c>
      <c r="J11" s="232">
        <f>SUM(O11:Z11)</f>
        <v>100000</v>
      </c>
      <c r="K11" s="141"/>
      <c r="L11" s="159">
        <f>SUM(J11:K11)</f>
        <v>100000</v>
      </c>
      <c r="M11" s="72">
        <f>L11</f>
        <v>100000</v>
      </c>
      <c r="N11" s="78"/>
      <c r="O11" s="72"/>
      <c r="P11" s="1"/>
      <c r="Q11" s="78"/>
      <c r="R11" s="78"/>
      <c r="S11" s="1"/>
      <c r="T11" s="78"/>
      <c r="U11" s="78"/>
      <c r="V11" s="44"/>
      <c r="W11" s="343"/>
      <c r="X11" s="78"/>
      <c r="Y11" s="78"/>
      <c r="Z11" s="44">
        <v>100000</v>
      </c>
    </row>
    <row r="12" spans="1:26" x14ac:dyDescent="0.25">
      <c r="B12" s="54"/>
      <c r="C12" s="281"/>
      <c r="D12" s="225"/>
      <c r="E12" s="225" t="s">
        <v>998</v>
      </c>
      <c r="F12" s="159">
        <v>61370</v>
      </c>
      <c r="G12" s="343">
        <v>61370</v>
      </c>
      <c r="H12" s="313">
        <v>61370</v>
      </c>
      <c r="I12" s="513">
        <v>61370</v>
      </c>
      <c r="J12" s="232">
        <f>SUM(O12:Z12)</f>
        <v>80500</v>
      </c>
      <c r="K12" s="141"/>
      <c r="L12" s="159">
        <f>SUM(J12:K12)</f>
        <v>80500</v>
      </c>
      <c r="M12" s="72"/>
      <c r="N12" s="1">
        <f>L12</f>
        <v>80500</v>
      </c>
      <c r="O12" s="72"/>
      <c r="P12" s="1"/>
      <c r="Q12" s="78"/>
      <c r="R12" s="78"/>
      <c r="S12" s="1"/>
      <c r="T12" s="78"/>
      <c r="U12" s="78"/>
      <c r="V12" s="44"/>
      <c r="W12" s="343"/>
      <c r="X12" s="78"/>
      <c r="Y12" s="78"/>
      <c r="Z12" s="44">
        <v>80500</v>
      </c>
    </row>
    <row r="13" spans="1:26" s="199" customFormat="1" ht="15" hidden="1" customHeight="1" x14ac:dyDescent="0.25">
      <c r="A13" s="118" t="s">
        <v>125</v>
      </c>
      <c r="B13" s="181" t="s">
        <v>611</v>
      </c>
      <c r="C13" s="194"/>
      <c r="D13" s="247" t="s">
        <v>126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>SUM(O13:Z13)</f>
        <v>0</v>
      </c>
      <c r="K13" s="182"/>
      <c r="L13" s="183">
        <f t="shared" si="2"/>
        <v>0</v>
      </c>
      <c r="M13" s="191"/>
      <c r="N13" s="185"/>
      <c r="O13" s="191"/>
      <c r="P13" s="185"/>
      <c r="Q13" s="186"/>
      <c r="R13" s="186"/>
      <c r="S13" s="185"/>
      <c r="T13" s="186"/>
      <c r="U13" s="186"/>
      <c r="V13" s="187"/>
      <c r="W13" s="340"/>
      <c r="X13" s="186"/>
      <c r="Y13" s="186"/>
      <c r="Z13" s="187"/>
    </row>
    <row r="14" spans="1:26" s="199" customFormat="1" x14ac:dyDescent="0.25">
      <c r="A14" s="118" t="s">
        <v>127</v>
      </c>
      <c r="B14" s="181" t="s">
        <v>612</v>
      </c>
      <c r="C14" s="194"/>
      <c r="D14" s="247" t="s">
        <v>351</v>
      </c>
      <c r="E14" s="247"/>
      <c r="F14" s="183">
        <v>106495</v>
      </c>
      <c r="G14" s="340">
        <v>106495</v>
      </c>
      <c r="H14" s="310">
        <v>106495</v>
      </c>
      <c r="I14" s="508">
        <v>106495</v>
      </c>
      <c r="J14" s="251">
        <f>SUM(J15:J16)</f>
        <v>128275</v>
      </c>
      <c r="K14" s="182">
        <f>SUM(K15:K16)</f>
        <v>0</v>
      </c>
      <c r="L14" s="183">
        <f>SUM(J14:K14)</f>
        <v>128275</v>
      </c>
      <c r="M14" s="191">
        <f t="shared" ref="M14:Z14" si="5">SUM(M15:M16)</f>
        <v>45125</v>
      </c>
      <c r="N14" s="185">
        <f t="shared" si="5"/>
        <v>83150</v>
      </c>
      <c r="O14" s="191">
        <f t="shared" si="5"/>
        <v>0</v>
      </c>
      <c r="P14" s="185">
        <f t="shared" si="5"/>
        <v>0</v>
      </c>
      <c r="Q14" s="186">
        <f t="shared" si="5"/>
        <v>0</v>
      </c>
      <c r="R14" s="186">
        <f t="shared" si="5"/>
        <v>0</v>
      </c>
      <c r="S14" s="185">
        <f t="shared" si="5"/>
        <v>0</v>
      </c>
      <c r="T14" s="186">
        <f t="shared" si="5"/>
        <v>0</v>
      </c>
      <c r="U14" s="186">
        <f t="shared" si="5"/>
        <v>0</v>
      </c>
      <c r="V14" s="187">
        <f t="shared" si="5"/>
        <v>128275</v>
      </c>
      <c r="W14" s="340">
        <f t="shared" si="5"/>
        <v>0</v>
      </c>
      <c r="X14" s="186">
        <f t="shared" si="5"/>
        <v>0</v>
      </c>
      <c r="Y14" s="186">
        <f t="shared" si="5"/>
        <v>0</v>
      </c>
      <c r="Z14" s="187">
        <f t="shared" si="5"/>
        <v>0</v>
      </c>
    </row>
    <row r="15" spans="1:26" x14ac:dyDescent="0.25">
      <c r="B15" s="54"/>
      <c r="C15" s="281"/>
      <c r="D15" s="225"/>
      <c r="E15" s="225" t="s">
        <v>997</v>
      </c>
      <c r="F15" s="159">
        <v>45125</v>
      </c>
      <c r="G15" s="343">
        <v>45125</v>
      </c>
      <c r="H15" s="313">
        <v>45125</v>
      </c>
      <c r="I15" s="513">
        <v>45125</v>
      </c>
      <c r="J15" s="232">
        <f>SUM(O15:Z15)</f>
        <v>45125</v>
      </c>
      <c r="K15" s="141"/>
      <c r="L15" s="159">
        <f>SUM(J15:K15)</f>
        <v>45125</v>
      </c>
      <c r="M15" s="72">
        <f>L15</f>
        <v>45125</v>
      </c>
      <c r="N15" s="1"/>
      <c r="O15" s="72"/>
      <c r="P15" s="1"/>
      <c r="Q15" s="78"/>
      <c r="R15" s="78"/>
      <c r="S15" s="1"/>
      <c r="T15" s="78"/>
      <c r="U15" s="78"/>
      <c r="V15" s="44">
        <v>45125</v>
      </c>
      <c r="W15" s="343"/>
      <c r="X15" s="78"/>
      <c r="Y15" s="78"/>
      <c r="Z15" s="44"/>
    </row>
    <row r="16" spans="1:26" x14ac:dyDescent="0.25">
      <c r="B16" s="54"/>
      <c r="C16" s="281"/>
      <c r="D16" s="225"/>
      <c r="E16" s="225" t="s">
        <v>998</v>
      </c>
      <c r="F16" s="159">
        <v>61370</v>
      </c>
      <c r="G16" s="343">
        <v>61370</v>
      </c>
      <c r="H16" s="313">
        <v>61370</v>
      </c>
      <c r="I16" s="513">
        <v>61370</v>
      </c>
      <c r="J16" s="232">
        <f>SUM(O16:Z16)</f>
        <v>83150</v>
      </c>
      <c r="K16" s="141"/>
      <c r="L16" s="159">
        <f>SUM(J16:K16)</f>
        <v>83150</v>
      </c>
      <c r="M16" s="72"/>
      <c r="N16" s="1">
        <f>L16</f>
        <v>83150</v>
      </c>
      <c r="O16" s="72"/>
      <c r="P16" s="1"/>
      <c r="Q16" s="78"/>
      <c r="R16" s="78"/>
      <c r="S16" s="1"/>
      <c r="T16" s="78"/>
      <c r="U16" s="78"/>
      <c r="V16" s="44">
        <v>83150</v>
      </c>
      <c r="W16" s="343"/>
      <c r="X16" s="78"/>
      <c r="Y16" s="78"/>
      <c r="Z16" s="44">
        <v>0</v>
      </c>
    </row>
    <row r="17" spans="1:26" s="199" customFormat="1" ht="15" hidden="1" customHeight="1" x14ac:dyDescent="0.25">
      <c r="A17" s="118" t="s">
        <v>128</v>
      </c>
      <c r="B17" s="181" t="s">
        <v>613</v>
      </c>
      <c r="C17" s="194"/>
      <c r="D17" s="247" t="s">
        <v>129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>SUM(O17:Z17)</f>
        <v>0</v>
      </c>
      <c r="K17" s="182"/>
      <c r="L17" s="183">
        <f t="shared" si="2"/>
        <v>0</v>
      </c>
      <c r="M17" s="191"/>
      <c r="N17" s="185"/>
      <c r="O17" s="191"/>
      <c r="P17" s="185"/>
      <c r="Q17" s="186"/>
      <c r="R17" s="186"/>
      <c r="S17" s="185"/>
      <c r="T17" s="186"/>
      <c r="U17" s="186"/>
      <c r="V17" s="187"/>
      <c r="W17" s="340"/>
      <c r="X17" s="186"/>
      <c r="Y17" s="186"/>
      <c r="Z17" s="187"/>
    </row>
    <row r="18" spans="1:26" s="199" customFormat="1" ht="15" hidden="1" customHeight="1" x14ac:dyDescent="0.25">
      <c r="A18" s="118" t="s">
        <v>130</v>
      </c>
      <c r="B18" s="181" t="s">
        <v>614</v>
      </c>
      <c r="C18" s="194"/>
      <c r="D18" s="247" t="s">
        <v>131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>SUM(O18:Z18)</f>
        <v>0</v>
      </c>
      <c r="K18" s="182"/>
      <c r="L18" s="183">
        <f t="shared" si="2"/>
        <v>0</v>
      </c>
      <c r="M18" s="191"/>
      <c r="N18" s="185"/>
      <c r="O18" s="191"/>
      <c r="P18" s="185"/>
      <c r="Q18" s="186"/>
      <c r="R18" s="186"/>
      <c r="S18" s="185"/>
      <c r="T18" s="186"/>
      <c r="U18" s="186"/>
      <c r="V18" s="187"/>
      <c r="W18" s="340"/>
      <c r="X18" s="186"/>
      <c r="Y18" s="186"/>
      <c r="Z18" s="187"/>
    </row>
    <row r="19" spans="1:26" s="199" customFormat="1" x14ac:dyDescent="0.25">
      <c r="A19" s="118" t="s">
        <v>132</v>
      </c>
      <c r="B19" s="181" t="s">
        <v>615</v>
      </c>
      <c r="C19" s="194"/>
      <c r="D19" s="247" t="s">
        <v>133</v>
      </c>
      <c r="E19" s="247"/>
      <c r="F19" s="183">
        <v>59000</v>
      </c>
      <c r="G19" s="340">
        <v>59000</v>
      </c>
      <c r="H19" s="310">
        <v>59000</v>
      </c>
      <c r="I19" s="508">
        <v>59000</v>
      </c>
      <c r="J19" s="251">
        <f>SUM(J20:J21)</f>
        <v>59000</v>
      </c>
      <c r="K19" s="182">
        <f>SUM(K20:K21)</f>
        <v>0</v>
      </c>
      <c r="L19" s="183">
        <f>SUM(J19:K19)</f>
        <v>59000</v>
      </c>
      <c r="M19" s="191">
        <f t="shared" ref="M19:Z19" si="6">SUM(M20:M21)</f>
        <v>25000</v>
      </c>
      <c r="N19" s="185">
        <f t="shared" si="6"/>
        <v>34000</v>
      </c>
      <c r="O19" s="191">
        <f t="shared" si="6"/>
        <v>0</v>
      </c>
      <c r="P19" s="185">
        <f t="shared" si="6"/>
        <v>0</v>
      </c>
      <c r="Q19" s="186">
        <f t="shared" si="6"/>
        <v>0</v>
      </c>
      <c r="R19" s="186">
        <f t="shared" si="6"/>
        <v>59000</v>
      </c>
      <c r="S19" s="185">
        <f t="shared" si="6"/>
        <v>0</v>
      </c>
      <c r="T19" s="186">
        <f t="shared" si="6"/>
        <v>0</v>
      </c>
      <c r="U19" s="186">
        <f t="shared" si="6"/>
        <v>0</v>
      </c>
      <c r="V19" s="187">
        <f t="shared" si="6"/>
        <v>0</v>
      </c>
      <c r="W19" s="340">
        <f t="shared" si="6"/>
        <v>0</v>
      </c>
      <c r="X19" s="186">
        <f t="shared" si="6"/>
        <v>0</v>
      </c>
      <c r="Y19" s="186">
        <f t="shared" si="6"/>
        <v>0</v>
      </c>
      <c r="Z19" s="187">
        <f t="shared" si="6"/>
        <v>0</v>
      </c>
    </row>
    <row r="20" spans="1:26" x14ac:dyDescent="0.25">
      <c r="B20" s="54"/>
      <c r="C20" s="281"/>
      <c r="D20" s="225"/>
      <c r="E20" s="225" t="s">
        <v>997</v>
      </c>
      <c r="F20" s="159">
        <v>25000</v>
      </c>
      <c r="G20" s="343">
        <v>25000</v>
      </c>
      <c r="H20" s="313">
        <v>25000</v>
      </c>
      <c r="I20" s="513">
        <v>25000</v>
      </c>
      <c r="J20" s="232">
        <f>SUM(O20:Z20)</f>
        <v>25000</v>
      </c>
      <c r="K20" s="141"/>
      <c r="L20" s="159">
        <f t="shared" si="2"/>
        <v>25000</v>
      </c>
      <c r="M20" s="72">
        <f>L20</f>
        <v>25000</v>
      </c>
      <c r="N20" s="1"/>
      <c r="O20" s="72"/>
      <c r="P20" s="1"/>
      <c r="Q20" s="78"/>
      <c r="R20" s="78">
        <v>25000</v>
      </c>
      <c r="S20" s="1"/>
      <c r="T20" s="78"/>
      <c r="U20" s="78"/>
      <c r="V20" s="44"/>
      <c r="W20" s="343"/>
      <c r="X20" s="78"/>
      <c r="Y20" s="78"/>
      <c r="Z20" s="44"/>
    </row>
    <row r="21" spans="1:26" x14ac:dyDescent="0.25">
      <c r="B21" s="54"/>
      <c r="C21" s="281"/>
      <c r="D21" s="225"/>
      <c r="E21" s="225" t="s">
        <v>998</v>
      </c>
      <c r="F21" s="159">
        <v>34000</v>
      </c>
      <c r="G21" s="343">
        <v>34000</v>
      </c>
      <c r="H21" s="313">
        <v>34000</v>
      </c>
      <c r="I21" s="513">
        <v>34000</v>
      </c>
      <c r="J21" s="232">
        <f>SUM(O21:Z21)</f>
        <v>34000</v>
      </c>
      <c r="K21" s="141"/>
      <c r="L21" s="159">
        <f t="shared" si="2"/>
        <v>34000</v>
      </c>
      <c r="M21" s="72"/>
      <c r="N21" s="1">
        <f>L21</f>
        <v>34000</v>
      </c>
      <c r="O21" s="72"/>
      <c r="P21" s="1"/>
      <c r="Q21" s="78"/>
      <c r="R21" s="78">
        <v>34000</v>
      </c>
      <c r="S21" s="1"/>
      <c r="T21" s="78"/>
      <c r="U21" s="78"/>
      <c r="V21" s="44"/>
      <c r="W21" s="343"/>
      <c r="X21" s="78"/>
      <c r="Y21" s="78"/>
      <c r="Z21" s="44"/>
    </row>
    <row r="22" spans="1:26" s="199" customFormat="1" x14ac:dyDescent="0.25">
      <c r="A22" s="118" t="s">
        <v>134</v>
      </c>
      <c r="B22" s="181" t="s">
        <v>616</v>
      </c>
      <c r="C22" s="194"/>
      <c r="D22" s="247" t="s">
        <v>135</v>
      </c>
      <c r="E22" s="247"/>
      <c r="F22" s="183">
        <v>14750</v>
      </c>
      <c r="G22" s="340">
        <v>14750</v>
      </c>
      <c r="H22" s="310">
        <v>14750</v>
      </c>
      <c r="I22" s="508">
        <v>14750</v>
      </c>
      <c r="J22" s="251">
        <f>SUM(J23:J24)</f>
        <v>14750</v>
      </c>
      <c r="K22" s="182">
        <f>SUM(K23:K24)</f>
        <v>0</v>
      </c>
      <c r="L22" s="183">
        <f>SUM(J22:K22)</f>
        <v>14750</v>
      </c>
      <c r="M22" s="191">
        <f>SUM(M23:M24)</f>
        <v>6250</v>
      </c>
      <c r="N22" s="185">
        <f t="shared" ref="N22:Z22" si="7">SUM(N23:N24)</f>
        <v>8500</v>
      </c>
      <c r="O22" s="191">
        <f>SUM(O23:O24)</f>
        <v>0</v>
      </c>
      <c r="P22" s="185">
        <f t="shared" si="7"/>
        <v>0</v>
      </c>
      <c r="Q22" s="186">
        <f t="shared" si="7"/>
        <v>0</v>
      </c>
      <c r="R22" s="186">
        <f t="shared" si="7"/>
        <v>0</v>
      </c>
      <c r="S22" s="185">
        <f t="shared" si="7"/>
        <v>0</v>
      </c>
      <c r="T22" s="186">
        <f t="shared" si="7"/>
        <v>0</v>
      </c>
      <c r="U22" s="186">
        <f t="shared" si="7"/>
        <v>0</v>
      </c>
      <c r="V22" s="187">
        <f>SUM(V23:V24)</f>
        <v>14750</v>
      </c>
      <c r="W22" s="340">
        <f t="shared" si="7"/>
        <v>0</v>
      </c>
      <c r="X22" s="186">
        <f t="shared" si="7"/>
        <v>0</v>
      </c>
      <c r="Y22" s="186">
        <f t="shared" si="7"/>
        <v>0</v>
      </c>
      <c r="Z22" s="187">
        <f t="shared" si="7"/>
        <v>0</v>
      </c>
    </row>
    <row r="23" spans="1:26" x14ac:dyDescent="0.25">
      <c r="B23" s="54"/>
      <c r="C23" s="281"/>
      <c r="D23" s="225"/>
      <c r="E23" s="225" t="s">
        <v>997</v>
      </c>
      <c r="F23" s="159">
        <v>6250</v>
      </c>
      <c r="G23" s="343">
        <v>6250</v>
      </c>
      <c r="H23" s="313">
        <v>6250</v>
      </c>
      <c r="I23" s="513">
        <v>6250</v>
      </c>
      <c r="J23" s="232">
        <f t="shared" ref="J23:J28" si="8">SUM(O23:Z23)</f>
        <v>6250</v>
      </c>
      <c r="K23" s="141"/>
      <c r="L23" s="159">
        <f>SUM(J23:K23)</f>
        <v>6250</v>
      </c>
      <c r="M23" s="72">
        <f>L23</f>
        <v>6250</v>
      </c>
      <c r="N23" s="1"/>
      <c r="O23" s="72"/>
      <c r="P23" s="1"/>
      <c r="Q23" s="78"/>
      <c r="R23" s="78"/>
      <c r="S23" s="1"/>
      <c r="T23" s="78"/>
      <c r="U23" s="78"/>
      <c r="V23" s="44">
        <v>6250</v>
      </c>
      <c r="W23" s="343"/>
      <c r="X23" s="78"/>
      <c r="Y23" s="78"/>
      <c r="Z23" s="44"/>
    </row>
    <row r="24" spans="1:26" ht="15.75" thickBot="1" x14ac:dyDescent="0.3">
      <c r="B24" s="54"/>
      <c r="C24" s="281"/>
      <c r="D24" s="225"/>
      <c r="E24" s="225" t="s">
        <v>998</v>
      </c>
      <c r="F24" s="159">
        <v>8500</v>
      </c>
      <c r="G24" s="343">
        <v>8500</v>
      </c>
      <c r="H24" s="313">
        <v>8500</v>
      </c>
      <c r="I24" s="513">
        <v>8500</v>
      </c>
      <c r="J24" s="232">
        <f t="shared" si="8"/>
        <v>8500</v>
      </c>
      <c r="K24" s="141"/>
      <c r="L24" s="159">
        <f>SUM(J24:K24)</f>
        <v>8500</v>
      </c>
      <c r="M24" s="72"/>
      <c r="N24" s="1">
        <f>L24</f>
        <v>8500</v>
      </c>
      <c r="O24" s="72"/>
      <c r="P24" s="1"/>
      <c r="Q24" s="78"/>
      <c r="R24" s="78"/>
      <c r="S24" s="1"/>
      <c r="T24" s="78"/>
      <c r="U24" s="78"/>
      <c r="V24" s="44">
        <v>8500</v>
      </c>
      <c r="W24" s="343"/>
      <c r="X24" s="78"/>
      <c r="Y24" s="78"/>
      <c r="Z24" s="44"/>
    </row>
    <row r="25" spans="1:26" s="199" customFormat="1" ht="15" hidden="1" customHeight="1" x14ac:dyDescent="0.25">
      <c r="A25" s="118" t="s">
        <v>136</v>
      </c>
      <c r="B25" s="181" t="s">
        <v>617</v>
      </c>
      <c r="C25" s="194"/>
      <c r="D25" s="247" t="s">
        <v>137</v>
      </c>
      <c r="E25" s="247"/>
      <c r="F25" s="183">
        <v>0</v>
      </c>
      <c r="G25" s="340">
        <v>0</v>
      </c>
      <c r="H25" s="310">
        <v>0</v>
      </c>
      <c r="I25" s="508">
        <v>0</v>
      </c>
      <c r="J25" s="251">
        <f t="shared" si="8"/>
        <v>0</v>
      </c>
      <c r="K25" s="182"/>
      <c r="L25" s="183">
        <f t="shared" si="2"/>
        <v>0</v>
      </c>
      <c r="M25" s="191"/>
      <c r="N25" s="185"/>
      <c r="O25" s="191"/>
      <c r="P25" s="185"/>
      <c r="Q25" s="186"/>
      <c r="R25" s="186"/>
      <c r="S25" s="185"/>
      <c r="T25" s="186"/>
      <c r="U25" s="186"/>
      <c r="V25" s="187"/>
      <c r="W25" s="340"/>
      <c r="X25" s="186"/>
      <c r="Y25" s="186"/>
      <c r="Z25" s="187"/>
    </row>
    <row r="26" spans="1:26" s="199" customFormat="1" ht="15" hidden="1" customHeight="1" x14ac:dyDescent="0.25">
      <c r="A26" s="118" t="s">
        <v>138</v>
      </c>
      <c r="B26" s="181" t="s">
        <v>618</v>
      </c>
      <c r="C26" s="194"/>
      <c r="D26" s="247" t="s">
        <v>139</v>
      </c>
      <c r="E26" s="247"/>
      <c r="F26" s="183">
        <v>0</v>
      </c>
      <c r="G26" s="340">
        <v>0</v>
      </c>
      <c r="H26" s="310">
        <v>0</v>
      </c>
      <c r="I26" s="508">
        <v>0</v>
      </c>
      <c r="J26" s="251">
        <f t="shared" si="8"/>
        <v>0</v>
      </c>
      <c r="K26" s="182"/>
      <c r="L26" s="183">
        <f t="shared" si="2"/>
        <v>0</v>
      </c>
      <c r="M26" s="191"/>
      <c r="N26" s="185"/>
      <c r="O26" s="191"/>
      <c r="P26" s="185"/>
      <c r="Q26" s="186"/>
      <c r="R26" s="186"/>
      <c r="S26" s="185"/>
      <c r="T26" s="186"/>
      <c r="U26" s="186"/>
      <c r="V26" s="187"/>
      <c r="W26" s="340"/>
      <c r="X26" s="186"/>
      <c r="Y26" s="186"/>
      <c r="Z26" s="187"/>
    </row>
    <row r="27" spans="1:26" s="199" customFormat="1" ht="15" hidden="1" customHeight="1" x14ac:dyDescent="0.25">
      <c r="A27" s="118" t="s">
        <v>140</v>
      </c>
      <c r="B27" s="181" t="s">
        <v>619</v>
      </c>
      <c r="C27" s="194"/>
      <c r="D27" s="247" t="s">
        <v>141</v>
      </c>
      <c r="E27" s="247"/>
      <c r="F27" s="183">
        <v>0</v>
      </c>
      <c r="G27" s="340">
        <v>0</v>
      </c>
      <c r="H27" s="310">
        <v>0</v>
      </c>
      <c r="I27" s="508">
        <v>0</v>
      </c>
      <c r="J27" s="251">
        <f t="shared" si="8"/>
        <v>0</v>
      </c>
      <c r="K27" s="182"/>
      <c r="L27" s="183">
        <f t="shared" si="2"/>
        <v>0</v>
      </c>
      <c r="M27" s="191"/>
      <c r="N27" s="185"/>
      <c r="O27" s="191"/>
      <c r="P27" s="185"/>
      <c r="Q27" s="186"/>
      <c r="R27" s="186"/>
      <c r="S27" s="185"/>
      <c r="T27" s="186"/>
      <c r="U27" s="186"/>
      <c r="V27" s="187"/>
      <c r="W27" s="340"/>
      <c r="X27" s="186"/>
      <c r="Y27" s="186"/>
      <c r="Z27" s="187"/>
    </row>
    <row r="28" spans="1:26" s="199" customFormat="1" ht="15" hidden="1" customHeight="1" x14ac:dyDescent="0.25">
      <c r="A28" s="118" t="s">
        <v>142</v>
      </c>
      <c r="B28" s="181" t="s">
        <v>620</v>
      </c>
      <c r="C28" s="194"/>
      <c r="D28" s="247" t="s">
        <v>143</v>
      </c>
      <c r="E28" s="247"/>
      <c r="F28" s="183">
        <v>0</v>
      </c>
      <c r="G28" s="340">
        <v>0</v>
      </c>
      <c r="H28" s="310">
        <v>0</v>
      </c>
      <c r="I28" s="508">
        <v>0</v>
      </c>
      <c r="J28" s="251">
        <f t="shared" si="8"/>
        <v>0</v>
      </c>
      <c r="K28" s="182"/>
      <c r="L28" s="183">
        <f t="shared" si="2"/>
        <v>0</v>
      </c>
      <c r="M28" s="191"/>
      <c r="N28" s="185"/>
      <c r="O28" s="191"/>
      <c r="P28" s="185"/>
      <c r="Q28" s="186"/>
      <c r="R28" s="186"/>
      <c r="S28" s="185"/>
      <c r="T28" s="186"/>
      <c r="U28" s="186"/>
      <c r="V28" s="187"/>
      <c r="W28" s="340"/>
      <c r="X28" s="186"/>
      <c r="Y28" s="186"/>
      <c r="Z28" s="187"/>
    </row>
    <row r="29" spans="1:26" s="199" customFormat="1" ht="15" hidden="1" customHeight="1" x14ac:dyDescent="0.25">
      <c r="A29" s="118" t="s">
        <v>144</v>
      </c>
      <c r="B29" s="181" t="s">
        <v>621</v>
      </c>
      <c r="C29" s="194"/>
      <c r="D29" s="247" t="s">
        <v>145</v>
      </c>
      <c r="E29" s="247"/>
      <c r="F29" s="183">
        <v>0</v>
      </c>
      <c r="G29" s="340">
        <v>0</v>
      </c>
      <c r="H29" s="310">
        <v>0</v>
      </c>
      <c r="I29" s="508">
        <v>0</v>
      </c>
      <c r="J29" s="251">
        <f>SUM(J30:J31)</f>
        <v>0</v>
      </c>
      <c r="K29" s="182"/>
      <c r="L29" s="183">
        <f>SUM(J29:K29)</f>
        <v>0</v>
      </c>
      <c r="M29" s="191">
        <f>M30+M31</f>
        <v>0</v>
      </c>
      <c r="N29" s="184">
        <f>N30+N31</f>
        <v>0</v>
      </c>
      <c r="O29" s="191"/>
      <c r="P29" s="185"/>
      <c r="Q29" s="186"/>
      <c r="R29" s="186"/>
      <c r="S29" s="185"/>
      <c r="T29" s="186"/>
      <c r="U29" s="186"/>
      <c r="V29" s="187"/>
      <c r="W29" s="340">
        <f>W30+W31</f>
        <v>0</v>
      </c>
      <c r="X29" s="186"/>
      <c r="Y29" s="186"/>
      <c r="Z29" s="187"/>
    </row>
    <row r="30" spans="1:26" s="199" customFormat="1" ht="15" hidden="1" customHeight="1" x14ac:dyDescent="0.25">
      <c r="A30" s="118"/>
      <c r="B30" s="181"/>
      <c r="C30" s="281"/>
      <c r="D30" s="225"/>
      <c r="E30" s="225" t="s">
        <v>997</v>
      </c>
      <c r="F30" s="159">
        <v>0</v>
      </c>
      <c r="G30" s="343">
        <v>0</v>
      </c>
      <c r="H30" s="313">
        <v>0</v>
      </c>
      <c r="I30" s="513">
        <v>0</v>
      </c>
      <c r="J30" s="232">
        <f t="shared" ref="J30:J35" si="9">SUM(O30:Z30)</f>
        <v>0</v>
      </c>
      <c r="K30" s="182"/>
      <c r="L30" s="159">
        <f>SUM(J30:K30)</f>
        <v>0</v>
      </c>
      <c r="M30" s="191">
        <f>L30</f>
        <v>0</v>
      </c>
      <c r="N30" s="185"/>
      <c r="O30" s="191"/>
      <c r="P30" s="185"/>
      <c r="Q30" s="186"/>
      <c r="R30" s="186"/>
      <c r="S30" s="185"/>
      <c r="T30" s="186"/>
      <c r="U30" s="186"/>
      <c r="V30" s="187"/>
      <c r="W30" s="343"/>
      <c r="X30" s="186"/>
      <c r="Y30" s="186"/>
      <c r="Z30" s="187"/>
    </row>
    <row r="31" spans="1:26" s="199" customFormat="1" ht="15" hidden="1" customHeight="1" x14ac:dyDescent="0.25">
      <c r="A31" s="118"/>
      <c r="B31" s="181"/>
      <c r="C31" s="281"/>
      <c r="D31" s="225"/>
      <c r="E31" s="225" t="s">
        <v>998</v>
      </c>
      <c r="F31" s="159">
        <v>0</v>
      </c>
      <c r="G31" s="343">
        <v>0</v>
      </c>
      <c r="H31" s="313">
        <v>0</v>
      </c>
      <c r="I31" s="513">
        <v>0</v>
      </c>
      <c r="J31" s="232">
        <f t="shared" si="9"/>
        <v>0</v>
      </c>
      <c r="K31" s="182"/>
      <c r="L31" s="159">
        <f>SUM(J31:K31)</f>
        <v>0</v>
      </c>
      <c r="M31" s="191"/>
      <c r="N31" s="185">
        <f>L31</f>
        <v>0</v>
      </c>
      <c r="O31" s="191"/>
      <c r="P31" s="185"/>
      <c r="Q31" s="186"/>
      <c r="R31" s="186"/>
      <c r="S31" s="185"/>
      <c r="T31" s="186"/>
      <c r="U31" s="186"/>
      <c r="V31" s="187"/>
      <c r="W31" s="343"/>
      <c r="X31" s="186"/>
      <c r="Y31" s="186"/>
      <c r="Z31" s="187"/>
    </row>
    <row r="32" spans="1:26" ht="15" hidden="1" customHeight="1" x14ac:dyDescent="0.25">
      <c r="B32" s="88" t="s">
        <v>622</v>
      </c>
      <c r="C32" s="640" t="s">
        <v>146</v>
      </c>
      <c r="D32" s="641"/>
      <c r="E32" s="641"/>
      <c r="F32" s="158">
        <v>0</v>
      </c>
      <c r="G32" s="341">
        <v>0</v>
      </c>
      <c r="H32" s="311">
        <v>0</v>
      </c>
      <c r="I32" s="509">
        <v>0</v>
      </c>
      <c r="J32" s="232">
        <f t="shared" si="9"/>
        <v>0</v>
      </c>
      <c r="K32" s="142">
        <f t="shared" ref="K32:Z32" si="10">K33+K34+K35</f>
        <v>0</v>
      </c>
      <c r="L32" s="158">
        <f t="shared" si="2"/>
        <v>0</v>
      </c>
      <c r="M32" s="90">
        <f>M33+M34+M35</f>
        <v>0</v>
      </c>
      <c r="N32" s="91">
        <f>N33+N34+N35</f>
        <v>0</v>
      </c>
      <c r="O32" s="90">
        <f t="shared" si="10"/>
        <v>0</v>
      </c>
      <c r="P32" s="91">
        <f t="shared" si="10"/>
        <v>0</v>
      </c>
      <c r="Q32" s="94">
        <f t="shared" si="10"/>
        <v>0</v>
      </c>
      <c r="R32" s="94">
        <f t="shared" si="10"/>
        <v>0</v>
      </c>
      <c r="S32" s="91">
        <f t="shared" si="10"/>
        <v>0</v>
      </c>
      <c r="T32" s="94">
        <f t="shared" si="10"/>
        <v>0</v>
      </c>
      <c r="U32" s="94">
        <f t="shared" si="10"/>
        <v>0</v>
      </c>
      <c r="V32" s="261">
        <f t="shared" si="10"/>
        <v>0</v>
      </c>
      <c r="W32" s="346">
        <f t="shared" si="10"/>
        <v>0</v>
      </c>
      <c r="X32" s="94">
        <f t="shared" si="10"/>
        <v>0</v>
      </c>
      <c r="Y32" s="94">
        <f t="shared" si="10"/>
        <v>0</v>
      </c>
      <c r="Z32" s="95">
        <f t="shared" si="10"/>
        <v>0</v>
      </c>
    </row>
    <row r="33" spans="1:26" s="41" customFormat="1" ht="15" hidden="1" customHeight="1" x14ac:dyDescent="0.25">
      <c r="A33" s="118" t="s">
        <v>147</v>
      </c>
      <c r="B33" s="53" t="s">
        <v>623</v>
      </c>
      <c r="C33" s="642" t="s">
        <v>148</v>
      </c>
      <c r="D33" s="643"/>
      <c r="E33" s="643"/>
      <c r="F33" s="160">
        <v>0</v>
      </c>
      <c r="G33" s="342">
        <v>0</v>
      </c>
      <c r="H33" s="312">
        <v>0</v>
      </c>
      <c r="I33" s="510">
        <v>0</v>
      </c>
      <c r="J33" s="232">
        <f t="shared" si="9"/>
        <v>0</v>
      </c>
      <c r="K33" s="148"/>
      <c r="L33" s="160">
        <f t="shared" si="2"/>
        <v>0</v>
      </c>
      <c r="M33" s="74"/>
      <c r="N33" s="13"/>
      <c r="O33" s="74"/>
      <c r="P33" s="13"/>
      <c r="Q33" s="79"/>
      <c r="R33" s="79"/>
      <c r="S33" s="13"/>
      <c r="T33" s="79"/>
      <c r="U33" s="79"/>
      <c r="V33" s="45"/>
      <c r="W33" s="342"/>
      <c r="X33" s="79"/>
      <c r="Y33" s="79"/>
      <c r="Z33" s="45"/>
    </row>
    <row r="34" spans="1:26" s="41" customFormat="1" ht="25.5" hidden="1" customHeight="1" x14ac:dyDescent="0.25">
      <c r="A34" s="118" t="s">
        <v>149</v>
      </c>
      <c r="B34" s="53" t="s">
        <v>624</v>
      </c>
      <c r="C34" s="644" t="s">
        <v>875</v>
      </c>
      <c r="D34" s="645"/>
      <c r="E34" s="645"/>
      <c r="F34" s="160">
        <v>0</v>
      </c>
      <c r="G34" s="342">
        <v>0</v>
      </c>
      <c r="H34" s="312">
        <v>0</v>
      </c>
      <c r="I34" s="510">
        <v>0</v>
      </c>
      <c r="J34" s="232">
        <f t="shared" si="9"/>
        <v>0</v>
      </c>
      <c r="K34" s="148"/>
      <c r="L34" s="160">
        <f t="shared" si="2"/>
        <v>0</v>
      </c>
      <c r="M34" s="74"/>
      <c r="N34" s="13"/>
      <c r="O34" s="74"/>
      <c r="P34" s="13"/>
      <c r="Q34" s="79"/>
      <c r="R34" s="79"/>
      <c r="S34" s="13"/>
      <c r="T34" s="79"/>
      <c r="U34" s="79"/>
      <c r="V34" s="45"/>
      <c r="W34" s="342"/>
      <c r="X34" s="79"/>
      <c r="Y34" s="79"/>
      <c r="Z34" s="45"/>
    </row>
    <row r="35" spans="1:26" s="41" customFormat="1" ht="15.75" hidden="1" customHeight="1" thickBot="1" x14ac:dyDescent="0.3">
      <c r="A35" s="118" t="s">
        <v>150</v>
      </c>
      <c r="B35" s="188" t="s">
        <v>625</v>
      </c>
      <c r="C35" s="687" t="s">
        <v>151</v>
      </c>
      <c r="D35" s="688"/>
      <c r="E35" s="688"/>
      <c r="F35" s="160">
        <v>0</v>
      </c>
      <c r="G35" s="347">
        <v>0</v>
      </c>
      <c r="H35" s="319">
        <v>0</v>
      </c>
      <c r="I35" s="511">
        <v>0</v>
      </c>
      <c r="J35" s="252">
        <f t="shared" si="9"/>
        <v>0</v>
      </c>
      <c r="K35" s="189"/>
      <c r="L35" s="160">
        <f t="shared" si="2"/>
        <v>0</v>
      </c>
      <c r="M35" s="74"/>
      <c r="N35" s="13"/>
      <c r="O35" s="74"/>
      <c r="P35" s="13"/>
      <c r="Q35" s="79"/>
      <c r="R35" s="79"/>
      <c r="S35" s="13"/>
      <c r="T35" s="79"/>
      <c r="U35" s="79"/>
      <c r="V35" s="45"/>
      <c r="W35" s="342"/>
      <c r="X35" s="79"/>
      <c r="Y35" s="79"/>
      <c r="Z35" s="45"/>
    </row>
    <row r="36" spans="1:26" ht="15.75" thickBot="1" x14ac:dyDescent="0.3">
      <c r="A36" s="118" t="s">
        <v>964</v>
      </c>
      <c r="B36" s="81" t="s">
        <v>152</v>
      </c>
      <c r="C36" s="660" t="s">
        <v>802</v>
      </c>
      <c r="D36" s="660"/>
      <c r="E36" s="648"/>
      <c r="F36" s="156">
        <v>505250.02499999997</v>
      </c>
      <c r="G36" s="338">
        <v>505250.02499999997</v>
      </c>
      <c r="H36" s="308">
        <v>503332.02499999997</v>
      </c>
      <c r="I36" s="506">
        <v>503332.27499999997</v>
      </c>
      <c r="J36" s="235">
        <f>J37+J40+J41+J42+J45+J46+J47</f>
        <v>369859.35</v>
      </c>
      <c r="K36" s="144">
        <f t="shared" ref="K36:Z36" si="11">K37+K40+K41+K42+K45+K46+K47</f>
        <v>0</v>
      </c>
      <c r="L36" s="156">
        <f t="shared" si="2"/>
        <v>369859.35</v>
      </c>
      <c r="M36" s="82">
        <f>M37+M40+M41+M42+M45+M46+M47</f>
        <v>163000.5</v>
      </c>
      <c r="N36" s="83">
        <f>N37+N40+N41+N42+N45+N46+N47</f>
        <v>206858.84999999998</v>
      </c>
      <c r="O36" s="82">
        <f t="shared" si="11"/>
        <v>20898</v>
      </c>
      <c r="P36" s="83">
        <f t="shared" si="11"/>
        <v>20767.150000000001</v>
      </c>
      <c r="Q36" s="86">
        <f t="shared" si="11"/>
        <v>20767</v>
      </c>
      <c r="R36" s="86">
        <f t="shared" si="11"/>
        <v>40957.15</v>
      </c>
      <c r="S36" s="83">
        <f t="shared" si="11"/>
        <v>20767.150000000001</v>
      </c>
      <c r="T36" s="86">
        <f t="shared" si="11"/>
        <v>20767.150000000001</v>
      </c>
      <c r="U36" s="86">
        <f t="shared" si="11"/>
        <v>20767.150000000001</v>
      </c>
      <c r="V36" s="87">
        <f t="shared" si="11"/>
        <v>26772</v>
      </c>
      <c r="W36" s="338">
        <f t="shared" si="11"/>
        <v>20765.525000000001</v>
      </c>
      <c r="X36" s="86">
        <f t="shared" si="11"/>
        <v>20766.525000000001</v>
      </c>
      <c r="Y36" s="86">
        <f t="shared" si="11"/>
        <v>79901.524999999994</v>
      </c>
      <c r="Z36" s="87">
        <f t="shared" si="11"/>
        <v>55963.025000000001</v>
      </c>
    </row>
    <row r="37" spans="1:26" s="199" customFormat="1" x14ac:dyDescent="0.25">
      <c r="A37" s="280"/>
      <c r="B37" s="291"/>
      <c r="C37" s="738" t="s">
        <v>154</v>
      </c>
      <c r="D37" s="739"/>
      <c r="E37" s="739"/>
      <c r="F37" s="183">
        <v>476990.02499999997</v>
      </c>
      <c r="G37" s="340">
        <v>476990.02499999997</v>
      </c>
      <c r="H37" s="310">
        <v>476701.02499999997</v>
      </c>
      <c r="I37" s="508">
        <v>476701.27499999997</v>
      </c>
      <c r="J37" s="251">
        <f>SUM(J38:J39)</f>
        <v>343664.35</v>
      </c>
      <c r="K37" s="182">
        <f>SUM(K38:K39)</f>
        <v>0</v>
      </c>
      <c r="L37" s="183">
        <f t="shared" si="2"/>
        <v>343664.35</v>
      </c>
      <c r="M37" s="191">
        <f t="shared" ref="M37:Z37" si="12">SUM(M38:M39)</f>
        <v>151901.5</v>
      </c>
      <c r="N37" s="185">
        <f t="shared" si="12"/>
        <v>191762.84999999998</v>
      </c>
      <c r="O37" s="191">
        <f t="shared" si="12"/>
        <v>20898</v>
      </c>
      <c r="P37" s="185">
        <f t="shared" si="12"/>
        <v>20767.150000000001</v>
      </c>
      <c r="Q37" s="186">
        <f t="shared" si="12"/>
        <v>20767</v>
      </c>
      <c r="R37" s="186">
        <f t="shared" si="12"/>
        <v>20767.150000000001</v>
      </c>
      <c r="S37" s="185">
        <f t="shared" si="12"/>
        <v>20767.150000000001</v>
      </c>
      <c r="T37" s="186">
        <f t="shared" si="12"/>
        <v>20767.150000000001</v>
      </c>
      <c r="U37" s="186">
        <f t="shared" si="12"/>
        <v>20767.150000000001</v>
      </c>
      <c r="V37" s="187">
        <f>SUM(V38:V39)</f>
        <v>20767</v>
      </c>
      <c r="W37" s="340">
        <f t="shared" si="12"/>
        <v>20765.525000000001</v>
      </c>
      <c r="X37" s="186">
        <f t="shared" si="12"/>
        <v>20766.525000000001</v>
      </c>
      <c r="Y37" s="186">
        <f t="shared" si="12"/>
        <v>79901.524999999994</v>
      </c>
      <c r="Z37" s="187">
        <f t="shared" si="12"/>
        <v>55963.025000000001</v>
      </c>
    </row>
    <row r="38" spans="1:26" x14ac:dyDescent="0.25">
      <c r="B38" s="59"/>
      <c r="C38" s="275"/>
      <c r="D38" s="276" t="s">
        <v>997</v>
      </c>
      <c r="E38" s="276"/>
      <c r="F38" s="159">
        <v>214323.875</v>
      </c>
      <c r="G38" s="343">
        <v>214323.875</v>
      </c>
      <c r="H38" s="313">
        <v>201991.875</v>
      </c>
      <c r="I38" s="513">
        <v>201992.125</v>
      </c>
      <c r="J38" s="232">
        <f>SUM(O38:Z38)</f>
        <v>151901.5</v>
      </c>
      <c r="K38" s="141"/>
      <c r="L38" s="159">
        <f t="shared" si="2"/>
        <v>151901.5</v>
      </c>
      <c r="M38" s="72">
        <f>L38</f>
        <v>151901.5</v>
      </c>
      <c r="N38" s="1"/>
      <c r="O38" s="72">
        <v>8855</v>
      </c>
      <c r="P38" s="1">
        <v>8800</v>
      </c>
      <c r="Q38" s="78">
        <v>8800</v>
      </c>
      <c r="R38" s="78">
        <v>8800</v>
      </c>
      <c r="S38" s="78">
        <v>8800</v>
      </c>
      <c r="T38" s="78">
        <v>8800</v>
      </c>
      <c r="U38" s="78">
        <v>8800</v>
      </c>
      <c r="V38" s="44">
        <v>8800</v>
      </c>
      <c r="W38" s="42">
        <f>W8*0.195-1</f>
        <v>8798.375</v>
      </c>
      <c r="X38" s="1">
        <f>X8*0.195</f>
        <v>8799.375</v>
      </c>
      <c r="Y38" s="1">
        <f>Y8*0.195+41199-14449</f>
        <v>35549.375</v>
      </c>
      <c r="Z38" s="44">
        <f>(Z8+Z11+Z15)*0.195</f>
        <v>28299.375</v>
      </c>
    </row>
    <row r="39" spans="1:26" x14ac:dyDescent="0.25">
      <c r="B39" s="59"/>
      <c r="C39" s="275"/>
      <c r="D39" s="276" t="s">
        <v>998</v>
      </c>
      <c r="E39" s="276"/>
      <c r="F39" s="159">
        <v>262666.14999999997</v>
      </c>
      <c r="G39" s="343">
        <v>262666.14999999997</v>
      </c>
      <c r="H39" s="313">
        <v>274709.14999999997</v>
      </c>
      <c r="I39" s="513">
        <v>274709.14999999997</v>
      </c>
      <c r="J39" s="232">
        <f>SUM(O39:Z39)</f>
        <v>191762.84999999998</v>
      </c>
      <c r="K39" s="141"/>
      <c r="L39" s="159">
        <f t="shared" si="2"/>
        <v>191762.84999999998</v>
      </c>
      <c r="M39" s="72"/>
      <c r="N39" s="1">
        <f>L39</f>
        <v>191762.84999999998</v>
      </c>
      <c r="O39" s="72">
        <v>12043</v>
      </c>
      <c r="P39" s="1">
        <f>P9*0.195</f>
        <v>11967.15</v>
      </c>
      <c r="Q39" s="78">
        <v>11967</v>
      </c>
      <c r="R39" s="78">
        <f>R9*0.195</f>
        <v>11967.15</v>
      </c>
      <c r="S39" s="1">
        <f t="shared" ref="S39:X39" si="13">S9*0.195</f>
        <v>11967.15</v>
      </c>
      <c r="T39" s="78">
        <f t="shared" si="13"/>
        <v>11967.15</v>
      </c>
      <c r="U39" s="78">
        <f t="shared" si="13"/>
        <v>11967.15</v>
      </c>
      <c r="V39" s="44">
        <v>11967</v>
      </c>
      <c r="W39" s="42">
        <f t="shared" si="13"/>
        <v>11967.15</v>
      </c>
      <c r="X39" s="1">
        <f t="shared" si="13"/>
        <v>11967.15</v>
      </c>
      <c r="Y39" s="1">
        <f>Y9*0.195+56033-23648</f>
        <v>44352.149999999994</v>
      </c>
      <c r="Z39" s="44">
        <f>(Z9+Z12+Z16)*0.195-1</f>
        <v>27663.65</v>
      </c>
    </row>
    <row r="40" spans="1:26" ht="15" hidden="1" customHeight="1" x14ac:dyDescent="0.25">
      <c r="B40" s="60"/>
      <c r="C40" s="702" t="s">
        <v>155</v>
      </c>
      <c r="D40" s="703"/>
      <c r="E40" s="703"/>
      <c r="F40" s="159">
        <v>0</v>
      </c>
      <c r="G40" s="343">
        <v>0</v>
      </c>
      <c r="H40" s="313">
        <v>0</v>
      </c>
      <c r="I40" s="513">
        <v>0</v>
      </c>
      <c r="J40" s="237">
        <f t="shared" ref="J40:J46" si="14">SUM(O40:Z40)</f>
        <v>0</v>
      </c>
      <c r="K40" s="146"/>
      <c r="L40" s="159">
        <f t="shared" si="2"/>
        <v>0</v>
      </c>
      <c r="M40" s="72"/>
      <c r="N40" s="1"/>
      <c r="O40" s="72"/>
      <c r="P40" s="1"/>
      <c r="Q40" s="78"/>
      <c r="R40" s="78"/>
      <c r="S40" s="1"/>
      <c r="T40" s="78"/>
      <c r="U40" s="78"/>
      <c r="V40" s="44"/>
      <c r="W40" s="343"/>
      <c r="X40" s="78"/>
      <c r="Y40" s="78"/>
      <c r="Z40" s="44"/>
    </row>
    <row r="41" spans="1:26" ht="15" hidden="1" customHeight="1" x14ac:dyDescent="0.25">
      <c r="B41" s="60"/>
      <c r="C41" s="702" t="s">
        <v>156</v>
      </c>
      <c r="D41" s="703"/>
      <c r="E41" s="703"/>
      <c r="F41" s="159">
        <v>0</v>
      </c>
      <c r="G41" s="343">
        <v>0</v>
      </c>
      <c r="H41" s="313">
        <v>0</v>
      </c>
      <c r="I41" s="513">
        <v>0</v>
      </c>
      <c r="J41" s="237">
        <f t="shared" si="14"/>
        <v>0</v>
      </c>
      <c r="K41" s="146"/>
      <c r="L41" s="159">
        <f t="shared" si="2"/>
        <v>0</v>
      </c>
      <c r="M41" s="72"/>
      <c r="N41" s="1"/>
      <c r="O41" s="72"/>
      <c r="P41" s="1"/>
      <c r="Q41" s="78"/>
      <c r="R41" s="78"/>
      <c r="S41" s="1"/>
      <c r="T41" s="78"/>
      <c r="U41" s="78"/>
      <c r="V41" s="44"/>
      <c r="W41" s="343"/>
      <c r="X41" s="78"/>
      <c r="Y41" s="78"/>
      <c r="Z41" s="44"/>
    </row>
    <row r="42" spans="1:26" s="199" customFormat="1" x14ac:dyDescent="0.25">
      <c r="A42" s="280"/>
      <c r="B42" s="292"/>
      <c r="C42" s="736" t="s">
        <v>157</v>
      </c>
      <c r="D42" s="737"/>
      <c r="E42" s="737"/>
      <c r="F42" s="183">
        <v>14363</v>
      </c>
      <c r="G42" s="340">
        <v>14363</v>
      </c>
      <c r="H42" s="310">
        <v>13577</v>
      </c>
      <c r="I42" s="508">
        <v>13577</v>
      </c>
      <c r="J42" s="251">
        <f>SUM(J43:J44)</f>
        <v>13141</v>
      </c>
      <c r="K42" s="182">
        <f>SUM(K43:K44)</f>
        <v>0</v>
      </c>
      <c r="L42" s="183">
        <f t="shared" si="2"/>
        <v>13141</v>
      </c>
      <c r="M42" s="191">
        <f t="shared" ref="M42:Z42" si="15">SUM(M43:M44)</f>
        <v>5568</v>
      </c>
      <c r="N42" s="185">
        <f t="shared" si="15"/>
        <v>7573</v>
      </c>
      <c r="O42" s="191">
        <f t="shared" si="15"/>
        <v>0</v>
      </c>
      <c r="P42" s="185">
        <f t="shared" si="15"/>
        <v>0</v>
      </c>
      <c r="Q42" s="186">
        <f t="shared" si="15"/>
        <v>0</v>
      </c>
      <c r="R42" s="186">
        <f t="shared" si="15"/>
        <v>9747</v>
      </c>
      <c r="S42" s="185">
        <f t="shared" si="15"/>
        <v>0</v>
      </c>
      <c r="T42" s="186">
        <f t="shared" si="15"/>
        <v>0</v>
      </c>
      <c r="U42" s="186">
        <f t="shared" si="15"/>
        <v>0</v>
      </c>
      <c r="V42" s="187">
        <f t="shared" si="15"/>
        <v>3394</v>
      </c>
      <c r="W42" s="340">
        <f t="shared" si="15"/>
        <v>0</v>
      </c>
      <c r="X42" s="186">
        <f t="shared" si="15"/>
        <v>0</v>
      </c>
      <c r="Y42" s="186">
        <f t="shared" si="15"/>
        <v>0</v>
      </c>
      <c r="Z42" s="187">
        <f t="shared" si="15"/>
        <v>0</v>
      </c>
    </row>
    <row r="43" spans="1:26" x14ac:dyDescent="0.25">
      <c r="B43" s="60"/>
      <c r="C43" s="332"/>
      <c r="D43" s="333" t="s">
        <v>997</v>
      </c>
      <c r="E43" s="333"/>
      <c r="F43" s="159">
        <v>6086</v>
      </c>
      <c r="G43" s="343">
        <v>6086</v>
      </c>
      <c r="H43" s="313">
        <v>5753</v>
      </c>
      <c r="I43" s="513">
        <v>5753</v>
      </c>
      <c r="J43" s="232">
        <f>SUM(O43:Z43)</f>
        <v>5568</v>
      </c>
      <c r="K43" s="141"/>
      <c r="L43" s="159">
        <f t="shared" si="2"/>
        <v>5568</v>
      </c>
      <c r="M43" s="72">
        <f>L43</f>
        <v>5568</v>
      </c>
      <c r="N43" s="1"/>
      <c r="O43" s="72"/>
      <c r="P43" s="1"/>
      <c r="Q43" s="78"/>
      <c r="R43" s="78">
        <v>4130</v>
      </c>
      <c r="S43" s="1"/>
      <c r="T43" s="78"/>
      <c r="U43" s="78"/>
      <c r="V43" s="44">
        <v>1438</v>
      </c>
      <c r="W43" s="343"/>
      <c r="X43" s="78"/>
      <c r="Y43" s="78">
        <f>Y23*1.18*0.22</f>
        <v>0</v>
      </c>
      <c r="Z43" s="44"/>
    </row>
    <row r="44" spans="1:26" x14ac:dyDescent="0.25">
      <c r="B44" s="60"/>
      <c r="C44" s="332"/>
      <c r="D44" s="333" t="s">
        <v>998</v>
      </c>
      <c r="E44" s="333"/>
      <c r="F44" s="159">
        <v>8277</v>
      </c>
      <c r="G44" s="343">
        <v>8277</v>
      </c>
      <c r="H44" s="313">
        <v>7824</v>
      </c>
      <c r="I44" s="513">
        <v>7824</v>
      </c>
      <c r="J44" s="232">
        <f>SUM(O44:Z44)</f>
        <v>7573</v>
      </c>
      <c r="K44" s="141"/>
      <c r="L44" s="159">
        <f t="shared" si="2"/>
        <v>7573</v>
      </c>
      <c r="M44" s="72"/>
      <c r="N44" s="1">
        <f>L44</f>
        <v>7573</v>
      </c>
      <c r="O44" s="72"/>
      <c r="P44" s="1"/>
      <c r="Q44" s="78"/>
      <c r="R44" s="78">
        <v>5617</v>
      </c>
      <c r="S44" s="1"/>
      <c r="T44" s="78"/>
      <c r="U44" s="78"/>
      <c r="V44" s="44">
        <v>1956</v>
      </c>
      <c r="W44" s="343"/>
      <c r="X44" s="78"/>
      <c r="Y44" s="78">
        <f>Y24*1.18*0.22</f>
        <v>0</v>
      </c>
      <c r="Z44" s="44"/>
    </row>
    <row r="45" spans="1:26" ht="15" hidden="1" customHeight="1" x14ac:dyDescent="0.25">
      <c r="B45" s="60"/>
      <c r="C45" s="702" t="s">
        <v>158</v>
      </c>
      <c r="D45" s="703"/>
      <c r="E45" s="703"/>
      <c r="F45" s="159">
        <v>0</v>
      </c>
      <c r="G45" s="343">
        <v>0</v>
      </c>
      <c r="H45" s="313">
        <v>0</v>
      </c>
      <c r="I45" s="513">
        <v>0</v>
      </c>
      <c r="J45" s="237">
        <f t="shared" si="14"/>
        <v>0</v>
      </c>
      <c r="K45" s="146"/>
      <c r="L45" s="159">
        <f t="shared" si="2"/>
        <v>0</v>
      </c>
      <c r="M45" s="72"/>
      <c r="N45" s="1"/>
      <c r="O45" s="72"/>
      <c r="P45" s="1"/>
      <c r="Q45" s="78"/>
      <c r="R45" s="78"/>
      <c r="S45" s="1"/>
      <c r="T45" s="78"/>
      <c r="U45" s="78"/>
      <c r="V45" s="44"/>
      <c r="W45" s="343"/>
      <c r="X45" s="78"/>
      <c r="Y45" s="78"/>
      <c r="Z45" s="44"/>
    </row>
    <row r="46" spans="1:26" ht="15" hidden="1" customHeight="1" x14ac:dyDescent="0.25">
      <c r="B46" s="60"/>
      <c r="C46" s="702" t="s">
        <v>159</v>
      </c>
      <c r="D46" s="703"/>
      <c r="E46" s="703"/>
      <c r="F46" s="159">
        <v>0</v>
      </c>
      <c r="G46" s="343">
        <v>0</v>
      </c>
      <c r="H46" s="313">
        <v>0</v>
      </c>
      <c r="I46" s="513">
        <v>0</v>
      </c>
      <c r="J46" s="237">
        <f t="shared" si="14"/>
        <v>0</v>
      </c>
      <c r="K46" s="146"/>
      <c r="L46" s="159">
        <f t="shared" si="2"/>
        <v>0</v>
      </c>
      <c r="M46" s="72"/>
      <c r="N46" s="1"/>
      <c r="O46" s="72"/>
      <c r="P46" s="1"/>
      <c r="Q46" s="78"/>
      <c r="R46" s="78"/>
      <c r="S46" s="1"/>
      <c r="T46" s="78"/>
      <c r="U46" s="78"/>
      <c r="V46" s="44"/>
      <c r="W46" s="343"/>
      <c r="X46" s="78"/>
      <c r="Y46" s="78"/>
      <c r="Z46" s="44"/>
    </row>
    <row r="47" spans="1:26" s="199" customFormat="1" x14ac:dyDescent="0.25">
      <c r="A47" s="280"/>
      <c r="B47" s="292"/>
      <c r="C47" s="736" t="s">
        <v>160</v>
      </c>
      <c r="D47" s="737"/>
      <c r="E47" s="737"/>
      <c r="F47" s="183">
        <v>13897</v>
      </c>
      <c r="G47" s="340">
        <v>13897</v>
      </c>
      <c r="H47" s="310">
        <v>13054</v>
      </c>
      <c r="I47" s="508">
        <v>13054</v>
      </c>
      <c r="J47" s="251">
        <f>SUM(J48:J49)</f>
        <v>13054</v>
      </c>
      <c r="K47" s="182">
        <f>SUM(K48:K49)</f>
        <v>0</v>
      </c>
      <c r="L47" s="183">
        <f t="shared" si="2"/>
        <v>13054</v>
      </c>
      <c r="M47" s="191">
        <f t="shared" ref="M47:Z47" si="16">SUM(M48:M49)</f>
        <v>5531</v>
      </c>
      <c r="N47" s="185">
        <f t="shared" si="16"/>
        <v>7523</v>
      </c>
      <c r="O47" s="191">
        <f t="shared" si="16"/>
        <v>0</v>
      </c>
      <c r="P47" s="185">
        <f t="shared" si="16"/>
        <v>0</v>
      </c>
      <c r="Q47" s="186">
        <f t="shared" si="16"/>
        <v>0</v>
      </c>
      <c r="R47" s="186">
        <f t="shared" si="16"/>
        <v>10443</v>
      </c>
      <c r="S47" s="185">
        <f t="shared" si="16"/>
        <v>0</v>
      </c>
      <c r="T47" s="186">
        <f t="shared" si="16"/>
        <v>0</v>
      </c>
      <c r="U47" s="186">
        <f t="shared" si="16"/>
        <v>0</v>
      </c>
      <c r="V47" s="187">
        <f t="shared" si="16"/>
        <v>2611</v>
      </c>
      <c r="W47" s="340">
        <f t="shared" si="16"/>
        <v>0</v>
      </c>
      <c r="X47" s="186">
        <f t="shared" si="16"/>
        <v>0</v>
      </c>
      <c r="Y47" s="186">
        <f t="shared" si="16"/>
        <v>0</v>
      </c>
      <c r="Z47" s="187">
        <f t="shared" si="16"/>
        <v>0</v>
      </c>
    </row>
    <row r="48" spans="1:26" x14ac:dyDescent="0.25">
      <c r="B48" s="60"/>
      <c r="C48" s="332"/>
      <c r="D48" s="333" t="s">
        <v>997</v>
      </c>
      <c r="E48" s="333"/>
      <c r="F48" s="159">
        <v>5888</v>
      </c>
      <c r="G48" s="343">
        <v>5888</v>
      </c>
      <c r="H48" s="313">
        <v>5531</v>
      </c>
      <c r="I48" s="513">
        <v>5531</v>
      </c>
      <c r="J48" s="232">
        <f>SUM(O48:Z48)</f>
        <v>5531</v>
      </c>
      <c r="K48" s="141"/>
      <c r="L48" s="159">
        <f t="shared" si="2"/>
        <v>5531</v>
      </c>
      <c r="M48" s="72">
        <f>L48</f>
        <v>5531</v>
      </c>
      <c r="N48" s="1"/>
      <c r="O48" s="72"/>
      <c r="P48" s="1"/>
      <c r="Q48" s="78"/>
      <c r="R48" s="78">
        <v>4425</v>
      </c>
      <c r="S48" s="1"/>
      <c r="T48" s="78"/>
      <c r="U48" s="78"/>
      <c r="V48" s="44">
        <v>1106</v>
      </c>
      <c r="W48" s="343"/>
      <c r="X48" s="78"/>
      <c r="Y48" s="78">
        <f>(Y23)*1.18*0.15</f>
        <v>0</v>
      </c>
      <c r="Z48" s="44"/>
    </row>
    <row r="49" spans="1:28" ht="15.75" thickBot="1" x14ac:dyDescent="0.3">
      <c r="B49" s="282"/>
      <c r="C49" s="283"/>
      <c r="D49" s="284" t="s">
        <v>998</v>
      </c>
      <c r="E49" s="284"/>
      <c r="F49" s="159">
        <v>8009</v>
      </c>
      <c r="G49" s="343">
        <v>8009</v>
      </c>
      <c r="H49" s="313">
        <v>7523</v>
      </c>
      <c r="I49" s="513">
        <v>7523</v>
      </c>
      <c r="J49" s="232">
        <f>SUM(O49:Z49)</f>
        <v>7523</v>
      </c>
      <c r="K49" s="141"/>
      <c r="L49" s="159">
        <f t="shared" si="2"/>
        <v>7523</v>
      </c>
      <c r="M49" s="72"/>
      <c r="N49" s="1">
        <f>L49</f>
        <v>7523</v>
      </c>
      <c r="O49" s="72"/>
      <c r="P49" s="1"/>
      <c r="Q49" s="78"/>
      <c r="R49" s="78">
        <v>6018</v>
      </c>
      <c r="S49" s="1"/>
      <c r="T49" s="78"/>
      <c r="U49" s="78"/>
      <c r="V49" s="44">
        <v>1505</v>
      </c>
      <c r="W49" s="343"/>
      <c r="X49" s="78"/>
      <c r="Y49" s="78">
        <f>(Y24)*1.18*0.15</f>
        <v>0</v>
      </c>
      <c r="Z49" s="44"/>
    </row>
    <row r="50" spans="1:28" ht="15.75" thickBot="1" x14ac:dyDescent="0.3">
      <c r="B50" s="81" t="s">
        <v>161</v>
      </c>
      <c r="C50" s="648" t="s">
        <v>162</v>
      </c>
      <c r="D50" s="649"/>
      <c r="E50" s="649"/>
      <c r="F50" s="156">
        <v>2557044</v>
      </c>
      <c r="G50" s="338">
        <v>2557044</v>
      </c>
      <c r="H50" s="308">
        <v>2558546</v>
      </c>
      <c r="I50" s="506">
        <v>2558546</v>
      </c>
      <c r="J50" s="235">
        <f>J51+J58+J61+J85+J90</f>
        <v>3027180</v>
      </c>
      <c r="K50" s="144">
        <f t="shared" ref="K50:Z50" si="17">K51+K58+K61+K85+K90</f>
        <v>0</v>
      </c>
      <c r="L50" s="156">
        <f t="shared" si="2"/>
        <v>3027180</v>
      </c>
      <c r="M50" s="82">
        <f>M51+M58+M61+M85+M90</f>
        <v>533307</v>
      </c>
      <c r="N50" s="83">
        <f>N51+N58+N61+N85+N90</f>
        <v>2493873</v>
      </c>
      <c r="O50" s="82">
        <f t="shared" si="17"/>
        <v>65888</v>
      </c>
      <c r="P50" s="83">
        <f t="shared" si="17"/>
        <v>61360</v>
      </c>
      <c r="Q50" s="86">
        <f t="shared" si="17"/>
        <v>117777</v>
      </c>
      <c r="R50" s="86">
        <f t="shared" si="17"/>
        <v>130485</v>
      </c>
      <c r="S50" s="83">
        <f t="shared" si="17"/>
        <v>173139</v>
      </c>
      <c r="T50" s="86">
        <f t="shared" si="17"/>
        <v>120245</v>
      </c>
      <c r="U50" s="86">
        <f t="shared" si="17"/>
        <v>115563</v>
      </c>
      <c r="V50" s="87">
        <f t="shared" si="17"/>
        <v>155719</v>
      </c>
      <c r="W50" s="338">
        <f t="shared" si="17"/>
        <v>291989</v>
      </c>
      <c r="X50" s="86">
        <f t="shared" si="17"/>
        <v>612093</v>
      </c>
      <c r="Y50" s="86">
        <f t="shared" si="17"/>
        <v>914951</v>
      </c>
      <c r="Z50" s="87">
        <f t="shared" si="17"/>
        <v>267971</v>
      </c>
    </row>
    <row r="51" spans="1:28" x14ac:dyDescent="0.25">
      <c r="B51" s="115" t="s">
        <v>626</v>
      </c>
      <c r="C51" s="653" t="s">
        <v>163</v>
      </c>
      <c r="D51" s="654"/>
      <c r="E51" s="654"/>
      <c r="F51" s="157">
        <v>93272</v>
      </c>
      <c r="G51" s="339">
        <v>93272</v>
      </c>
      <c r="H51" s="309">
        <v>103635</v>
      </c>
      <c r="I51" s="507">
        <v>103635</v>
      </c>
      <c r="J51" s="231">
        <f>J52+J54+J57</f>
        <v>332713</v>
      </c>
      <c r="K51" s="140">
        <f t="shared" ref="K51:Z51" si="18">K52+K54+K57</f>
        <v>0</v>
      </c>
      <c r="L51" s="157">
        <f t="shared" si="2"/>
        <v>332713</v>
      </c>
      <c r="M51" s="109">
        <f>M52+M54+M57</f>
        <v>82713</v>
      </c>
      <c r="N51" s="110">
        <f>N52+N54+N57</f>
        <v>250000</v>
      </c>
      <c r="O51" s="109">
        <f t="shared" si="18"/>
        <v>0</v>
      </c>
      <c r="P51" s="110">
        <f t="shared" si="18"/>
        <v>1685</v>
      </c>
      <c r="Q51" s="113">
        <f t="shared" si="18"/>
        <v>17031</v>
      </c>
      <c r="R51" s="113">
        <f t="shared" si="18"/>
        <v>18698</v>
      </c>
      <c r="S51" s="110">
        <f t="shared" si="18"/>
        <v>50765</v>
      </c>
      <c r="T51" s="113">
        <f t="shared" si="18"/>
        <v>59784</v>
      </c>
      <c r="U51" s="113">
        <f t="shared" si="18"/>
        <v>29150</v>
      </c>
      <c r="V51" s="114">
        <f t="shared" si="18"/>
        <v>3617</v>
      </c>
      <c r="W51" s="339">
        <f t="shared" si="18"/>
        <v>47786</v>
      </c>
      <c r="X51" s="113">
        <f t="shared" si="18"/>
        <v>16689</v>
      </c>
      <c r="Y51" s="113">
        <f t="shared" si="18"/>
        <v>72900</v>
      </c>
      <c r="Z51" s="114">
        <f t="shared" si="18"/>
        <v>14608</v>
      </c>
    </row>
    <row r="52" spans="1:28" s="41" customFormat="1" ht="15" customHeight="1" x14ac:dyDescent="0.25">
      <c r="A52" s="118" t="s">
        <v>164</v>
      </c>
      <c r="B52" s="53" t="s">
        <v>627</v>
      </c>
      <c r="C52" s="642" t="s">
        <v>165</v>
      </c>
      <c r="D52" s="643"/>
      <c r="E52" s="643"/>
      <c r="F52" s="160">
        <v>0</v>
      </c>
      <c r="G52" s="342">
        <v>0</v>
      </c>
      <c r="H52" s="312">
        <v>0</v>
      </c>
      <c r="I52" s="510">
        <v>0</v>
      </c>
      <c r="J52" s="239">
        <f>J53</f>
        <v>2713</v>
      </c>
      <c r="K52" s="148"/>
      <c r="L52" s="160">
        <f t="shared" si="2"/>
        <v>2713</v>
      </c>
      <c r="M52" s="74">
        <f>M53</f>
        <v>2713</v>
      </c>
      <c r="N52" s="13"/>
      <c r="O52" s="74">
        <f t="shared" ref="O52:Z52" si="19">O53</f>
        <v>0</v>
      </c>
      <c r="P52" s="13">
        <f t="shared" si="19"/>
        <v>0</v>
      </c>
      <c r="Q52" s="13">
        <f t="shared" si="19"/>
        <v>0</v>
      </c>
      <c r="R52" s="13">
        <f t="shared" si="19"/>
        <v>0</v>
      </c>
      <c r="S52" s="13">
        <f t="shared" si="19"/>
        <v>0</v>
      </c>
      <c r="T52" s="13">
        <f t="shared" si="19"/>
        <v>0</v>
      </c>
      <c r="U52" s="79">
        <f t="shared" si="19"/>
        <v>2713</v>
      </c>
      <c r="V52" s="45">
        <f t="shared" si="19"/>
        <v>0</v>
      </c>
      <c r="W52" s="43">
        <f t="shared" si="19"/>
        <v>0</v>
      </c>
      <c r="X52" s="13">
        <f t="shared" si="19"/>
        <v>0</v>
      </c>
      <c r="Y52" s="43">
        <f t="shared" si="19"/>
        <v>0</v>
      </c>
      <c r="Z52" s="45">
        <f t="shared" si="19"/>
        <v>0</v>
      </c>
    </row>
    <row r="53" spans="1:28" s="41" customFormat="1" ht="15" customHeight="1" x14ac:dyDescent="0.25">
      <c r="A53" s="118"/>
      <c r="B53" s="53"/>
      <c r="C53" s="551"/>
      <c r="D53" s="225" t="s">
        <v>997</v>
      </c>
      <c r="E53" s="552"/>
      <c r="F53" s="160"/>
      <c r="G53" s="342"/>
      <c r="H53" s="312"/>
      <c r="I53" s="510"/>
      <c r="J53" s="239">
        <f>SUM(O53:Z53)</f>
        <v>2713</v>
      </c>
      <c r="K53" s="148"/>
      <c r="L53" s="160">
        <f t="shared" si="2"/>
        <v>2713</v>
      </c>
      <c r="M53" s="74">
        <f>L53</f>
        <v>2713</v>
      </c>
      <c r="N53" s="13"/>
      <c r="O53" s="74"/>
      <c r="P53" s="13"/>
      <c r="Q53" s="79"/>
      <c r="R53" s="79"/>
      <c r="S53" s="13"/>
      <c r="T53" s="79"/>
      <c r="U53" s="78">
        <v>2713</v>
      </c>
      <c r="V53" s="45"/>
      <c r="W53" s="342"/>
      <c r="X53" s="79"/>
      <c r="Y53" s="79"/>
      <c r="Z53" s="45"/>
    </row>
    <row r="54" spans="1:28" s="41" customFormat="1" x14ac:dyDescent="0.25">
      <c r="A54" s="118" t="s">
        <v>166</v>
      </c>
      <c r="B54" s="53" t="s">
        <v>628</v>
      </c>
      <c r="C54" s="642" t="s">
        <v>167</v>
      </c>
      <c r="D54" s="643"/>
      <c r="E54" s="643"/>
      <c r="F54" s="160">
        <v>93272</v>
      </c>
      <c r="G54" s="342">
        <v>93272</v>
      </c>
      <c r="H54" s="312">
        <v>103635</v>
      </c>
      <c r="I54" s="510">
        <v>103635</v>
      </c>
      <c r="J54" s="239">
        <f>SUM(J55:J56)</f>
        <v>330000</v>
      </c>
      <c r="K54" s="148">
        <f>SUM(K55:K56)</f>
        <v>0</v>
      </c>
      <c r="L54" s="160">
        <f t="shared" si="2"/>
        <v>330000</v>
      </c>
      <c r="M54" s="74">
        <f t="shared" ref="M54:Z54" si="20">SUM(M55:M56)</f>
        <v>80000</v>
      </c>
      <c r="N54" s="13">
        <f t="shared" si="20"/>
        <v>250000</v>
      </c>
      <c r="O54" s="74">
        <f t="shared" si="20"/>
        <v>0</v>
      </c>
      <c r="P54" s="13">
        <f t="shared" si="20"/>
        <v>1685</v>
      </c>
      <c r="Q54" s="79">
        <f t="shared" si="20"/>
        <v>17031</v>
      </c>
      <c r="R54" s="79">
        <f t="shared" si="20"/>
        <v>18698</v>
      </c>
      <c r="S54" s="13">
        <f t="shared" si="20"/>
        <v>50765</v>
      </c>
      <c r="T54" s="79">
        <f t="shared" si="20"/>
        <v>59784</v>
      </c>
      <c r="U54" s="79">
        <f t="shared" si="20"/>
        <v>26437</v>
      </c>
      <c r="V54" s="45">
        <f t="shared" si="20"/>
        <v>3617</v>
      </c>
      <c r="W54" s="342">
        <f t="shared" si="20"/>
        <v>47786</v>
      </c>
      <c r="X54" s="79">
        <f t="shared" si="20"/>
        <v>16689</v>
      </c>
      <c r="Y54" s="79">
        <f t="shared" si="20"/>
        <v>72900</v>
      </c>
      <c r="Z54" s="45">
        <f t="shared" si="20"/>
        <v>14608</v>
      </c>
    </row>
    <row r="55" spans="1:28" x14ac:dyDescent="0.25">
      <c r="B55" s="54"/>
      <c r="C55" s="281"/>
      <c r="D55" s="279" t="s">
        <v>997</v>
      </c>
      <c r="E55" s="225"/>
      <c r="F55" s="159">
        <v>33272</v>
      </c>
      <c r="G55" s="343">
        <v>33272</v>
      </c>
      <c r="H55" s="313">
        <v>33272</v>
      </c>
      <c r="I55" s="513">
        <v>33272</v>
      </c>
      <c r="J55" s="232">
        <f>SUM(O55:Z55)</f>
        <v>80000</v>
      </c>
      <c r="K55" s="141"/>
      <c r="L55" s="159">
        <f>SUM(J55:K55)</f>
        <v>80000</v>
      </c>
      <c r="M55" s="72">
        <f>L55</f>
        <v>80000</v>
      </c>
      <c r="N55" s="1"/>
      <c r="O55" s="72"/>
      <c r="P55" s="1">
        <v>1685</v>
      </c>
      <c r="Q55" s="78"/>
      <c r="R55" s="78"/>
      <c r="S55" s="1"/>
      <c r="T55" s="78">
        <v>32024</v>
      </c>
      <c r="U55" s="78">
        <f>5261-2713</f>
        <v>2548</v>
      </c>
      <c r="V55" s="44"/>
      <c r="W55" s="343">
        <v>32693</v>
      </c>
      <c r="X55" s="78">
        <f>8025-716+104</f>
        <v>7413</v>
      </c>
      <c r="Y55" s="78">
        <v>2713</v>
      </c>
      <c r="Z55" s="44">
        <v>924</v>
      </c>
    </row>
    <row r="56" spans="1:28" x14ac:dyDescent="0.25">
      <c r="B56" s="54"/>
      <c r="C56" s="281"/>
      <c r="D56" s="279" t="s">
        <v>998</v>
      </c>
      <c r="E56" s="225"/>
      <c r="F56" s="159">
        <v>60000</v>
      </c>
      <c r="G56" s="343">
        <v>60000</v>
      </c>
      <c r="H56" s="313">
        <v>70363</v>
      </c>
      <c r="I56" s="513">
        <v>70363</v>
      </c>
      <c r="J56" s="232">
        <f>SUM(O56:Z56)</f>
        <v>250000</v>
      </c>
      <c r="K56" s="141"/>
      <c r="L56" s="159">
        <f>SUM(J56:K56)</f>
        <v>250000</v>
      </c>
      <c r="M56" s="72"/>
      <c r="N56" s="1">
        <f>L56</f>
        <v>250000</v>
      </c>
      <c r="O56" s="72"/>
      <c r="P56" s="1"/>
      <c r="Q56" s="78">
        <v>17031</v>
      </c>
      <c r="R56" s="78">
        <v>18698</v>
      </c>
      <c r="S56" s="1">
        <v>50765</v>
      </c>
      <c r="T56" s="78">
        <v>27760</v>
      </c>
      <c r="U56" s="78">
        <f>5724+3258+14907</f>
        <v>23889</v>
      </c>
      <c r="V56" s="44">
        <v>3617</v>
      </c>
      <c r="W56" s="343">
        <v>15093</v>
      </c>
      <c r="X56" s="78">
        <v>9276</v>
      </c>
      <c r="Y56" s="78">
        <f>1742+22062+46383</f>
        <v>70187</v>
      </c>
      <c r="Z56" s="44">
        <f>13684</f>
        <v>13684</v>
      </c>
    </row>
    <row r="57" spans="1:28" s="41" customFormat="1" ht="15" hidden="1" customHeight="1" x14ac:dyDescent="0.25">
      <c r="A57" s="118" t="s">
        <v>168</v>
      </c>
      <c r="B57" s="53" t="s">
        <v>629</v>
      </c>
      <c r="C57" s="642" t="s">
        <v>169</v>
      </c>
      <c r="D57" s="740"/>
      <c r="E57" s="643"/>
      <c r="F57" s="160">
        <v>0</v>
      </c>
      <c r="G57" s="342">
        <v>0</v>
      </c>
      <c r="H57" s="312">
        <v>0</v>
      </c>
      <c r="I57" s="510">
        <v>0</v>
      </c>
      <c r="J57" s="239">
        <f>SUM(O57:Z57)</f>
        <v>0</v>
      </c>
      <c r="K57" s="148"/>
      <c r="L57" s="160">
        <f t="shared" si="2"/>
        <v>0</v>
      </c>
      <c r="M57" s="74"/>
      <c r="N57" s="13"/>
      <c r="O57" s="74"/>
      <c r="P57" s="13"/>
      <c r="Q57" s="79"/>
      <c r="R57" s="79"/>
      <c r="S57" s="13"/>
      <c r="T57" s="79"/>
      <c r="U57" s="79"/>
      <c r="V57" s="45"/>
      <c r="W57" s="342"/>
      <c r="X57" s="79"/>
      <c r="Y57" s="79"/>
      <c r="Z57" s="45"/>
    </row>
    <row r="58" spans="1:28" ht="15" hidden="1" customHeight="1" x14ac:dyDescent="0.25">
      <c r="B58" s="88" t="s">
        <v>630</v>
      </c>
      <c r="C58" s="640" t="s">
        <v>170</v>
      </c>
      <c r="D58" s="641"/>
      <c r="E58" s="641"/>
      <c r="F58" s="158">
        <v>0</v>
      </c>
      <c r="G58" s="341">
        <v>0</v>
      </c>
      <c r="H58" s="311">
        <v>0</v>
      </c>
      <c r="I58" s="509">
        <v>0</v>
      </c>
      <c r="J58" s="233">
        <f>J59+J60</f>
        <v>0</v>
      </c>
      <c r="K58" s="142">
        <f t="shared" ref="K58:Z58" si="21">K59+K60</f>
        <v>0</v>
      </c>
      <c r="L58" s="158">
        <f t="shared" si="2"/>
        <v>0</v>
      </c>
      <c r="M58" s="90">
        <f>M59+M60</f>
        <v>0</v>
      </c>
      <c r="N58" s="91">
        <f>N59+N60</f>
        <v>0</v>
      </c>
      <c r="O58" s="90">
        <f t="shared" si="21"/>
        <v>0</v>
      </c>
      <c r="P58" s="91">
        <f t="shared" si="21"/>
        <v>0</v>
      </c>
      <c r="Q58" s="94">
        <f t="shared" si="21"/>
        <v>0</v>
      </c>
      <c r="R58" s="94">
        <f t="shared" si="21"/>
        <v>0</v>
      </c>
      <c r="S58" s="91">
        <f t="shared" si="21"/>
        <v>0</v>
      </c>
      <c r="T58" s="94">
        <f t="shared" si="21"/>
        <v>0</v>
      </c>
      <c r="U58" s="94">
        <f t="shared" si="21"/>
        <v>0</v>
      </c>
      <c r="V58" s="261">
        <f t="shared" si="21"/>
        <v>0</v>
      </c>
      <c r="W58" s="346">
        <f t="shared" si="21"/>
        <v>0</v>
      </c>
      <c r="X58" s="94">
        <f t="shared" si="21"/>
        <v>0</v>
      </c>
      <c r="Y58" s="94">
        <f t="shared" si="21"/>
        <v>0</v>
      </c>
      <c r="Z58" s="95">
        <f t="shared" si="21"/>
        <v>0</v>
      </c>
    </row>
    <row r="59" spans="1:28" s="41" customFormat="1" ht="15" hidden="1" customHeight="1" x14ac:dyDescent="0.25">
      <c r="A59" s="118" t="s">
        <v>171</v>
      </c>
      <c r="B59" s="53" t="s">
        <v>631</v>
      </c>
      <c r="C59" s="642" t="s">
        <v>172</v>
      </c>
      <c r="D59" s="643"/>
      <c r="E59" s="643"/>
      <c r="F59" s="160">
        <v>0</v>
      </c>
      <c r="G59" s="342">
        <v>0</v>
      </c>
      <c r="H59" s="312">
        <v>0</v>
      </c>
      <c r="I59" s="510">
        <v>0</v>
      </c>
      <c r="J59" s="239">
        <f>SUM(O59:Z59)</f>
        <v>0</v>
      </c>
      <c r="K59" s="148"/>
      <c r="L59" s="160">
        <f t="shared" si="2"/>
        <v>0</v>
      </c>
      <c r="M59" s="74"/>
      <c r="N59" s="13"/>
      <c r="O59" s="74"/>
      <c r="P59" s="13"/>
      <c r="Q59" s="79"/>
      <c r="R59" s="79"/>
      <c r="S59" s="13"/>
      <c r="T59" s="79"/>
      <c r="U59" s="79"/>
      <c r="V59" s="45"/>
      <c r="W59" s="342"/>
      <c r="X59" s="79"/>
      <c r="Y59" s="79"/>
      <c r="Z59" s="45"/>
    </row>
    <row r="60" spans="1:28" s="41" customFormat="1" ht="15" hidden="1" customHeight="1" x14ac:dyDescent="0.25">
      <c r="A60" s="118" t="s">
        <v>173</v>
      </c>
      <c r="B60" s="53" t="s">
        <v>632</v>
      </c>
      <c r="C60" s="642" t="s">
        <v>174</v>
      </c>
      <c r="D60" s="643"/>
      <c r="E60" s="643"/>
      <c r="F60" s="160">
        <v>0</v>
      </c>
      <c r="G60" s="342">
        <v>0</v>
      </c>
      <c r="H60" s="312">
        <v>0</v>
      </c>
      <c r="I60" s="510">
        <v>0</v>
      </c>
      <c r="J60" s="239">
        <f>SUM(O60:Z60)</f>
        <v>0</v>
      </c>
      <c r="K60" s="148"/>
      <c r="L60" s="160">
        <f t="shared" si="2"/>
        <v>0</v>
      </c>
      <c r="M60" s="74"/>
      <c r="N60" s="13"/>
      <c r="O60" s="74"/>
      <c r="P60" s="13"/>
      <c r="Q60" s="79"/>
      <c r="R60" s="79"/>
      <c r="S60" s="13"/>
      <c r="T60" s="79"/>
      <c r="U60" s="79"/>
      <c r="V60" s="45"/>
      <c r="W60" s="342"/>
      <c r="X60" s="79"/>
      <c r="Y60" s="79"/>
      <c r="Z60" s="45"/>
    </row>
    <row r="61" spans="1:28" x14ac:dyDescent="0.25">
      <c r="B61" s="88" t="s">
        <v>633</v>
      </c>
      <c r="C61" s="640" t="s">
        <v>175</v>
      </c>
      <c r="D61" s="641"/>
      <c r="E61" s="641"/>
      <c r="F61" s="158">
        <v>810822</v>
      </c>
      <c r="G61" s="341">
        <v>810822</v>
      </c>
      <c r="H61" s="311">
        <v>807101</v>
      </c>
      <c r="I61" s="509">
        <v>807101</v>
      </c>
      <c r="J61" s="233">
        <f>J62+J72+J73+J74+J77+J80+J82</f>
        <v>975951</v>
      </c>
      <c r="K61" s="142">
        <f t="shared" ref="K61:Z61" si="22">K62+K72+K73+K74+K77+K80+K82</f>
        <v>0</v>
      </c>
      <c r="L61" s="158">
        <f>SUM(J61:K61)</f>
        <v>975951</v>
      </c>
      <c r="M61" s="90">
        <f>M62+M72+M73+M74+M77+M80+M82</f>
        <v>339644</v>
      </c>
      <c r="N61" s="91">
        <f>N62+N72+N73+N74+N77+N80+N82</f>
        <v>636307</v>
      </c>
      <c r="O61" s="90">
        <f t="shared" si="22"/>
        <v>46749</v>
      </c>
      <c r="P61" s="91">
        <f t="shared" si="22"/>
        <v>44964</v>
      </c>
      <c r="Q61" s="94">
        <f t="shared" si="22"/>
        <v>43795</v>
      </c>
      <c r="R61" s="94">
        <f t="shared" si="22"/>
        <v>71463</v>
      </c>
      <c r="S61" s="91">
        <f t="shared" si="22"/>
        <v>44456</v>
      </c>
      <c r="T61" s="94">
        <f t="shared" si="22"/>
        <v>1596</v>
      </c>
      <c r="U61" s="94">
        <f t="shared" si="22"/>
        <v>37807</v>
      </c>
      <c r="V61" s="95">
        <f t="shared" si="22"/>
        <v>37711</v>
      </c>
      <c r="W61" s="341">
        <f t="shared" si="22"/>
        <v>173526</v>
      </c>
      <c r="X61" s="94">
        <f t="shared" si="22"/>
        <v>96006</v>
      </c>
      <c r="Y61" s="94">
        <f t="shared" si="22"/>
        <v>254720</v>
      </c>
      <c r="Z61" s="95">
        <f t="shared" si="22"/>
        <v>123158</v>
      </c>
    </row>
    <row r="62" spans="1:28" s="41" customFormat="1" x14ac:dyDescent="0.25">
      <c r="A62" s="118" t="s">
        <v>176</v>
      </c>
      <c r="B62" s="53" t="s">
        <v>634</v>
      </c>
      <c r="C62" s="642" t="s">
        <v>177</v>
      </c>
      <c r="D62" s="643"/>
      <c r="E62" s="643"/>
      <c r="F62" s="160">
        <v>735638</v>
      </c>
      <c r="G62" s="342">
        <v>735638</v>
      </c>
      <c r="H62" s="312">
        <v>731917</v>
      </c>
      <c r="I62" s="510">
        <v>731917</v>
      </c>
      <c r="J62" s="239">
        <f>J63+J66+J69</f>
        <v>808767</v>
      </c>
      <c r="K62" s="148">
        <f>K63+K66+K69</f>
        <v>0</v>
      </c>
      <c r="L62" s="160">
        <f t="shared" si="2"/>
        <v>808767</v>
      </c>
      <c r="M62" s="74">
        <f>M63+M66+M69</f>
        <v>247584</v>
      </c>
      <c r="N62" s="13">
        <f>N63+N66+N69</f>
        <v>561183</v>
      </c>
      <c r="O62" s="74">
        <f t="shared" ref="O62:Z62" si="23">O63+O66+O69</f>
        <v>46749</v>
      </c>
      <c r="P62" s="13">
        <f t="shared" si="23"/>
        <v>44964</v>
      </c>
      <c r="Q62" s="79">
        <f t="shared" si="23"/>
        <v>43795</v>
      </c>
      <c r="R62" s="79">
        <f t="shared" si="23"/>
        <v>52871</v>
      </c>
      <c r="S62" s="13">
        <f t="shared" si="23"/>
        <v>44456</v>
      </c>
      <c r="T62" s="79">
        <f t="shared" si="23"/>
        <v>-11207</v>
      </c>
      <c r="U62" s="79">
        <f t="shared" si="23"/>
        <v>37807</v>
      </c>
      <c r="V62" s="45">
        <f t="shared" si="23"/>
        <v>37711</v>
      </c>
      <c r="W62" s="342">
        <f t="shared" si="23"/>
        <v>147619</v>
      </c>
      <c r="X62" s="79">
        <f t="shared" si="23"/>
        <v>78156</v>
      </c>
      <c r="Y62" s="79">
        <f t="shared" si="23"/>
        <v>239688</v>
      </c>
      <c r="Z62" s="45">
        <f t="shared" si="23"/>
        <v>46158</v>
      </c>
    </row>
    <row r="63" spans="1:28" s="199" customFormat="1" x14ac:dyDescent="0.25">
      <c r="A63" s="280"/>
      <c r="B63" s="181"/>
      <c r="C63" s="194"/>
      <c r="D63" s="247" t="s">
        <v>994</v>
      </c>
      <c r="E63" s="247"/>
      <c r="F63" s="183">
        <v>121534</v>
      </c>
      <c r="G63" s="340">
        <v>121534</v>
      </c>
      <c r="H63" s="310">
        <v>119631</v>
      </c>
      <c r="I63" s="508">
        <v>119631</v>
      </c>
      <c r="J63" s="251">
        <f>SUM(J64:J65)</f>
        <v>119631</v>
      </c>
      <c r="K63" s="182">
        <f>SUM(K64:K65)</f>
        <v>0</v>
      </c>
      <c r="L63" s="183">
        <f>SUM(J63:K63)</f>
        <v>119631</v>
      </c>
      <c r="M63" s="191">
        <f t="shared" ref="M63:Z63" si="24">SUM(M64:M65)</f>
        <v>30295</v>
      </c>
      <c r="N63" s="185">
        <f t="shared" si="24"/>
        <v>89336</v>
      </c>
      <c r="O63" s="191">
        <f t="shared" si="24"/>
        <v>7761</v>
      </c>
      <c r="P63" s="185">
        <f t="shared" si="24"/>
        <v>6959</v>
      </c>
      <c r="Q63" s="186">
        <f t="shared" si="24"/>
        <v>6218</v>
      </c>
      <c r="R63" s="186">
        <f t="shared" si="24"/>
        <v>6917</v>
      </c>
      <c r="S63" s="185">
        <f t="shared" si="24"/>
        <v>6879</v>
      </c>
      <c r="T63" s="186">
        <f t="shared" si="24"/>
        <v>-11207</v>
      </c>
      <c r="U63" s="186">
        <f t="shared" si="24"/>
        <v>5425</v>
      </c>
      <c r="V63" s="187">
        <f t="shared" si="24"/>
        <v>5591</v>
      </c>
      <c r="W63" s="340">
        <f t="shared" si="24"/>
        <v>32069</v>
      </c>
      <c r="X63" s="186">
        <f t="shared" si="24"/>
        <v>10112</v>
      </c>
      <c r="Y63" s="186">
        <f t="shared" si="24"/>
        <v>35455</v>
      </c>
      <c r="Z63" s="187">
        <f t="shared" si="24"/>
        <v>7452</v>
      </c>
    </row>
    <row r="64" spans="1:28" x14ac:dyDescent="0.25">
      <c r="B64" s="54"/>
      <c r="C64" s="281"/>
      <c r="D64" s="225"/>
      <c r="E64" s="225" t="s">
        <v>997</v>
      </c>
      <c r="F64" s="159">
        <v>30880</v>
      </c>
      <c r="G64" s="343">
        <v>30880</v>
      </c>
      <c r="H64" s="313">
        <v>30295</v>
      </c>
      <c r="I64" s="513">
        <v>30295</v>
      </c>
      <c r="J64" s="232">
        <f t="shared" ref="J64:J71" si="25">SUM(O64:Z64)</f>
        <v>30295</v>
      </c>
      <c r="K64" s="141"/>
      <c r="L64" s="159">
        <f t="shared" ref="L64:L71" si="26">SUM(J64:K64)</f>
        <v>30295</v>
      </c>
      <c r="M64" s="72">
        <f>L64</f>
        <v>30295</v>
      </c>
      <c r="N64" s="1"/>
      <c r="O64" s="72">
        <v>1940</v>
      </c>
      <c r="P64" s="1">
        <v>1740</v>
      </c>
      <c r="Q64" s="78">
        <v>1555</v>
      </c>
      <c r="R64" s="78">
        <v>1730</v>
      </c>
      <c r="S64" s="78">
        <v>1720</v>
      </c>
      <c r="T64" s="78">
        <v>-2802</v>
      </c>
      <c r="U64" s="78">
        <v>1357</v>
      </c>
      <c r="V64" s="44">
        <v>1397</v>
      </c>
      <c r="W64" s="42">
        <f>6187+1940</f>
        <v>8127</v>
      </c>
      <c r="X64" s="1">
        <f>210+1940+543</f>
        <v>2693</v>
      </c>
      <c r="Y64" s="1">
        <f>7034+1940</f>
        <v>8974</v>
      </c>
      <c r="Z64" s="44">
        <v>1864</v>
      </c>
      <c r="AB64" s="180"/>
    </row>
    <row r="65" spans="1:26" x14ac:dyDescent="0.25">
      <c r="B65" s="54"/>
      <c r="C65" s="281"/>
      <c r="D65" s="225"/>
      <c r="E65" s="225" t="s">
        <v>998</v>
      </c>
      <c r="F65" s="159">
        <v>90654</v>
      </c>
      <c r="G65" s="343">
        <v>90654</v>
      </c>
      <c r="H65" s="313">
        <v>89336</v>
      </c>
      <c r="I65" s="513">
        <v>89336</v>
      </c>
      <c r="J65" s="232">
        <f t="shared" si="25"/>
        <v>89336</v>
      </c>
      <c r="K65" s="141"/>
      <c r="L65" s="159">
        <f t="shared" si="26"/>
        <v>89336</v>
      </c>
      <c r="M65" s="72"/>
      <c r="N65" s="1">
        <f>L65</f>
        <v>89336</v>
      </c>
      <c r="O65" s="72">
        <v>5821</v>
      </c>
      <c r="P65" s="1">
        <v>5219</v>
      </c>
      <c r="Q65" s="78">
        <v>4663</v>
      </c>
      <c r="R65" s="78">
        <v>5187</v>
      </c>
      <c r="S65" s="1">
        <v>5159</v>
      </c>
      <c r="T65" s="78">
        <v>-8405</v>
      </c>
      <c r="U65" s="78">
        <v>4068</v>
      </c>
      <c r="V65" s="44">
        <v>4194</v>
      </c>
      <c r="W65" s="42">
        <f>18342+5600</f>
        <v>23942</v>
      </c>
      <c r="X65" s="1">
        <f>413+5600+1406</f>
        <v>7419</v>
      </c>
      <c r="Y65" s="1">
        <f>20881+5600</f>
        <v>26481</v>
      </c>
      <c r="Z65" s="44">
        <v>5588</v>
      </c>
    </row>
    <row r="66" spans="1:26" s="199" customFormat="1" x14ac:dyDescent="0.25">
      <c r="A66" s="280"/>
      <c r="B66" s="181"/>
      <c r="C66" s="194"/>
      <c r="D66" s="247" t="s">
        <v>995</v>
      </c>
      <c r="E66" s="247"/>
      <c r="F66" s="183">
        <v>590444</v>
      </c>
      <c r="G66" s="340">
        <v>590444</v>
      </c>
      <c r="H66" s="310">
        <v>588626</v>
      </c>
      <c r="I66" s="508">
        <v>588626</v>
      </c>
      <c r="J66" s="251">
        <f>SUM(J67:J68)</f>
        <v>588626</v>
      </c>
      <c r="K66" s="182">
        <f>SUM(K67:K68)</f>
        <v>0</v>
      </c>
      <c r="L66" s="183">
        <f t="shared" si="26"/>
        <v>588626</v>
      </c>
      <c r="M66" s="191">
        <f t="shared" ref="M66:Z66" si="27">SUM(M67:M68)</f>
        <v>147332</v>
      </c>
      <c r="N66" s="185">
        <f t="shared" si="27"/>
        <v>441294</v>
      </c>
      <c r="O66" s="191">
        <f t="shared" si="27"/>
        <v>38988</v>
      </c>
      <c r="P66" s="185">
        <f t="shared" si="27"/>
        <v>38005</v>
      </c>
      <c r="Q66" s="186">
        <f t="shared" si="27"/>
        <v>37577</v>
      </c>
      <c r="R66" s="186">
        <f t="shared" si="27"/>
        <v>37735</v>
      </c>
      <c r="S66" s="185">
        <f t="shared" si="27"/>
        <v>37577</v>
      </c>
      <c r="T66" s="186">
        <f t="shared" si="27"/>
        <v>0</v>
      </c>
      <c r="U66" s="186">
        <f t="shared" si="27"/>
        <v>32382</v>
      </c>
      <c r="V66" s="187">
        <f t="shared" si="27"/>
        <v>32120</v>
      </c>
      <c r="W66" s="340">
        <f t="shared" si="27"/>
        <v>38700</v>
      </c>
      <c r="X66" s="186">
        <f t="shared" si="27"/>
        <v>52603</v>
      </c>
      <c r="Y66" s="186">
        <f t="shared" si="27"/>
        <v>204233</v>
      </c>
      <c r="Z66" s="187">
        <f t="shared" si="27"/>
        <v>38706</v>
      </c>
    </row>
    <row r="67" spans="1:26" x14ac:dyDescent="0.25">
      <c r="B67" s="54"/>
      <c r="C67" s="281"/>
      <c r="D67" s="225"/>
      <c r="E67" s="225" t="s">
        <v>997</v>
      </c>
      <c r="F67" s="159">
        <v>147837</v>
      </c>
      <c r="G67" s="343">
        <v>147837</v>
      </c>
      <c r="H67" s="313">
        <v>147332</v>
      </c>
      <c r="I67" s="513">
        <v>147332</v>
      </c>
      <c r="J67" s="232">
        <f t="shared" si="25"/>
        <v>147332</v>
      </c>
      <c r="K67" s="141"/>
      <c r="L67" s="159">
        <f t="shared" si="26"/>
        <v>147332</v>
      </c>
      <c r="M67" s="72">
        <f>L67</f>
        <v>147332</v>
      </c>
      <c r="N67" s="1"/>
      <c r="O67" s="72">
        <v>9747</v>
      </c>
      <c r="P67" s="1">
        <v>9501</v>
      </c>
      <c r="Q67" s="78">
        <v>9394</v>
      </c>
      <c r="R67" s="78">
        <v>9434</v>
      </c>
      <c r="S67" s="78">
        <v>9394</v>
      </c>
      <c r="T67" s="78"/>
      <c r="U67" s="78">
        <v>8096</v>
      </c>
      <c r="V67" s="44">
        <v>8030</v>
      </c>
      <c r="W67" s="42">
        <v>9700</v>
      </c>
      <c r="X67" s="1">
        <f>266+9700+1644+1670</f>
        <v>13280</v>
      </c>
      <c r="Y67" s="1">
        <f>41379+9700</f>
        <v>51079</v>
      </c>
      <c r="Z67" s="44">
        <v>9677</v>
      </c>
    </row>
    <row r="68" spans="1:26" x14ac:dyDescent="0.25">
      <c r="B68" s="54"/>
      <c r="C68" s="281"/>
      <c r="D68" s="225"/>
      <c r="E68" s="225" t="s">
        <v>998</v>
      </c>
      <c r="F68" s="159">
        <v>442607</v>
      </c>
      <c r="G68" s="343">
        <v>442607</v>
      </c>
      <c r="H68" s="313">
        <v>441294</v>
      </c>
      <c r="I68" s="513">
        <v>441294</v>
      </c>
      <c r="J68" s="232">
        <f t="shared" si="25"/>
        <v>441294</v>
      </c>
      <c r="K68" s="141"/>
      <c r="L68" s="159">
        <f t="shared" si="26"/>
        <v>441294</v>
      </c>
      <c r="M68" s="72"/>
      <c r="N68" s="1">
        <f>L68</f>
        <v>441294</v>
      </c>
      <c r="O68" s="72">
        <v>29241</v>
      </c>
      <c r="P68" s="1">
        <v>28504</v>
      </c>
      <c r="Q68" s="78">
        <v>28183</v>
      </c>
      <c r="R68" s="78">
        <v>28301</v>
      </c>
      <c r="S68" s="1">
        <v>28183</v>
      </c>
      <c r="T68" s="78"/>
      <c r="U68" s="78">
        <v>24286</v>
      </c>
      <c r="V68" s="44">
        <v>24090</v>
      </c>
      <c r="W68" s="42">
        <v>29000</v>
      </c>
      <c r="X68" s="1">
        <f>699+29000+4714+4910</f>
        <v>39323</v>
      </c>
      <c r="Y68" s="1">
        <f>124154+29000</f>
        <v>153154</v>
      </c>
      <c r="Z68" s="44">
        <v>29029</v>
      </c>
    </row>
    <row r="69" spans="1:26" s="199" customFormat="1" x14ac:dyDescent="0.25">
      <c r="A69" s="280"/>
      <c r="B69" s="181"/>
      <c r="C69" s="194"/>
      <c r="D69" s="247" t="s">
        <v>996</v>
      </c>
      <c r="E69" s="247"/>
      <c r="F69" s="183">
        <v>23660</v>
      </c>
      <c r="G69" s="340">
        <v>23660</v>
      </c>
      <c r="H69" s="310">
        <v>23660</v>
      </c>
      <c r="I69" s="508">
        <v>23660</v>
      </c>
      <c r="J69" s="251">
        <f>SUM(J70:J71)</f>
        <v>100510</v>
      </c>
      <c r="K69" s="182">
        <f>SUM(K70:K71)</f>
        <v>0</v>
      </c>
      <c r="L69" s="183">
        <f t="shared" si="26"/>
        <v>100510</v>
      </c>
      <c r="M69" s="191">
        <f t="shared" ref="M69:Z69" si="28">SUM(M70:M71)</f>
        <v>69957</v>
      </c>
      <c r="N69" s="185">
        <f t="shared" si="28"/>
        <v>30553</v>
      </c>
      <c r="O69" s="191">
        <f t="shared" si="28"/>
        <v>0</v>
      </c>
      <c r="P69" s="185">
        <f t="shared" si="28"/>
        <v>0</v>
      </c>
      <c r="Q69" s="186">
        <f t="shared" si="28"/>
        <v>0</v>
      </c>
      <c r="R69" s="186">
        <f t="shared" si="28"/>
        <v>8219</v>
      </c>
      <c r="S69" s="185">
        <f t="shared" si="28"/>
        <v>0</v>
      </c>
      <c r="T69" s="186">
        <f t="shared" si="28"/>
        <v>0</v>
      </c>
      <c r="U69" s="186">
        <f t="shared" si="28"/>
        <v>0</v>
      </c>
      <c r="V69" s="187">
        <f t="shared" si="28"/>
        <v>0</v>
      </c>
      <c r="W69" s="340">
        <f t="shared" si="28"/>
        <v>76850</v>
      </c>
      <c r="X69" s="186">
        <f t="shared" si="28"/>
        <v>15441</v>
      </c>
      <c r="Y69" s="186">
        <f t="shared" si="28"/>
        <v>0</v>
      </c>
      <c r="Z69" s="187">
        <f t="shared" si="28"/>
        <v>0</v>
      </c>
    </row>
    <row r="70" spans="1:26" x14ac:dyDescent="0.25">
      <c r="B70" s="54"/>
      <c r="C70" s="281"/>
      <c r="D70" s="225"/>
      <c r="E70" s="225" t="s">
        <v>997</v>
      </c>
      <c r="F70" s="159">
        <v>5915</v>
      </c>
      <c r="G70" s="343">
        <v>5915</v>
      </c>
      <c r="H70" s="313">
        <v>5915</v>
      </c>
      <c r="I70" s="513">
        <v>5915</v>
      </c>
      <c r="J70" s="232">
        <f t="shared" si="25"/>
        <v>69957</v>
      </c>
      <c r="K70" s="141"/>
      <c r="L70" s="159">
        <f t="shared" si="26"/>
        <v>69957</v>
      </c>
      <c r="M70" s="72">
        <f>L70</f>
        <v>69957</v>
      </c>
      <c r="N70" s="1"/>
      <c r="O70" s="72"/>
      <c r="P70" s="1"/>
      <c r="Q70" s="78"/>
      <c r="R70" s="78">
        <v>2055</v>
      </c>
      <c r="S70" s="1"/>
      <c r="T70" s="78"/>
      <c r="U70" s="78"/>
      <c r="V70" s="44"/>
      <c r="W70" s="343">
        <v>64042</v>
      </c>
      <c r="X70" s="78">
        <f>456+3404</f>
        <v>3860</v>
      </c>
      <c r="Y70" s="78"/>
      <c r="Z70" s="44"/>
    </row>
    <row r="71" spans="1:26" x14ac:dyDescent="0.25">
      <c r="B71" s="54"/>
      <c r="C71" s="281"/>
      <c r="D71" s="225"/>
      <c r="E71" s="225" t="s">
        <v>998</v>
      </c>
      <c r="F71" s="159">
        <v>17745</v>
      </c>
      <c r="G71" s="343">
        <v>17745</v>
      </c>
      <c r="H71" s="313">
        <v>17745</v>
      </c>
      <c r="I71" s="513">
        <v>17745</v>
      </c>
      <c r="J71" s="232">
        <f t="shared" si="25"/>
        <v>30553</v>
      </c>
      <c r="K71" s="141"/>
      <c r="L71" s="159">
        <f t="shared" si="26"/>
        <v>30553</v>
      </c>
      <c r="M71" s="72"/>
      <c r="N71" s="1">
        <f>L71</f>
        <v>30553</v>
      </c>
      <c r="O71" s="72"/>
      <c r="P71" s="1"/>
      <c r="Q71" s="78"/>
      <c r="R71" s="78">
        <v>6164</v>
      </c>
      <c r="S71" s="1"/>
      <c r="T71" s="78"/>
      <c r="U71" s="78"/>
      <c r="V71" s="44"/>
      <c r="W71" s="343">
        <v>12808</v>
      </c>
      <c r="X71" s="78">
        <f>1370+10211</f>
        <v>11581</v>
      </c>
      <c r="Y71" s="78"/>
      <c r="Z71" s="44"/>
    </row>
    <row r="72" spans="1:26" s="41" customFormat="1" ht="15" hidden="1" customHeight="1" x14ac:dyDescent="0.25">
      <c r="A72" s="118" t="s">
        <v>178</v>
      </c>
      <c r="B72" s="53" t="s">
        <v>635</v>
      </c>
      <c r="C72" s="642" t="s">
        <v>179</v>
      </c>
      <c r="D72" s="643"/>
      <c r="E72" s="643"/>
      <c r="F72" s="160">
        <v>0</v>
      </c>
      <c r="G72" s="342">
        <v>0</v>
      </c>
      <c r="H72" s="312">
        <v>0</v>
      </c>
      <c r="I72" s="510">
        <v>0</v>
      </c>
      <c r="J72" s="239">
        <f>SUM(O72:Z72)</f>
        <v>0</v>
      </c>
      <c r="K72" s="148"/>
      <c r="L72" s="160">
        <f t="shared" si="2"/>
        <v>0</v>
      </c>
      <c r="M72" s="74"/>
      <c r="N72" s="13"/>
      <c r="O72" s="74"/>
      <c r="P72" s="13"/>
      <c r="Q72" s="79"/>
      <c r="R72" s="79"/>
      <c r="S72" s="13"/>
      <c r="T72" s="79"/>
      <c r="U72" s="79"/>
      <c r="V72" s="45"/>
      <c r="W72" s="342"/>
      <c r="X72" s="79"/>
      <c r="Y72" s="79"/>
      <c r="Z72" s="45"/>
    </row>
    <row r="73" spans="1:26" s="41" customFormat="1" ht="15" hidden="1" customHeight="1" x14ac:dyDescent="0.25">
      <c r="A73" s="118" t="s">
        <v>180</v>
      </c>
      <c r="B73" s="53" t="s">
        <v>636</v>
      </c>
      <c r="C73" s="642" t="s">
        <v>181</v>
      </c>
      <c r="D73" s="643"/>
      <c r="E73" s="643"/>
      <c r="F73" s="160">
        <v>0</v>
      </c>
      <c r="G73" s="342">
        <v>0</v>
      </c>
      <c r="H73" s="312">
        <v>0</v>
      </c>
      <c r="I73" s="510">
        <v>0</v>
      </c>
      <c r="J73" s="239">
        <f>SUM(O73:Z73)</f>
        <v>0</v>
      </c>
      <c r="K73" s="148"/>
      <c r="L73" s="160">
        <f t="shared" si="2"/>
        <v>0</v>
      </c>
      <c r="M73" s="74"/>
      <c r="N73" s="13"/>
      <c r="O73" s="74"/>
      <c r="P73" s="13"/>
      <c r="Q73" s="79"/>
      <c r="R73" s="79"/>
      <c r="S73" s="13"/>
      <c r="T73" s="79"/>
      <c r="U73" s="79"/>
      <c r="V73" s="45"/>
      <c r="W73" s="342"/>
      <c r="X73" s="79"/>
      <c r="Y73" s="79"/>
      <c r="Z73" s="45"/>
    </row>
    <row r="74" spans="1:26" s="41" customFormat="1" x14ac:dyDescent="0.25">
      <c r="A74" s="118" t="s">
        <v>182</v>
      </c>
      <c r="B74" s="53" t="s">
        <v>637</v>
      </c>
      <c r="C74" s="642" t="s">
        <v>183</v>
      </c>
      <c r="D74" s="643"/>
      <c r="E74" s="643"/>
      <c r="F74" s="160">
        <v>38000</v>
      </c>
      <c r="G74" s="342">
        <v>38000</v>
      </c>
      <c r="H74" s="312">
        <v>38000</v>
      </c>
      <c r="I74" s="510">
        <v>38000</v>
      </c>
      <c r="J74" s="239">
        <f>SUM(J75:J76)</f>
        <v>80000</v>
      </c>
      <c r="K74" s="148">
        <f>SUM(K75:K76)</f>
        <v>0</v>
      </c>
      <c r="L74" s="160">
        <f t="shared" si="2"/>
        <v>80000</v>
      </c>
      <c r="M74" s="74">
        <f t="shared" ref="M74:Z74" si="29">SUM(M75:M76)</f>
        <v>30000</v>
      </c>
      <c r="N74" s="13">
        <f t="shared" si="29"/>
        <v>50000</v>
      </c>
      <c r="O74" s="74">
        <f t="shared" si="29"/>
        <v>0</v>
      </c>
      <c r="P74" s="13">
        <f t="shared" si="29"/>
        <v>0</v>
      </c>
      <c r="Q74" s="79">
        <f t="shared" si="29"/>
        <v>0</v>
      </c>
      <c r="R74" s="79">
        <f t="shared" si="29"/>
        <v>0</v>
      </c>
      <c r="S74" s="13">
        <f t="shared" si="29"/>
        <v>0</v>
      </c>
      <c r="T74" s="79">
        <f t="shared" si="29"/>
        <v>12803</v>
      </c>
      <c r="U74" s="79">
        <f t="shared" si="29"/>
        <v>0</v>
      </c>
      <c r="V74" s="45">
        <f t="shared" si="29"/>
        <v>0</v>
      </c>
      <c r="W74" s="342">
        <f t="shared" si="29"/>
        <v>7315</v>
      </c>
      <c r="X74" s="79">
        <f t="shared" si="29"/>
        <v>17850</v>
      </c>
      <c r="Y74" s="79">
        <f t="shared" si="29"/>
        <v>15032</v>
      </c>
      <c r="Z74" s="45">
        <f t="shared" si="29"/>
        <v>27000</v>
      </c>
    </row>
    <row r="75" spans="1:26" x14ac:dyDescent="0.25">
      <c r="B75" s="54"/>
      <c r="C75" s="281"/>
      <c r="D75" s="279" t="s">
        <v>997</v>
      </c>
      <c r="E75" s="225"/>
      <c r="F75" s="159">
        <v>0</v>
      </c>
      <c r="G75" s="343">
        <v>0</v>
      </c>
      <c r="H75" s="313">
        <v>0</v>
      </c>
      <c r="I75" s="513">
        <v>0</v>
      </c>
      <c r="J75" s="232">
        <f t="shared" ref="J75:J81" si="30">SUM(O75:Z75)</f>
        <v>30000</v>
      </c>
      <c r="K75" s="141"/>
      <c r="L75" s="159">
        <f>SUM(J75:K75)</f>
        <v>30000</v>
      </c>
      <c r="M75" s="72">
        <f>L75</f>
        <v>30000</v>
      </c>
      <c r="N75" s="1"/>
      <c r="O75" s="72"/>
      <c r="P75" s="1"/>
      <c r="Q75" s="78"/>
      <c r="R75" s="78"/>
      <c r="S75" s="1"/>
      <c r="T75" s="78">
        <v>12803</v>
      </c>
      <c r="U75" s="78"/>
      <c r="V75" s="44"/>
      <c r="W75" s="343"/>
      <c r="X75" s="78"/>
      <c r="Y75" s="78">
        <v>2197</v>
      </c>
      <c r="Z75" s="44">
        <v>15000</v>
      </c>
    </row>
    <row r="76" spans="1:26" x14ac:dyDescent="0.25">
      <c r="B76" s="54"/>
      <c r="C76" s="281"/>
      <c r="D76" s="279" t="s">
        <v>998</v>
      </c>
      <c r="E76" s="225"/>
      <c r="F76" s="159">
        <v>38000</v>
      </c>
      <c r="G76" s="343">
        <v>38000</v>
      </c>
      <c r="H76" s="313">
        <v>38000</v>
      </c>
      <c r="I76" s="513">
        <v>38000</v>
      </c>
      <c r="J76" s="232">
        <f t="shared" si="30"/>
        <v>50000</v>
      </c>
      <c r="K76" s="141"/>
      <c r="L76" s="159">
        <f>SUM(J76:K76)</f>
        <v>50000</v>
      </c>
      <c r="M76" s="72"/>
      <c r="N76" s="1">
        <f t="shared" ref="N76:N81" si="31">L76</f>
        <v>50000</v>
      </c>
      <c r="O76" s="72"/>
      <c r="P76" s="1"/>
      <c r="Q76" s="78"/>
      <c r="R76" s="78"/>
      <c r="S76" s="1"/>
      <c r="T76" s="78"/>
      <c r="U76" s="78"/>
      <c r="V76" s="44"/>
      <c r="W76" s="343">
        <v>7315</v>
      </c>
      <c r="X76" s="78">
        <v>17850</v>
      </c>
      <c r="Y76" s="78">
        <f>13063-228</f>
        <v>12835</v>
      </c>
      <c r="Z76" s="44">
        <v>12000</v>
      </c>
    </row>
    <row r="77" spans="1:26" s="18" customFormat="1" ht="15" hidden="1" customHeight="1" x14ac:dyDescent="0.25">
      <c r="A77" s="118" t="s">
        <v>184</v>
      </c>
      <c r="B77" s="53" t="s">
        <v>638</v>
      </c>
      <c r="C77" s="642" t="s">
        <v>185</v>
      </c>
      <c r="D77" s="643"/>
      <c r="E77" s="643"/>
      <c r="F77" s="160">
        <v>0</v>
      </c>
      <c r="G77" s="342">
        <v>0</v>
      </c>
      <c r="H77" s="312">
        <v>0</v>
      </c>
      <c r="I77" s="510">
        <v>0</v>
      </c>
      <c r="J77" s="232">
        <f t="shared" si="30"/>
        <v>0</v>
      </c>
      <c r="K77" s="148">
        <f t="shared" ref="K77:Z77" si="32">K78+K79</f>
        <v>0</v>
      </c>
      <c r="L77" s="160">
        <f t="shared" si="2"/>
        <v>0</v>
      </c>
      <c r="M77" s="74">
        <f>M78+M79</f>
        <v>0</v>
      </c>
      <c r="N77" s="1">
        <f t="shared" si="31"/>
        <v>0</v>
      </c>
      <c r="O77" s="74">
        <f t="shared" si="32"/>
        <v>0</v>
      </c>
      <c r="P77" s="13">
        <f t="shared" si="32"/>
        <v>0</v>
      </c>
      <c r="Q77" s="79">
        <f t="shared" si="32"/>
        <v>0</v>
      </c>
      <c r="R77" s="79">
        <f t="shared" si="32"/>
        <v>0</v>
      </c>
      <c r="S77" s="13">
        <f t="shared" si="32"/>
        <v>0</v>
      </c>
      <c r="T77" s="79">
        <f t="shared" si="32"/>
        <v>0</v>
      </c>
      <c r="U77" s="79">
        <f t="shared" si="32"/>
        <v>0</v>
      </c>
      <c r="V77" s="45">
        <f t="shared" si="32"/>
        <v>0</v>
      </c>
      <c r="W77" s="342">
        <f t="shared" si="32"/>
        <v>0</v>
      </c>
      <c r="X77" s="79">
        <f t="shared" si="32"/>
        <v>0</v>
      </c>
      <c r="Y77" s="79">
        <f t="shared" si="32"/>
        <v>0</v>
      </c>
      <c r="Z77" s="45">
        <f t="shared" si="32"/>
        <v>0</v>
      </c>
    </row>
    <row r="78" spans="1:26" ht="15" hidden="1" customHeight="1" x14ac:dyDescent="0.25">
      <c r="B78" s="54"/>
      <c r="C78" s="250"/>
      <c r="D78" s="624" t="s">
        <v>186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 t="shared" si="30"/>
        <v>0</v>
      </c>
      <c r="K78" s="141"/>
      <c r="L78" s="159">
        <f t="shared" si="2"/>
        <v>0</v>
      </c>
      <c r="M78" s="72"/>
      <c r="N78" s="1">
        <f t="shared" si="31"/>
        <v>0</v>
      </c>
      <c r="O78" s="72"/>
      <c r="P78" s="1"/>
      <c r="Q78" s="78"/>
      <c r="R78" s="78"/>
      <c r="S78" s="1"/>
      <c r="T78" s="78"/>
      <c r="U78" s="78"/>
      <c r="V78" s="44"/>
      <c r="W78" s="343"/>
      <c r="X78" s="78"/>
      <c r="Y78" s="78"/>
      <c r="Z78" s="44"/>
    </row>
    <row r="79" spans="1:26" ht="15" hidden="1" customHeight="1" x14ac:dyDescent="0.25">
      <c r="B79" s="54"/>
      <c r="C79" s="250"/>
      <c r="D79" s="624" t="s">
        <v>187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 t="shared" si="30"/>
        <v>0</v>
      </c>
      <c r="K79" s="141"/>
      <c r="L79" s="159">
        <f t="shared" si="2"/>
        <v>0</v>
      </c>
      <c r="M79" s="72"/>
      <c r="N79" s="1">
        <f t="shared" si="31"/>
        <v>0</v>
      </c>
      <c r="O79" s="72"/>
      <c r="P79" s="1"/>
      <c r="Q79" s="78"/>
      <c r="R79" s="78"/>
      <c r="S79" s="1"/>
      <c r="T79" s="78"/>
      <c r="U79" s="78"/>
      <c r="V79" s="44"/>
      <c r="W79" s="343"/>
      <c r="X79" s="78"/>
      <c r="Y79" s="78"/>
      <c r="Z79" s="44"/>
    </row>
    <row r="80" spans="1:26" s="41" customFormat="1" ht="15" hidden="1" customHeight="1" x14ac:dyDescent="0.25">
      <c r="A80" s="118" t="s">
        <v>188</v>
      </c>
      <c r="B80" s="53" t="s">
        <v>639</v>
      </c>
      <c r="C80" s="628" t="s">
        <v>189</v>
      </c>
      <c r="D80" s="629"/>
      <c r="E80" s="629"/>
      <c r="F80" s="160">
        <v>0</v>
      </c>
      <c r="G80" s="342">
        <v>0</v>
      </c>
      <c r="H80" s="312">
        <v>0</v>
      </c>
      <c r="I80" s="510">
        <v>0</v>
      </c>
      <c r="J80" s="239">
        <f t="shared" si="30"/>
        <v>0</v>
      </c>
      <c r="K80" s="148"/>
      <c r="L80" s="160">
        <f t="shared" si="2"/>
        <v>0</v>
      </c>
      <c r="M80" s="74"/>
      <c r="N80" s="13">
        <f t="shared" si="31"/>
        <v>0</v>
      </c>
      <c r="O80" s="74">
        <f>O81</f>
        <v>0</v>
      </c>
      <c r="P80" s="13"/>
      <c r="Q80" s="79"/>
      <c r="R80" s="79"/>
      <c r="S80" s="13"/>
      <c r="T80" s="79"/>
      <c r="U80" s="79"/>
      <c r="V80" s="45"/>
      <c r="W80" s="342"/>
      <c r="X80" s="79"/>
      <c r="Y80" s="79"/>
      <c r="Z80" s="45"/>
    </row>
    <row r="81" spans="1:26" s="41" customFormat="1" ht="15" hidden="1" customHeight="1" x14ac:dyDescent="0.25">
      <c r="A81" s="118"/>
      <c r="B81" s="53"/>
      <c r="C81" s="459"/>
      <c r="D81" s="458" t="s">
        <v>998</v>
      </c>
      <c r="E81" s="460"/>
      <c r="F81" s="160"/>
      <c r="G81" s="342"/>
      <c r="H81" s="312">
        <v>0</v>
      </c>
      <c r="I81" s="510">
        <v>0</v>
      </c>
      <c r="J81" s="232">
        <f t="shared" si="30"/>
        <v>0</v>
      </c>
      <c r="K81" s="148"/>
      <c r="L81" s="183">
        <f t="shared" si="2"/>
        <v>0</v>
      </c>
      <c r="M81" s="74"/>
      <c r="N81" s="1">
        <f t="shared" si="31"/>
        <v>0</v>
      </c>
      <c r="O81" s="72"/>
      <c r="P81" s="13"/>
      <c r="Q81" s="79"/>
      <c r="R81" s="79"/>
      <c r="S81" s="13"/>
      <c r="T81" s="79"/>
      <c r="U81" s="79"/>
      <c r="V81" s="45"/>
      <c r="W81" s="342"/>
      <c r="X81" s="79"/>
      <c r="Y81" s="79"/>
      <c r="Z81" s="45"/>
    </row>
    <row r="82" spans="1:26" s="41" customFormat="1" x14ac:dyDescent="0.25">
      <c r="A82" s="118" t="s">
        <v>190</v>
      </c>
      <c r="B82" s="53" t="s">
        <v>640</v>
      </c>
      <c r="C82" s="628" t="s">
        <v>191</v>
      </c>
      <c r="D82" s="629"/>
      <c r="E82" s="629"/>
      <c r="F82" s="160">
        <v>37184</v>
      </c>
      <c r="G82" s="342">
        <v>37184</v>
      </c>
      <c r="H82" s="312">
        <v>37184</v>
      </c>
      <c r="I82" s="510">
        <v>37184</v>
      </c>
      <c r="J82" s="239">
        <f>SUM(J83:J84)</f>
        <v>87184</v>
      </c>
      <c r="K82" s="148">
        <f>SUM(K83:K84)</f>
        <v>0</v>
      </c>
      <c r="L82" s="160">
        <f t="shared" si="2"/>
        <v>87184</v>
      </c>
      <c r="M82" s="74">
        <f>SUM(M83:M84)</f>
        <v>62060</v>
      </c>
      <c r="N82" s="13">
        <f t="shared" ref="N82:Z82" si="33">SUM(N83:N84)</f>
        <v>25124</v>
      </c>
      <c r="O82" s="74">
        <f>SUM(O83:O84)</f>
        <v>0</v>
      </c>
      <c r="P82" s="13">
        <f t="shared" si="33"/>
        <v>0</v>
      </c>
      <c r="Q82" s="79">
        <f t="shared" si="33"/>
        <v>0</v>
      </c>
      <c r="R82" s="79">
        <f t="shared" si="33"/>
        <v>18592</v>
      </c>
      <c r="S82" s="13">
        <f t="shared" si="33"/>
        <v>0</v>
      </c>
      <c r="T82" s="79">
        <f t="shared" si="33"/>
        <v>0</v>
      </c>
      <c r="U82" s="79">
        <f t="shared" si="33"/>
        <v>0</v>
      </c>
      <c r="V82" s="45">
        <f t="shared" si="33"/>
        <v>0</v>
      </c>
      <c r="W82" s="342">
        <f t="shared" si="33"/>
        <v>18592</v>
      </c>
      <c r="X82" s="79">
        <f t="shared" si="33"/>
        <v>0</v>
      </c>
      <c r="Y82" s="79">
        <f t="shared" si="33"/>
        <v>0</v>
      </c>
      <c r="Z82" s="45">
        <f t="shared" si="33"/>
        <v>50000</v>
      </c>
    </row>
    <row r="83" spans="1:26" x14ac:dyDescent="0.25">
      <c r="B83" s="54"/>
      <c r="C83" s="250"/>
      <c r="D83" s="279" t="s">
        <v>997</v>
      </c>
      <c r="E83" s="278"/>
      <c r="F83" s="159">
        <v>12060</v>
      </c>
      <c r="G83" s="343">
        <v>12060</v>
      </c>
      <c r="H83" s="313">
        <v>12060</v>
      </c>
      <c r="I83" s="513">
        <v>12060</v>
      </c>
      <c r="J83" s="232">
        <f>SUM(O83:Z83)</f>
        <v>62060</v>
      </c>
      <c r="K83" s="141"/>
      <c r="L83" s="159">
        <f>SUM(J83:K83)</f>
        <v>62060</v>
      </c>
      <c r="M83" s="72">
        <f>L83</f>
        <v>62060</v>
      </c>
      <c r="N83" s="1"/>
      <c r="O83" s="72"/>
      <c r="P83" s="1"/>
      <c r="Q83" s="78"/>
      <c r="R83" s="78">
        <v>6030</v>
      </c>
      <c r="S83" s="1"/>
      <c r="T83" s="78"/>
      <c r="U83" s="78"/>
      <c r="V83" s="44"/>
      <c r="W83" s="343">
        <v>6030</v>
      </c>
      <c r="X83" s="78"/>
      <c r="Y83" s="78"/>
      <c r="Z83" s="44">
        <v>50000</v>
      </c>
    </row>
    <row r="84" spans="1:26" x14ac:dyDescent="0.25">
      <c r="B84" s="54"/>
      <c r="C84" s="250"/>
      <c r="D84" s="279" t="s">
        <v>998</v>
      </c>
      <c r="E84" s="278"/>
      <c r="F84" s="159">
        <v>25124</v>
      </c>
      <c r="G84" s="343">
        <v>25124</v>
      </c>
      <c r="H84" s="313">
        <v>25124</v>
      </c>
      <c r="I84" s="513">
        <v>25124</v>
      </c>
      <c r="J84" s="232">
        <f>SUM(O84:Z84)</f>
        <v>25124</v>
      </c>
      <c r="K84" s="141"/>
      <c r="L84" s="159">
        <f>SUM(J84:K84)</f>
        <v>25124</v>
      </c>
      <c r="M84" s="72"/>
      <c r="N84" s="1">
        <f>L84</f>
        <v>25124</v>
      </c>
      <c r="O84" s="72"/>
      <c r="P84" s="1"/>
      <c r="Q84" s="78"/>
      <c r="R84" s="78">
        <f>14572-2010</f>
        <v>12562</v>
      </c>
      <c r="S84" s="1"/>
      <c r="T84" s="78"/>
      <c r="U84" s="78"/>
      <c r="V84" s="44"/>
      <c r="W84" s="343">
        <v>12562</v>
      </c>
      <c r="X84" s="78"/>
      <c r="Y84" s="78"/>
      <c r="Z84" s="44"/>
    </row>
    <row r="85" spans="1:26" x14ac:dyDescent="0.25">
      <c r="B85" s="88" t="s">
        <v>641</v>
      </c>
      <c r="C85" s="626" t="s">
        <v>192</v>
      </c>
      <c r="D85" s="627"/>
      <c r="E85" s="627"/>
      <c r="F85" s="158">
        <v>350000</v>
      </c>
      <c r="G85" s="341">
        <v>350000</v>
      </c>
      <c r="H85" s="311">
        <v>350000</v>
      </c>
      <c r="I85" s="509">
        <v>350000</v>
      </c>
      <c r="J85" s="233">
        <f>J86+J87</f>
        <v>394242</v>
      </c>
      <c r="K85" s="142">
        <f t="shared" ref="K85:Z85" si="34">K86+K87</f>
        <v>0</v>
      </c>
      <c r="L85" s="158">
        <f t="shared" si="2"/>
        <v>394242</v>
      </c>
      <c r="M85" s="90">
        <f>M86+M87</f>
        <v>15000</v>
      </c>
      <c r="N85" s="91">
        <f>N86+N87</f>
        <v>379242</v>
      </c>
      <c r="O85" s="90">
        <f t="shared" si="34"/>
        <v>0</v>
      </c>
      <c r="P85" s="91">
        <f t="shared" si="34"/>
        <v>0</v>
      </c>
      <c r="Q85" s="94">
        <f t="shared" si="34"/>
        <v>31500</v>
      </c>
      <c r="R85" s="94">
        <f t="shared" si="34"/>
        <v>17899</v>
      </c>
      <c r="S85" s="91">
        <f t="shared" si="34"/>
        <v>41283</v>
      </c>
      <c r="T85" s="94">
        <f t="shared" si="34"/>
        <v>0</v>
      </c>
      <c r="U85" s="94">
        <f t="shared" si="34"/>
        <v>0</v>
      </c>
      <c r="V85" s="95">
        <f t="shared" si="34"/>
        <v>0</v>
      </c>
      <c r="W85" s="341">
        <f t="shared" si="34"/>
        <v>0</v>
      </c>
      <c r="X85" s="94">
        <f t="shared" si="34"/>
        <v>135205</v>
      </c>
      <c r="Y85" s="94">
        <f t="shared" si="34"/>
        <v>150872</v>
      </c>
      <c r="Z85" s="95">
        <f t="shared" si="34"/>
        <v>17483</v>
      </c>
    </row>
    <row r="86" spans="1:26" s="41" customFormat="1" ht="15" hidden="1" customHeight="1" x14ac:dyDescent="0.25">
      <c r="A86" s="118" t="s">
        <v>193</v>
      </c>
      <c r="B86" s="53" t="s">
        <v>642</v>
      </c>
      <c r="C86" s="628" t="s">
        <v>194</v>
      </c>
      <c r="D86" s="629"/>
      <c r="E86" s="629"/>
      <c r="F86" s="160">
        <v>0</v>
      </c>
      <c r="G86" s="342">
        <v>0</v>
      </c>
      <c r="H86" s="312">
        <v>0</v>
      </c>
      <c r="I86" s="510">
        <v>0</v>
      </c>
      <c r="J86" s="239">
        <f>SUM(O86:Z86)</f>
        <v>0</v>
      </c>
      <c r="K86" s="148"/>
      <c r="L86" s="160">
        <f t="shared" si="2"/>
        <v>0</v>
      </c>
      <c r="M86" s="74"/>
      <c r="N86" s="13"/>
      <c r="O86" s="74"/>
      <c r="P86" s="13"/>
      <c r="Q86" s="79"/>
      <c r="R86" s="79"/>
      <c r="S86" s="13"/>
      <c r="T86" s="79"/>
      <c r="U86" s="79"/>
      <c r="V86" s="45"/>
      <c r="W86" s="342"/>
      <c r="X86" s="79"/>
      <c r="Y86" s="79"/>
      <c r="Z86" s="45"/>
    </row>
    <row r="87" spans="1:26" s="41" customFormat="1" x14ac:dyDescent="0.25">
      <c r="A87" s="118" t="s">
        <v>195</v>
      </c>
      <c r="B87" s="53" t="s">
        <v>643</v>
      </c>
      <c r="C87" s="628" t="s">
        <v>196</v>
      </c>
      <c r="D87" s="629"/>
      <c r="E87" s="629"/>
      <c r="F87" s="160">
        <v>350000</v>
      </c>
      <c r="G87" s="342">
        <v>350000</v>
      </c>
      <c r="H87" s="312">
        <v>350000</v>
      </c>
      <c r="I87" s="510">
        <v>350000</v>
      </c>
      <c r="J87" s="239">
        <f>SUM(O87:Z87)</f>
        <v>394242</v>
      </c>
      <c r="K87" s="148"/>
      <c r="L87" s="474">
        <f t="shared" si="2"/>
        <v>394242</v>
      </c>
      <c r="M87" s="74">
        <f>SUM(M88)</f>
        <v>15000</v>
      </c>
      <c r="N87" s="43">
        <f>N89</f>
        <v>379242</v>
      </c>
      <c r="O87" s="74">
        <f t="shared" ref="O87:Z87" si="35">SUM(O88:O89)</f>
        <v>0</v>
      </c>
      <c r="P87" s="13">
        <f t="shared" si="35"/>
        <v>0</v>
      </c>
      <c r="Q87" s="79">
        <f t="shared" si="35"/>
        <v>31500</v>
      </c>
      <c r="R87" s="79">
        <f t="shared" si="35"/>
        <v>17899</v>
      </c>
      <c r="S87" s="13">
        <f t="shared" si="35"/>
        <v>41283</v>
      </c>
      <c r="T87" s="342">
        <f t="shared" si="35"/>
        <v>0</v>
      </c>
      <c r="U87" s="79">
        <f t="shared" si="35"/>
        <v>0</v>
      </c>
      <c r="V87" s="45">
        <f t="shared" si="35"/>
        <v>0</v>
      </c>
      <c r="W87" s="43">
        <f t="shared" si="35"/>
        <v>0</v>
      </c>
      <c r="X87" s="43">
        <f t="shared" si="35"/>
        <v>135205</v>
      </c>
      <c r="Y87" s="43">
        <f t="shared" si="35"/>
        <v>150872</v>
      </c>
      <c r="Z87" s="45">
        <f t="shared" si="35"/>
        <v>17483</v>
      </c>
    </row>
    <row r="88" spans="1:26" s="41" customFormat="1" x14ac:dyDescent="0.25">
      <c r="A88" s="118"/>
      <c r="B88" s="53"/>
      <c r="C88" s="459"/>
      <c r="D88" s="461" t="s">
        <v>997</v>
      </c>
      <c r="E88" s="460"/>
      <c r="F88" s="160"/>
      <c r="G88" s="342"/>
      <c r="H88" s="312">
        <v>5882</v>
      </c>
      <c r="I88" s="510">
        <v>5882</v>
      </c>
      <c r="J88" s="239">
        <f>SUM(O88:Z88)</f>
        <v>15000</v>
      </c>
      <c r="K88" s="148"/>
      <c r="L88" s="160">
        <f t="shared" si="2"/>
        <v>15000</v>
      </c>
      <c r="M88" s="74">
        <f>L88</f>
        <v>15000</v>
      </c>
      <c r="N88" s="43"/>
      <c r="O88" s="74"/>
      <c r="P88" s="13"/>
      <c r="Q88" s="79"/>
      <c r="R88" s="78">
        <v>5882</v>
      </c>
      <c r="S88" s="1">
        <v>3913</v>
      </c>
      <c r="T88" s="79"/>
      <c r="U88" s="79"/>
      <c r="V88" s="45"/>
      <c r="W88" s="342"/>
      <c r="X88" s="79">
        <v>5205</v>
      </c>
      <c r="Y88" s="79"/>
      <c r="Z88" s="45"/>
    </row>
    <row r="89" spans="1:26" s="41" customFormat="1" x14ac:dyDescent="0.25">
      <c r="A89" s="118"/>
      <c r="B89" s="53"/>
      <c r="C89" s="459"/>
      <c r="D89" s="461" t="s">
        <v>998</v>
      </c>
      <c r="E89" s="460"/>
      <c r="F89" s="160"/>
      <c r="G89" s="342"/>
      <c r="H89" s="312">
        <v>344118</v>
      </c>
      <c r="I89" s="510">
        <v>344118</v>
      </c>
      <c r="J89" s="239">
        <f>SUM(O89:Z89)</f>
        <v>379242</v>
      </c>
      <c r="K89" s="148"/>
      <c r="L89" s="160">
        <f t="shared" si="2"/>
        <v>379242</v>
      </c>
      <c r="M89" s="74"/>
      <c r="N89" s="43">
        <f>L89</f>
        <v>379242</v>
      </c>
      <c r="O89" s="74"/>
      <c r="P89" s="13"/>
      <c r="Q89" s="78">
        <v>31500</v>
      </c>
      <c r="R89" s="78">
        <v>12017</v>
      </c>
      <c r="S89" s="1">
        <f>41283-3913</f>
        <v>37370</v>
      </c>
      <c r="T89" s="78"/>
      <c r="U89" s="78"/>
      <c r="V89" s="45"/>
      <c r="W89" s="342"/>
      <c r="X89" s="79">
        <v>130000</v>
      </c>
      <c r="Y89" s="79">
        <f>51493-12017+114118-2722</f>
        <v>150872</v>
      </c>
      <c r="Z89" s="45">
        <v>17483</v>
      </c>
    </row>
    <row r="90" spans="1:26" x14ac:dyDescent="0.25">
      <c r="B90" s="88" t="s">
        <v>644</v>
      </c>
      <c r="C90" s="626" t="s">
        <v>197</v>
      </c>
      <c r="D90" s="627"/>
      <c r="E90" s="627"/>
      <c r="F90" s="158">
        <v>1302950</v>
      </c>
      <c r="G90" s="341">
        <v>1302950</v>
      </c>
      <c r="H90" s="311">
        <v>1297810</v>
      </c>
      <c r="I90" s="509">
        <v>1297810</v>
      </c>
      <c r="J90" s="233">
        <f>J91+J94+J95+J96+J97</f>
        <v>1324274</v>
      </c>
      <c r="K90" s="142">
        <f t="shared" ref="K90:Z90" si="36">K91+K94+K95+K96+K97</f>
        <v>0</v>
      </c>
      <c r="L90" s="158">
        <f>SUM(J90:K90)</f>
        <v>1324274</v>
      </c>
      <c r="M90" s="90">
        <f>M91+M94+M95+M96+M97</f>
        <v>95950</v>
      </c>
      <c r="N90" s="91">
        <f>N91+N94+N95+N96+N97</f>
        <v>1228324</v>
      </c>
      <c r="O90" s="90">
        <f t="shared" si="36"/>
        <v>19139</v>
      </c>
      <c r="P90" s="91">
        <f t="shared" si="36"/>
        <v>14711</v>
      </c>
      <c r="Q90" s="94">
        <f t="shared" si="36"/>
        <v>25451</v>
      </c>
      <c r="R90" s="94">
        <f t="shared" si="36"/>
        <v>22425</v>
      </c>
      <c r="S90" s="91">
        <f t="shared" si="36"/>
        <v>36635</v>
      </c>
      <c r="T90" s="94">
        <f t="shared" si="36"/>
        <v>58865</v>
      </c>
      <c r="U90" s="94">
        <f t="shared" si="36"/>
        <v>48606</v>
      </c>
      <c r="V90" s="95">
        <f t="shared" si="36"/>
        <v>114391</v>
      </c>
      <c r="W90" s="341">
        <f t="shared" si="36"/>
        <v>70677</v>
      </c>
      <c r="X90" s="94">
        <f t="shared" si="36"/>
        <v>364193</v>
      </c>
      <c r="Y90" s="94">
        <f t="shared" si="36"/>
        <v>436459</v>
      </c>
      <c r="Z90" s="95">
        <f t="shared" si="36"/>
        <v>112722</v>
      </c>
    </row>
    <row r="91" spans="1:26" s="41" customFormat="1" x14ac:dyDescent="0.25">
      <c r="A91" s="118" t="s">
        <v>198</v>
      </c>
      <c r="B91" s="53" t="s">
        <v>645</v>
      </c>
      <c r="C91" s="628" t="s">
        <v>876</v>
      </c>
      <c r="D91" s="629"/>
      <c r="E91" s="629"/>
      <c r="F91" s="160">
        <v>301950</v>
      </c>
      <c r="G91" s="342">
        <v>301950</v>
      </c>
      <c r="H91" s="312">
        <v>296808</v>
      </c>
      <c r="I91" s="510">
        <v>296808</v>
      </c>
      <c r="J91" s="239">
        <f>SUM(J92:J93)</f>
        <v>323274</v>
      </c>
      <c r="K91" s="148">
        <f>SUM(K92:K93)</f>
        <v>0</v>
      </c>
      <c r="L91" s="160">
        <f t="shared" si="2"/>
        <v>323274</v>
      </c>
      <c r="M91" s="74">
        <f t="shared" ref="M91:Z91" si="37">SUM(M92:M93)</f>
        <v>95450</v>
      </c>
      <c r="N91" s="13">
        <f t="shared" si="37"/>
        <v>227824</v>
      </c>
      <c r="O91" s="74">
        <f t="shared" si="37"/>
        <v>19139</v>
      </c>
      <c r="P91" s="13">
        <f t="shared" si="37"/>
        <v>14716</v>
      </c>
      <c r="Q91" s="79">
        <f t="shared" si="37"/>
        <v>25448</v>
      </c>
      <c r="R91" s="79">
        <f t="shared" si="37"/>
        <v>22421</v>
      </c>
      <c r="S91" s="13">
        <f t="shared" si="37"/>
        <v>36637</v>
      </c>
      <c r="T91" s="79">
        <f t="shared" si="37"/>
        <v>19598</v>
      </c>
      <c r="U91" s="79">
        <f t="shared" si="37"/>
        <v>17369</v>
      </c>
      <c r="V91" s="45">
        <f t="shared" si="37"/>
        <v>10067</v>
      </c>
      <c r="W91" s="342">
        <f t="shared" si="37"/>
        <v>13028</v>
      </c>
      <c r="X91" s="79">
        <f t="shared" si="37"/>
        <v>70391</v>
      </c>
      <c r="Y91" s="79">
        <f t="shared" si="37"/>
        <v>53644</v>
      </c>
      <c r="Z91" s="45">
        <f t="shared" si="37"/>
        <v>20816</v>
      </c>
    </row>
    <row r="92" spans="1:26" x14ac:dyDescent="0.25">
      <c r="B92" s="54"/>
      <c r="C92" s="250"/>
      <c r="D92" s="274" t="s">
        <v>997</v>
      </c>
      <c r="E92" s="274"/>
      <c r="F92" s="159">
        <v>107133</v>
      </c>
      <c r="G92" s="343">
        <v>107133</v>
      </c>
      <c r="H92" s="313">
        <v>96758</v>
      </c>
      <c r="I92" s="513">
        <v>96758</v>
      </c>
      <c r="J92" s="232">
        <f>SUM(O92:Z92)</f>
        <v>95450</v>
      </c>
      <c r="K92" s="141"/>
      <c r="L92" s="159">
        <f>SUM(J92:K92)</f>
        <v>95450</v>
      </c>
      <c r="M92" s="72">
        <f>L92</f>
        <v>95450</v>
      </c>
      <c r="N92" s="1"/>
      <c r="O92" s="72">
        <v>3098</v>
      </c>
      <c r="P92" s="1">
        <v>3450</v>
      </c>
      <c r="Q92" s="78">
        <v>3571</v>
      </c>
      <c r="R92" s="78">
        <v>3532</v>
      </c>
      <c r="S92" s="1">
        <v>3408</v>
      </c>
      <c r="T92" s="78">
        <v>8646</v>
      </c>
      <c r="U92" s="78">
        <v>3348</v>
      </c>
      <c r="V92" s="44">
        <v>2517</v>
      </c>
      <c r="W92" s="343">
        <v>3002</v>
      </c>
      <c r="X92" s="78">
        <v>21943</v>
      </c>
      <c r="Y92" s="78">
        <f>7687+12152+2255+8938</f>
        <v>31032</v>
      </c>
      <c r="Z92" s="44">
        <v>7903</v>
      </c>
    </row>
    <row r="93" spans="1:26" x14ac:dyDescent="0.25">
      <c r="B93" s="54"/>
      <c r="C93" s="250"/>
      <c r="D93" s="274" t="s">
        <v>998</v>
      </c>
      <c r="E93" s="274"/>
      <c r="F93" s="159">
        <v>194817</v>
      </c>
      <c r="G93" s="343">
        <v>194817</v>
      </c>
      <c r="H93" s="313">
        <v>200050</v>
      </c>
      <c r="I93" s="513">
        <v>200050</v>
      </c>
      <c r="J93" s="232">
        <f>SUM(O93:Z93)</f>
        <v>227824</v>
      </c>
      <c r="K93" s="141"/>
      <c r="L93" s="159">
        <f>SUM(J93:K93)</f>
        <v>227824</v>
      </c>
      <c r="M93" s="72"/>
      <c r="N93" s="1">
        <f>L93</f>
        <v>227824</v>
      </c>
      <c r="O93" s="72">
        <v>16041</v>
      </c>
      <c r="P93" s="1">
        <v>11266</v>
      </c>
      <c r="Q93" s="78">
        <v>21877</v>
      </c>
      <c r="R93" s="78">
        <v>18889</v>
      </c>
      <c r="S93" s="1">
        <f>34672-1443</f>
        <v>33229</v>
      </c>
      <c r="T93" s="78">
        <f>14789-3837</f>
        <v>10952</v>
      </c>
      <c r="U93" s="78">
        <f>1545+8451+4025</f>
        <v>14021</v>
      </c>
      <c r="V93" s="44">
        <v>7550</v>
      </c>
      <c r="W93" s="343">
        <v>10026</v>
      </c>
      <c r="X93" s="78">
        <f>11992+1456+35000</f>
        <v>48448</v>
      </c>
      <c r="Y93" s="78">
        <f>12521+1490+2547+6054</f>
        <v>22612</v>
      </c>
      <c r="Z93" s="44">
        <v>12913</v>
      </c>
    </row>
    <row r="94" spans="1:26" s="41" customFormat="1" ht="15" hidden="1" customHeight="1" x14ac:dyDescent="0.25">
      <c r="A94" s="118" t="s">
        <v>199</v>
      </c>
      <c r="B94" s="53" t="s">
        <v>646</v>
      </c>
      <c r="C94" s="628" t="s">
        <v>200</v>
      </c>
      <c r="D94" s="629"/>
      <c r="E94" s="629"/>
      <c r="F94" s="160">
        <v>0</v>
      </c>
      <c r="G94" s="342">
        <v>0</v>
      </c>
      <c r="H94" s="312">
        <v>0</v>
      </c>
      <c r="I94" s="510">
        <v>0</v>
      </c>
      <c r="J94" s="239">
        <f>SUM(O94:Z94)</f>
        <v>0</v>
      </c>
      <c r="K94" s="148"/>
      <c r="L94" s="160">
        <f t="shared" si="2"/>
        <v>0</v>
      </c>
      <c r="M94" s="74"/>
      <c r="N94" s="13"/>
      <c r="O94" s="74"/>
      <c r="P94" s="13"/>
      <c r="Q94" s="79"/>
      <c r="R94" s="79"/>
      <c r="S94" s="13"/>
      <c r="T94" s="79"/>
      <c r="U94" s="79"/>
      <c r="V94" s="45"/>
      <c r="W94" s="342"/>
      <c r="X94" s="79"/>
      <c r="Y94" s="79"/>
      <c r="Z94" s="45"/>
    </row>
    <row r="95" spans="1:26" s="41" customFormat="1" ht="15" customHeight="1" x14ac:dyDescent="0.25">
      <c r="A95" s="118" t="s">
        <v>201</v>
      </c>
      <c r="B95" s="53" t="s">
        <v>647</v>
      </c>
      <c r="C95" s="628" t="s">
        <v>202</v>
      </c>
      <c r="D95" s="629"/>
      <c r="E95" s="629"/>
      <c r="F95" s="160">
        <v>1000000</v>
      </c>
      <c r="G95" s="342">
        <v>1000000</v>
      </c>
      <c r="H95" s="312">
        <v>1000000</v>
      </c>
      <c r="I95" s="510">
        <v>1000000</v>
      </c>
      <c r="J95" s="239">
        <f>SUM(O95:Z95)</f>
        <v>1000000</v>
      </c>
      <c r="K95" s="148"/>
      <c r="L95" s="160">
        <f t="shared" si="2"/>
        <v>1000000</v>
      </c>
      <c r="M95" s="74"/>
      <c r="N95" s="13">
        <f>J95</f>
        <v>1000000</v>
      </c>
      <c r="O95" s="74"/>
      <c r="P95" s="13"/>
      <c r="Q95" s="79"/>
      <c r="R95" s="79"/>
      <c r="S95" s="13"/>
      <c r="T95" s="79">
        <v>39268</v>
      </c>
      <c r="U95" s="79">
        <v>31235</v>
      </c>
      <c r="V95" s="45">
        <v>104322</v>
      </c>
      <c r="W95" s="43">
        <v>57649</v>
      </c>
      <c r="X95" s="13">
        <f>142550+90909+60343</f>
        <v>293802</v>
      </c>
      <c r="Y95" s="43">
        <f>291905+90910</f>
        <v>382815</v>
      </c>
      <c r="Z95" s="45">
        <v>90909</v>
      </c>
    </row>
    <row r="96" spans="1:26" s="41" customFormat="1" ht="15" hidden="1" customHeight="1" x14ac:dyDescent="0.25">
      <c r="A96" s="118" t="s">
        <v>203</v>
      </c>
      <c r="B96" s="53" t="s">
        <v>648</v>
      </c>
      <c r="C96" s="628" t="s">
        <v>204</v>
      </c>
      <c r="D96" s="629"/>
      <c r="E96" s="629"/>
      <c r="F96" s="160">
        <v>0</v>
      </c>
      <c r="G96" s="342">
        <v>0</v>
      </c>
      <c r="H96" s="312">
        <v>0</v>
      </c>
      <c r="I96" s="510">
        <v>0</v>
      </c>
      <c r="J96" s="239">
        <f>SUM(O96:Z96)</f>
        <v>0</v>
      </c>
      <c r="K96" s="148"/>
      <c r="L96" s="160">
        <f t="shared" si="2"/>
        <v>0</v>
      </c>
      <c r="M96" s="74"/>
      <c r="N96" s="13"/>
      <c r="O96" s="74"/>
      <c r="P96" s="13"/>
      <c r="Q96" s="79"/>
      <c r="R96" s="79"/>
      <c r="S96" s="13"/>
      <c r="T96" s="79"/>
      <c r="U96" s="79"/>
      <c r="V96" s="45"/>
      <c r="W96" s="342"/>
      <c r="X96" s="79"/>
      <c r="Y96" s="79"/>
      <c r="Z96" s="45"/>
    </row>
    <row r="97" spans="1:27" s="41" customFormat="1" x14ac:dyDescent="0.25">
      <c r="A97" s="118" t="s">
        <v>205</v>
      </c>
      <c r="B97" s="53" t="s">
        <v>649</v>
      </c>
      <c r="C97" s="628" t="s">
        <v>206</v>
      </c>
      <c r="D97" s="629"/>
      <c r="E97" s="629"/>
      <c r="F97" s="160">
        <v>1000</v>
      </c>
      <c r="G97" s="342">
        <v>1000</v>
      </c>
      <c r="H97" s="312">
        <v>1002</v>
      </c>
      <c r="I97" s="510">
        <v>1002</v>
      </c>
      <c r="J97" s="239">
        <f>SUM(J98:J99)</f>
        <v>1000</v>
      </c>
      <c r="K97" s="148">
        <f>SUM(K98:K99)</f>
        <v>0</v>
      </c>
      <c r="L97" s="160">
        <f>SUM(J97:K97)</f>
        <v>1000</v>
      </c>
      <c r="M97" s="74">
        <f>SUM(M98:M99)</f>
        <v>500</v>
      </c>
      <c r="N97" s="13">
        <f t="shared" ref="N97:Z97" si="38">SUM(N98:N99)</f>
        <v>500</v>
      </c>
      <c r="O97" s="74">
        <f t="shared" si="38"/>
        <v>0</v>
      </c>
      <c r="P97" s="13">
        <f t="shared" si="38"/>
        <v>-5</v>
      </c>
      <c r="Q97" s="79">
        <f t="shared" si="38"/>
        <v>3</v>
      </c>
      <c r="R97" s="79">
        <f t="shared" si="38"/>
        <v>4</v>
      </c>
      <c r="S97" s="13">
        <f t="shared" si="38"/>
        <v>-2</v>
      </c>
      <c r="T97" s="79">
        <f t="shared" si="38"/>
        <v>-1</v>
      </c>
      <c r="U97" s="79">
        <f t="shared" si="38"/>
        <v>2</v>
      </c>
      <c r="V97" s="45">
        <f t="shared" si="38"/>
        <v>2</v>
      </c>
      <c r="W97" s="342">
        <f t="shared" si="38"/>
        <v>0</v>
      </c>
      <c r="X97" s="79">
        <f t="shared" si="38"/>
        <v>0</v>
      </c>
      <c r="Y97" s="79">
        <f t="shared" si="38"/>
        <v>0</v>
      </c>
      <c r="Z97" s="45">
        <f t="shared" si="38"/>
        <v>997</v>
      </c>
    </row>
    <row r="98" spans="1:27" x14ac:dyDescent="0.25">
      <c r="B98" s="54"/>
      <c r="C98" s="250"/>
      <c r="D98" s="279" t="s">
        <v>997</v>
      </c>
      <c r="E98" s="278"/>
      <c r="F98" s="159">
        <v>500</v>
      </c>
      <c r="G98" s="343">
        <v>500</v>
      </c>
      <c r="H98" s="313">
        <v>502</v>
      </c>
      <c r="I98" s="513">
        <v>502</v>
      </c>
      <c r="J98" s="232">
        <f>SUM(O98:Z98)</f>
        <v>500</v>
      </c>
      <c r="K98" s="141"/>
      <c r="L98" s="159">
        <f>SUM(J98:K98)</f>
        <v>500</v>
      </c>
      <c r="M98" s="72">
        <f>L98</f>
        <v>500</v>
      </c>
      <c r="N98" s="1"/>
      <c r="O98" s="72"/>
      <c r="P98" s="1"/>
      <c r="Q98" s="78">
        <v>2</v>
      </c>
      <c r="R98" s="78"/>
      <c r="S98" s="1"/>
      <c r="T98" s="78"/>
      <c r="U98" s="78"/>
      <c r="V98" s="44"/>
      <c r="W98" s="343"/>
      <c r="X98" s="78"/>
      <c r="Y98" s="78"/>
      <c r="Z98" s="44">
        <v>498</v>
      </c>
    </row>
    <row r="99" spans="1:27" ht="15.75" thickBot="1" x14ac:dyDescent="0.3">
      <c r="B99" s="303"/>
      <c r="C99" s="304"/>
      <c r="D99" s="284" t="s">
        <v>998</v>
      </c>
      <c r="E99" s="305"/>
      <c r="F99" s="285">
        <v>500</v>
      </c>
      <c r="G99" s="391">
        <v>500</v>
      </c>
      <c r="H99" s="317">
        <v>500</v>
      </c>
      <c r="I99" s="523">
        <v>500</v>
      </c>
      <c r="J99" s="306">
        <f>SUM(O99:Z99)</f>
        <v>500</v>
      </c>
      <c r="K99" s="307"/>
      <c r="L99" s="285">
        <f>SUM(J99:K99)</f>
        <v>500</v>
      </c>
      <c r="M99" s="286"/>
      <c r="N99" s="287">
        <f>L99</f>
        <v>500</v>
      </c>
      <c r="O99" s="286"/>
      <c r="P99" s="287">
        <v>-5</v>
      </c>
      <c r="Q99" s="288">
        <v>1</v>
      </c>
      <c r="R99" s="288">
        <v>4</v>
      </c>
      <c r="S99" s="287">
        <v>-2</v>
      </c>
      <c r="T99" s="288">
        <v>-1</v>
      </c>
      <c r="U99" s="288">
        <v>2</v>
      </c>
      <c r="V99" s="290">
        <v>2</v>
      </c>
      <c r="W99" s="391"/>
      <c r="X99" s="288"/>
      <c r="Y99" s="288"/>
      <c r="Z99" s="290">
        <v>499</v>
      </c>
    </row>
    <row r="100" spans="1:27" ht="15.75" thickBot="1" x14ac:dyDescent="0.3">
      <c r="B100" s="81" t="s">
        <v>207</v>
      </c>
      <c r="C100" s="632" t="s">
        <v>208</v>
      </c>
      <c r="D100" s="633"/>
      <c r="E100" s="633"/>
      <c r="F100" s="156">
        <v>0</v>
      </c>
      <c r="G100" s="338">
        <v>0</v>
      </c>
      <c r="H100" s="308">
        <v>0</v>
      </c>
      <c r="I100" s="506">
        <v>0</v>
      </c>
      <c r="J100" s="235">
        <f>J101+J102+J103+J104+J105+J106+J107+J111</f>
        <v>0</v>
      </c>
      <c r="K100" s="144">
        <f t="shared" ref="K100:Z100" si="39">K101+K102+K103+K104+K105+K106+K107+K111</f>
        <v>0</v>
      </c>
      <c r="L100" s="156">
        <f t="shared" si="2"/>
        <v>0</v>
      </c>
      <c r="M100" s="82">
        <f>M101+M102+M103+M104+M105+M106+M107+M111</f>
        <v>0</v>
      </c>
      <c r="N100" s="83">
        <f>N101+N102+N103+N104+N105+N106+N107+N111</f>
        <v>0</v>
      </c>
      <c r="O100" s="82">
        <f t="shared" si="39"/>
        <v>0</v>
      </c>
      <c r="P100" s="83">
        <f t="shared" si="39"/>
        <v>0</v>
      </c>
      <c r="Q100" s="86">
        <f t="shared" si="39"/>
        <v>0</v>
      </c>
      <c r="R100" s="86">
        <f t="shared" si="39"/>
        <v>0</v>
      </c>
      <c r="S100" s="83">
        <f t="shared" si="39"/>
        <v>0</v>
      </c>
      <c r="T100" s="86">
        <f t="shared" si="39"/>
        <v>0</v>
      </c>
      <c r="U100" s="86">
        <f t="shared" si="39"/>
        <v>0</v>
      </c>
      <c r="V100" s="87">
        <f t="shared" si="39"/>
        <v>0</v>
      </c>
      <c r="W100" s="338">
        <f t="shared" si="39"/>
        <v>0</v>
      </c>
      <c r="X100" s="86">
        <f t="shared" si="39"/>
        <v>0</v>
      </c>
      <c r="Y100" s="86">
        <f t="shared" si="39"/>
        <v>0</v>
      </c>
      <c r="Z100" s="87">
        <f t="shared" si="39"/>
        <v>0</v>
      </c>
    </row>
    <row r="101" spans="1:27" s="18" customFormat="1" ht="15.75" hidden="1" customHeight="1" thickBot="1" x14ac:dyDescent="0.3">
      <c r="A101" s="118" t="s">
        <v>877</v>
      </c>
      <c r="B101" s="108" t="s">
        <v>878</v>
      </c>
      <c r="C101" s="634" t="s">
        <v>879</v>
      </c>
      <c r="D101" s="635"/>
      <c r="E101" s="635"/>
      <c r="F101" s="158">
        <v>0</v>
      </c>
      <c r="G101" s="339">
        <v>0</v>
      </c>
      <c r="H101" s="309">
        <v>0</v>
      </c>
      <c r="I101" s="507">
        <v>0</v>
      </c>
      <c r="J101" s="231">
        <f t="shared" ref="J101:J106" si="40">SUM(O101:Z101)</f>
        <v>0</v>
      </c>
      <c r="K101" s="140"/>
      <c r="L101" s="158">
        <f t="shared" si="2"/>
        <v>0</v>
      </c>
      <c r="M101" s="90"/>
      <c r="N101" s="91"/>
      <c r="O101" s="90"/>
      <c r="P101" s="91"/>
      <c r="Q101" s="94"/>
      <c r="R101" s="94"/>
      <c r="S101" s="91"/>
      <c r="T101" s="94"/>
      <c r="U101" s="94"/>
      <c r="V101" s="556"/>
      <c r="W101" s="393"/>
      <c r="X101" s="94"/>
      <c r="Y101" s="94"/>
      <c r="Z101" s="95"/>
    </row>
    <row r="102" spans="1:27" s="18" customFormat="1" ht="15.75" hidden="1" customHeight="1" thickBot="1" x14ac:dyDescent="0.3">
      <c r="A102" s="118" t="s">
        <v>209</v>
      </c>
      <c r="B102" s="108" t="s">
        <v>650</v>
      </c>
      <c r="C102" s="634" t="s">
        <v>210</v>
      </c>
      <c r="D102" s="635"/>
      <c r="E102" s="635"/>
      <c r="F102" s="158">
        <v>0</v>
      </c>
      <c r="G102" s="339">
        <v>0</v>
      </c>
      <c r="H102" s="309">
        <v>0</v>
      </c>
      <c r="I102" s="507">
        <v>0</v>
      </c>
      <c r="J102" s="231">
        <f t="shared" si="40"/>
        <v>0</v>
      </c>
      <c r="K102" s="140"/>
      <c r="L102" s="158">
        <f t="shared" si="2"/>
        <v>0</v>
      </c>
      <c r="M102" s="90"/>
      <c r="N102" s="91"/>
      <c r="O102" s="90"/>
      <c r="P102" s="91"/>
      <c r="Q102" s="94"/>
      <c r="R102" s="94"/>
      <c r="S102" s="91"/>
      <c r="T102" s="94"/>
      <c r="U102" s="94"/>
      <c r="V102" s="556"/>
      <c r="W102" s="393"/>
      <c r="X102" s="94"/>
      <c r="Y102" s="94"/>
      <c r="Z102" s="95"/>
    </row>
    <row r="103" spans="1:27" s="18" customFormat="1" ht="15.75" hidden="1" customHeight="1" thickBot="1" x14ac:dyDescent="0.3">
      <c r="A103" s="118" t="s">
        <v>211</v>
      </c>
      <c r="B103" s="88" t="s">
        <v>651</v>
      </c>
      <c r="C103" s="626" t="s">
        <v>352</v>
      </c>
      <c r="D103" s="627"/>
      <c r="E103" s="627"/>
      <c r="F103" s="158">
        <v>0</v>
      </c>
      <c r="G103" s="341">
        <v>0</v>
      </c>
      <c r="H103" s="311">
        <v>0</v>
      </c>
      <c r="I103" s="509">
        <v>0</v>
      </c>
      <c r="J103" s="233">
        <f t="shared" si="40"/>
        <v>0</v>
      </c>
      <c r="K103" s="142"/>
      <c r="L103" s="158">
        <f t="shared" si="2"/>
        <v>0</v>
      </c>
      <c r="M103" s="90"/>
      <c r="N103" s="91"/>
      <c r="O103" s="90"/>
      <c r="P103" s="91"/>
      <c r="Q103" s="94"/>
      <c r="R103" s="94"/>
      <c r="S103" s="91"/>
      <c r="T103" s="94"/>
      <c r="U103" s="94"/>
      <c r="V103" s="556"/>
      <c r="W103" s="393"/>
      <c r="X103" s="94"/>
      <c r="Y103" s="94"/>
      <c r="Z103" s="95"/>
    </row>
    <row r="104" spans="1:27" s="18" customFormat="1" ht="15.75" hidden="1" customHeight="1" thickBot="1" x14ac:dyDescent="0.3">
      <c r="A104" s="118" t="s">
        <v>212</v>
      </c>
      <c r="B104" s="108" t="s">
        <v>652</v>
      </c>
      <c r="C104" s="626" t="s">
        <v>880</v>
      </c>
      <c r="D104" s="627"/>
      <c r="E104" s="627"/>
      <c r="F104" s="158">
        <v>0</v>
      </c>
      <c r="G104" s="341">
        <v>0</v>
      </c>
      <c r="H104" s="311">
        <v>0</v>
      </c>
      <c r="I104" s="509">
        <v>0</v>
      </c>
      <c r="J104" s="233">
        <f t="shared" si="40"/>
        <v>0</v>
      </c>
      <c r="K104" s="142"/>
      <c r="L104" s="158">
        <f t="shared" si="2"/>
        <v>0</v>
      </c>
      <c r="M104" s="90"/>
      <c r="N104" s="91"/>
      <c r="O104" s="90"/>
      <c r="P104" s="91"/>
      <c r="Q104" s="94"/>
      <c r="R104" s="94"/>
      <c r="S104" s="91"/>
      <c r="T104" s="94"/>
      <c r="U104" s="94"/>
      <c r="V104" s="556"/>
      <c r="W104" s="393"/>
      <c r="X104" s="94"/>
      <c r="Y104" s="94"/>
      <c r="Z104" s="95"/>
    </row>
    <row r="105" spans="1:27" s="18" customFormat="1" ht="15.75" hidden="1" customHeight="1" thickBot="1" x14ac:dyDescent="0.3">
      <c r="A105" s="118" t="s">
        <v>213</v>
      </c>
      <c r="B105" s="88" t="s">
        <v>653</v>
      </c>
      <c r="C105" s="626" t="s">
        <v>881</v>
      </c>
      <c r="D105" s="627"/>
      <c r="E105" s="627"/>
      <c r="F105" s="158">
        <v>0</v>
      </c>
      <c r="G105" s="341">
        <v>0</v>
      </c>
      <c r="H105" s="311">
        <v>0</v>
      </c>
      <c r="I105" s="509">
        <v>0</v>
      </c>
      <c r="J105" s="233">
        <f t="shared" si="40"/>
        <v>0</v>
      </c>
      <c r="K105" s="142"/>
      <c r="L105" s="158">
        <f t="shared" si="2"/>
        <v>0</v>
      </c>
      <c r="M105" s="90"/>
      <c r="N105" s="91"/>
      <c r="O105" s="90"/>
      <c r="P105" s="91"/>
      <c r="Q105" s="94"/>
      <c r="R105" s="94"/>
      <c r="S105" s="91"/>
      <c r="T105" s="94"/>
      <c r="U105" s="94"/>
      <c r="V105" s="556"/>
      <c r="W105" s="393"/>
      <c r="X105" s="94"/>
      <c r="Y105" s="94"/>
      <c r="Z105" s="95"/>
    </row>
    <row r="106" spans="1:27" s="18" customFormat="1" ht="15.75" hidden="1" customHeight="1" thickBot="1" x14ac:dyDescent="0.3">
      <c r="A106" s="118" t="s">
        <v>214</v>
      </c>
      <c r="B106" s="108" t="s">
        <v>654</v>
      </c>
      <c r="C106" s="626" t="s">
        <v>215</v>
      </c>
      <c r="D106" s="627"/>
      <c r="E106" s="627"/>
      <c r="F106" s="158">
        <v>0</v>
      </c>
      <c r="G106" s="341">
        <v>0</v>
      </c>
      <c r="H106" s="311">
        <v>0</v>
      </c>
      <c r="I106" s="509">
        <v>0</v>
      </c>
      <c r="J106" s="233">
        <f t="shared" si="40"/>
        <v>0</v>
      </c>
      <c r="K106" s="142"/>
      <c r="L106" s="158">
        <f t="shared" si="2"/>
        <v>0</v>
      </c>
      <c r="M106" s="90"/>
      <c r="N106" s="91"/>
      <c r="O106" s="90"/>
      <c r="P106" s="91"/>
      <c r="Q106" s="94"/>
      <c r="R106" s="94"/>
      <c r="S106" s="91"/>
      <c r="T106" s="94"/>
      <c r="U106" s="94"/>
      <c r="V106" s="556"/>
      <c r="W106" s="393"/>
      <c r="X106" s="94"/>
      <c r="Y106" s="94"/>
      <c r="Z106" s="95"/>
    </row>
    <row r="107" spans="1:27" s="18" customFormat="1" ht="15.75" hidden="1" customHeight="1" thickBot="1" x14ac:dyDescent="0.3">
      <c r="A107" s="118" t="s">
        <v>216</v>
      </c>
      <c r="B107" s="88" t="s">
        <v>655</v>
      </c>
      <c r="C107" s="626" t="s">
        <v>217</v>
      </c>
      <c r="D107" s="627"/>
      <c r="E107" s="627"/>
      <c r="F107" s="158">
        <v>0</v>
      </c>
      <c r="G107" s="341">
        <v>0</v>
      </c>
      <c r="H107" s="311">
        <v>0</v>
      </c>
      <c r="I107" s="509">
        <v>0</v>
      </c>
      <c r="J107" s="233">
        <f>J108+J109+J110</f>
        <v>0</v>
      </c>
      <c r="K107" s="142">
        <f t="shared" ref="K107:Z107" si="41">K108+K109+K110</f>
        <v>0</v>
      </c>
      <c r="L107" s="158">
        <f t="shared" si="2"/>
        <v>0</v>
      </c>
      <c r="M107" s="90">
        <f>M108+M109+M110</f>
        <v>0</v>
      </c>
      <c r="N107" s="91">
        <f>N108+N109+N110</f>
        <v>0</v>
      </c>
      <c r="O107" s="90">
        <f t="shared" si="41"/>
        <v>0</v>
      </c>
      <c r="P107" s="91">
        <f t="shared" si="41"/>
        <v>0</v>
      </c>
      <c r="Q107" s="94">
        <f t="shared" si="41"/>
        <v>0</v>
      </c>
      <c r="R107" s="94">
        <f t="shared" si="41"/>
        <v>0</v>
      </c>
      <c r="S107" s="91">
        <f t="shared" si="41"/>
        <v>0</v>
      </c>
      <c r="T107" s="94">
        <f t="shared" si="41"/>
        <v>0</v>
      </c>
      <c r="U107" s="94">
        <f t="shared" si="41"/>
        <v>0</v>
      </c>
      <c r="V107" s="556">
        <f t="shared" si="41"/>
        <v>0</v>
      </c>
      <c r="W107" s="393">
        <f t="shared" si="41"/>
        <v>0</v>
      </c>
      <c r="X107" s="94">
        <f t="shared" si="41"/>
        <v>0</v>
      </c>
      <c r="Y107" s="94">
        <f t="shared" si="41"/>
        <v>0</v>
      </c>
      <c r="Z107" s="95">
        <f t="shared" si="41"/>
        <v>0</v>
      </c>
    </row>
    <row r="108" spans="1:27" ht="15.75" hidden="1" customHeight="1" thickBot="1" x14ac:dyDescent="0.3">
      <c r="B108" s="54"/>
      <c r="C108" s="2"/>
      <c r="D108" s="624" t="s">
        <v>343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>SUM(O108:Z108)</f>
        <v>0</v>
      </c>
      <c r="K108" s="141"/>
      <c r="L108" s="159">
        <f t="shared" si="2"/>
        <v>0</v>
      </c>
      <c r="M108" s="72"/>
      <c r="N108" s="1"/>
      <c r="O108" s="72"/>
      <c r="P108" s="1"/>
      <c r="Q108" s="78"/>
      <c r="R108" s="78"/>
      <c r="S108" s="1"/>
      <c r="T108" s="78"/>
      <c r="U108" s="78"/>
      <c r="V108" s="557"/>
      <c r="W108" s="394"/>
      <c r="X108" s="78"/>
      <c r="Y108" s="78"/>
      <c r="Z108" s="44"/>
      <c r="AA108" s="21"/>
    </row>
    <row r="109" spans="1:27" ht="15.75" hidden="1" customHeight="1" thickBot="1" x14ac:dyDescent="0.3">
      <c r="B109" s="54"/>
      <c r="C109" s="2"/>
      <c r="D109" s="624" t="s">
        <v>344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>SUM(O109:Z109)</f>
        <v>0</v>
      </c>
      <c r="K109" s="141"/>
      <c r="L109" s="159">
        <f t="shared" si="2"/>
        <v>0</v>
      </c>
      <c r="M109" s="72"/>
      <c r="N109" s="1"/>
      <c r="O109" s="72"/>
      <c r="P109" s="1"/>
      <c r="Q109" s="78"/>
      <c r="R109" s="78"/>
      <c r="S109" s="1"/>
      <c r="T109" s="78"/>
      <c r="U109" s="78"/>
      <c r="V109" s="557"/>
      <c r="W109" s="394"/>
      <c r="X109" s="78"/>
      <c r="Y109" s="78"/>
      <c r="Z109" s="44"/>
    </row>
    <row r="110" spans="1:27" ht="15.75" hidden="1" customHeight="1" thickBot="1" x14ac:dyDescent="0.3">
      <c r="B110" s="54"/>
      <c r="C110" s="2"/>
      <c r="D110" s="624" t="s">
        <v>345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>SUM(O110:Z110)</f>
        <v>0</v>
      </c>
      <c r="K110" s="141"/>
      <c r="L110" s="159">
        <f t="shared" si="2"/>
        <v>0</v>
      </c>
      <c r="M110" s="72"/>
      <c r="N110" s="1"/>
      <c r="O110" s="72"/>
      <c r="P110" s="1"/>
      <c r="Q110" s="78"/>
      <c r="R110" s="78"/>
      <c r="S110" s="1"/>
      <c r="T110" s="78"/>
      <c r="U110" s="78"/>
      <c r="V110" s="557"/>
      <c r="W110" s="394"/>
      <c r="X110" s="78"/>
      <c r="Y110" s="78"/>
      <c r="Z110" s="44"/>
    </row>
    <row r="111" spans="1:27" s="18" customFormat="1" ht="15.75" hidden="1" customHeight="1" thickBot="1" x14ac:dyDescent="0.3">
      <c r="A111" s="118" t="s">
        <v>218</v>
      </c>
      <c r="B111" s="88" t="s">
        <v>656</v>
      </c>
      <c r="C111" s="626" t="s">
        <v>219</v>
      </c>
      <c r="D111" s="627"/>
      <c r="E111" s="627"/>
      <c r="F111" s="158">
        <v>0</v>
      </c>
      <c r="G111" s="341">
        <v>0</v>
      </c>
      <c r="H111" s="311">
        <v>0</v>
      </c>
      <c r="I111" s="509">
        <v>0</v>
      </c>
      <c r="J111" s="233">
        <f>J112+J113+J114+J115</f>
        <v>0</v>
      </c>
      <c r="K111" s="142">
        <f t="shared" ref="K111:Z111" si="42">K112+K113+K114+K115</f>
        <v>0</v>
      </c>
      <c r="L111" s="158">
        <f t="shared" ref="L111:L174" si="43">SUM(J111:K111)</f>
        <v>0</v>
      </c>
      <c r="M111" s="90">
        <f>M112+M113+M114+M115</f>
        <v>0</v>
      </c>
      <c r="N111" s="91">
        <f>N112+N113+N114+N115</f>
        <v>0</v>
      </c>
      <c r="O111" s="90">
        <f t="shared" si="42"/>
        <v>0</v>
      </c>
      <c r="P111" s="91">
        <f t="shared" si="42"/>
        <v>0</v>
      </c>
      <c r="Q111" s="94">
        <f t="shared" si="42"/>
        <v>0</v>
      </c>
      <c r="R111" s="94">
        <f t="shared" si="42"/>
        <v>0</v>
      </c>
      <c r="S111" s="91">
        <f t="shared" si="42"/>
        <v>0</v>
      </c>
      <c r="T111" s="94">
        <f t="shared" si="42"/>
        <v>0</v>
      </c>
      <c r="U111" s="94">
        <f t="shared" si="42"/>
        <v>0</v>
      </c>
      <c r="V111" s="556">
        <f t="shared" si="42"/>
        <v>0</v>
      </c>
      <c r="W111" s="393">
        <f t="shared" si="42"/>
        <v>0</v>
      </c>
      <c r="X111" s="94">
        <f t="shared" si="42"/>
        <v>0</v>
      </c>
      <c r="Y111" s="94">
        <f t="shared" si="42"/>
        <v>0</v>
      </c>
      <c r="Z111" s="95">
        <f t="shared" si="42"/>
        <v>0</v>
      </c>
    </row>
    <row r="112" spans="1:27" ht="15.75" hidden="1" customHeight="1" thickBot="1" x14ac:dyDescent="0.3">
      <c r="B112" s="54"/>
      <c r="C112" s="2"/>
      <c r="D112" s="624" t="s">
        <v>835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>SUM(O112:Z112)</f>
        <v>0</v>
      </c>
      <c r="K112" s="141"/>
      <c r="L112" s="159">
        <f t="shared" si="43"/>
        <v>0</v>
      </c>
      <c r="M112" s="72"/>
      <c r="N112" s="1"/>
      <c r="O112" s="72"/>
      <c r="P112" s="1"/>
      <c r="Q112" s="78"/>
      <c r="R112" s="78"/>
      <c r="S112" s="1"/>
      <c r="T112" s="78"/>
      <c r="U112" s="78"/>
      <c r="V112" s="557"/>
      <c r="W112" s="394"/>
      <c r="X112" s="78"/>
      <c r="Y112" s="78"/>
      <c r="Z112" s="44"/>
    </row>
    <row r="113" spans="1:26" ht="15.75" hidden="1" customHeight="1" thickBot="1" x14ac:dyDescent="0.3">
      <c r="B113" s="54"/>
      <c r="C113" s="2"/>
      <c r="D113" s="624" t="s">
        <v>346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>SUM(O113:Z113)</f>
        <v>0</v>
      </c>
      <c r="K113" s="141"/>
      <c r="L113" s="159">
        <f t="shared" si="43"/>
        <v>0</v>
      </c>
      <c r="M113" s="72"/>
      <c r="N113" s="1"/>
      <c r="O113" s="72"/>
      <c r="P113" s="1"/>
      <c r="Q113" s="78"/>
      <c r="R113" s="78"/>
      <c r="S113" s="1"/>
      <c r="T113" s="78"/>
      <c r="U113" s="78"/>
      <c r="V113" s="557"/>
      <c r="W113" s="394"/>
      <c r="X113" s="78"/>
      <c r="Y113" s="78"/>
      <c r="Z113" s="44"/>
    </row>
    <row r="114" spans="1:26" ht="15.75" hidden="1" customHeight="1" thickBot="1" x14ac:dyDescent="0.3">
      <c r="B114" s="54"/>
      <c r="C114" s="2"/>
      <c r="D114" s="624" t="s">
        <v>836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>SUM(O114:Z114)</f>
        <v>0</v>
      </c>
      <c r="K114" s="141"/>
      <c r="L114" s="159">
        <f t="shared" si="43"/>
        <v>0</v>
      </c>
      <c r="M114" s="72"/>
      <c r="N114" s="1"/>
      <c r="O114" s="72"/>
      <c r="P114" s="1"/>
      <c r="Q114" s="78"/>
      <c r="R114" s="78"/>
      <c r="S114" s="1"/>
      <c r="T114" s="78"/>
      <c r="U114" s="78"/>
      <c r="V114" s="557"/>
      <c r="W114" s="394"/>
      <c r="X114" s="78"/>
      <c r="Y114" s="78"/>
      <c r="Z114" s="44"/>
    </row>
    <row r="115" spans="1:26" ht="15.75" hidden="1" customHeight="1" thickBot="1" x14ac:dyDescent="0.3">
      <c r="B115" s="54"/>
      <c r="C115" s="2"/>
      <c r="D115" s="624" t="s">
        <v>834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>SUM(O115:Z115)</f>
        <v>0</v>
      </c>
      <c r="K115" s="141"/>
      <c r="L115" s="159">
        <f t="shared" si="43"/>
        <v>0</v>
      </c>
      <c r="M115" s="72"/>
      <c r="N115" s="1"/>
      <c r="O115" s="72"/>
      <c r="P115" s="1"/>
      <c r="Q115" s="78"/>
      <c r="R115" s="78"/>
      <c r="S115" s="1"/>
      <c r="T115" s="78"/>
      <c r="U115" s="78"/>
      <c r="V115" s="557"/>
      <c r="W115" s="394"/>
      <c r="X115" s="78"/>
      <c r="Y115" s="78"/>
      <c r="Z115" s="44"/>
    </row>
    <row r="116" spans="1:26" ht="15.75" thickBot="1" x14ac:dyDescent="0.3">
      <c r="B116" s="96" t="s">
        <v>220</v>
      </c>
      <c r="C116" s="632" t="s">
        <v>221</v>
      </c>
      <c r="D116" s="633"/>
      <c r="E116" s="633"/>
      <c r="F116" s="156">
        <v>0</v>
      </c>
      <c r="G116" s="338">
        <v>0</v>
      </c>
      <c r="H116" s="308">
        <v>0</v>
      </c>
      <c r="I116" s="506">
        <v>0</v>
      </c>
      <c r="J116" s="235">
        <f>J117+J120+J124+J125+J136+J147+J158+J161+J173+J174+J175+J176+J187</f>
        <v>0</v>
      </c>
      <c r="K116" s="144">
        <f t="shared" ref="K116:Z116" si="44">K117+K120+K124+K125+K136+K147+K158+K161+K173+K174+K175+K176+K187</f>
        <v>0</v>
      </c>
      <c r="L116" s="156">
        <f t="shared" si="43"/>
        <v>0</v>
      </c>
      <c r="M116" s="82">
        <f>M117+M120+M124+M125+M136+M147+M158+M161+M173+M174+M175+M176+M187</f>
        <v>0</v>
      </c>
      <c r="N116" s="83">
        <f>N117+N120+N124+N125+N136+N147+N158+N161+N173+N174+N175+N176+N187</f>
        <v>0</v>
      </c>
      <c r="O116" s="82">
        <f t="shared" si="44"/>
        <v>0</v>
      </c>
      <c r="P116" s="83">
        <f t="shared" si="44"/>
        <v>0</v>
      </c>
      <c r="Q116" s="86">
        <f t="shared" si="44"/>
        <v>0</v>
      </c>
      <c r="R116" s="86">
        <f t="shared" si="44"/>
        <v>0</v>
      </c>
      <c r="S116" s="83">
        <f t="shared" si="44"/>
        <v>0</v>
      </c>
      <c r="T116" s="86">
        <f t="shared" si="44"/>
        <v>0</v>
      </c>
      <c r="U116" s="86">
        <f t="shared" si="44"/>
        <v>0</v>
      </c>
      <c r="V116" s="87">
        <f t="shared" si="44"/>
        <v>0</v>
      </c>
      <c r="W116" s="338">
        <f t="shared" si="44"/>
        <v>0</v>
      </c>
      <c r="X116" s="86">
        <f t="shared" si="44"/>
        <v>0</v>
      </c>
      <c r="Y116" s="86">
        <f t="shared" si="44"/>
        <v>0</v>
      </c>
      <c r="Z116" s="87">
        <f t="shared" si="44"/>
        <v>0</v>
      </c>
    </row>
    <row r="117" spans="1:26" s="41" customFormat="1" ht="15.75" hidden="1" customHeight="1" thickBot="1" x14ac:dyDescent="0.3">
      <c r="A117" s="118" t="s">
        <v>222</v>
      </c>
      <c r="B117" s="116" t="s">
        <v>657</v>
      </c>
      <c r="C117" s="657" t="s">
        <v>223</v>
      </c>
      <c r="D117" s="658"/>
      <c r="E117" s="658"/>
      <c r="F117" s="161">
        <v>0</v>
      </c>
      <c r="G117" s="344">
        <v>0</v>
      </c>
      <c r="H117" s="314">
        <v>0</v>
      </c>
      <c r="I117" s="515">
        <v>0</v>
      </c>
      <c r="J117" s="240">
        <f>J118+J119</f>
        <v>0</v>
      </c>
      <c r="K117" s="149">
        <f t="shared" ref="K117:Z117" si="45">K118+K119</f>
        <v>0</v>
      </c>
      <c r="L117" s="161">
        <f t="shared" si="43"/>
        <v>0</v>
      </c>
      <c r="M117" s="163">
        <f>M118+M119</f>
        <v>0</v>
      </c>
      <c r="N117" s="124">
        <f>N118+N119</f>
        <v>0</v>
      </c>
      <c r="O117" s="163">
        <f t="shared" si="45"/>
        <v>0</v>
      </c>
      <c r="P117" s="124">
        <f t="shared" si="45"/>
        <v>0</v>
      </c>
      <c r="Q117" s="125">
        <f t="shared" si="45"/>
        <v>0</v>
      </c>
      <c r="R117" s="125">
        <f t="shared" si="45"/>
        <v>0</v>
      </c>
      <c r="S117" s="124">
        <f t="shared" si="45"/>
        <v>0</v>
      </c>
      <c r="T117" s="125">
        <f t="shared" si="45"/>
        <v>0</v>
      </c>
      <c r="U117" s="125">
        <f t="shared" si="45"/>
        <v>0</v>
      </c>
      <c r="V117" s="559">
        <f t="shared" si="45"/>
        <v>0</v>
      </c>
      <c r="W117" s="395">
        <f t="shared" si="45"/>
        <v>0</v>
      </c>
      <c r="X117" s="125">
        <f t="shared" si="45"/>
        <v>0</v>
      </c>
      <c r="Y117" s="125">
        <f t="shared" si="45"/>
        <v>0</v>
      </c>
      <c r="Z117" s="126">
        <f t="shared" si="45"/>
        <v>0</v>
      </c>
    </row>
    <row r="118" spans="1:26" ht="15.75" hidden="1" customHeight="1" thickBot="1" x14ac:dyDescent="0.3">
      <c r="B118" s="54"/>
      <c r="C118" s="2"/>
      <c r="D118" s="624" t="s">
        <v>347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SUM(O118:Z118)</f>
        <v>0</v>
      </c>
      <c r="K118" s="141"/>
      <c r="L118" s="159">
        <f t="shared" si="43"/>
        <v>0</v>
      </c>
      <c r="M118" s="72"/>
      <c r="N118" s="1"/>
      <c r="O118" s="72"/>
      <c r="P118" s="1"/>
      <c r="Q118" s="78"/>
      <c r="R118" s="78"/>
      <c r="S118" s="1"/>
      <c r="T118" s="78"/>
      <c r="U118" s="78"/>
      <c r="V118" s="557"/>
      <c r="W118" s="394"/>
      <c r="X118" s="78"/>
      <c r="Y118" s="78"/>
      <c r="Z118" s="44"/>
    </row>
    <row r="119" spans="1:26" ht="15.75" hidden="1" customHeight="1" thickBot="1" x14ac:dyDescent="0.3">
      <c r="B119" s="54"/>
      <c r="C119" s="2"/>
      <c r="D119" s="624" t="s">
        <v>348</v>
      </c>
      <c r="E119" s="624"/>
      <c r="F119" s="159">
        <v>0</v>
      </c>
      <c r="G119" s="343">
        <v>0</v>
      </c>
      <c r="H119" s="313">
        <v>0</v>
      </c>
      <c r="I119" s="513">
        <v>0</v>
      </c>
      <c r="J119" s="232">
        <f>SUM(O119:Z119)</f>
        <v>0</v>
      </c>
      <c r="K119" s="141"/>
      <c r="L119" s="159">
        <f t="shared" si="43"/>
        <v>0</v>
      </c>
      <c r="M119" s="72"/>
      <c r="N119" s="1"/>
      <c r="O119" s="72"/>
      <c r="P119" s="1"/>
      <c r="Q119" s="78"/>
      <c r="R119" s="78"/>
      <c r="S119" s="1"/>
      <c r="T119" s="78"/>
      <c r="U119" s="78"/>
      <c r="V119" s="557"/>
      <c r="W119" s="394"/>
      <c r="X119" s="78"/>
      <c r="Y119" s="78"/>
      <c r="Z119" s="44"/>
    </row>
    <row r="120" spans="1:26" ht="15.75" hidden="1" customHeight="1" thickBot="1" x14ac:dyDescent="0.3">
      <c r="B120" s="116" t="s">
        <v>837</v>
      </c>
      <c r="C120" s="657" t="s">
        <v>838</v>
      </c>
      <c r="D120" s="658"/>
      <c r="E120" s="658"/>
      <c r="F120" s="161">
        <v>0</v>
      </c>
      <c r="G120" s="344">
        <v>0</v>
      </c>
      <c r="H120" s="314">
        <v>0</v>
      </c>
      <c r="I120" s="515">
        <v>0</v>
      </c>
      <c r="J120" s="240">
        <f>J121+J122+J123</f>
        <v>0</v>
      </c>
      <c r="K120" s="149">
        <f t="shared" ref="K120:Z120" si="46">K121+K122+K123</f>
        <v>0</v>
      </c>
      <c r="L120" s="161">
        <f t="shared" si="43"/>
        <v>0</v>
      </c>
      <c r="M120" s="163">
        <f>M121+M122+M123</f>
        <v>0</v>
      </c>
      <c r="N120" s="124">
        <f>N121+N122+N123</f>
        <v>0</v>
      </c>
      <c r="O120" s="163">
        <f t="shared" si="46"/>
        <v>0</v>
      </c>
      <c r="P120" s="124">
        <f t="shared" si="46"/>
        <v>0</v>
      </c>
      <c r="Q120" s="125">
        <f t="shared" si="46"/>
        <v>0</v>
      </c>
      <c r="R120" s="125">
        <f t="shared" si="46"/>
        <v>0</v>
      </c>
      <c r="S120" s="124">
        <f t="shared" si="46"/>
        <v>0</v>
      </c>
      <c r="T120" s="125">
        <f t="shared" si="46"/>
        <v>0</v>
      </c>
      <c r="U120" s="125">
        <f t="shared" si="46"/>
        <v>0</v>
      </c>
      <c r="V120" s="559">
        <f t="shared" si="46"/>
        <v>0</v>
      </c>
      <c r="W120" s="395">
        <f t="shared" si="46"/>
        <v>0</v>
      </c>
      <c r="X120" s="125">
        <f t="shared" si="46"/>
        <v>0</v>
      </c>
      <c r="Y120" s="125">
        <f t="shared" si="46"/>
        <v>0</v>
      </c>
      <c r="Z120" s="126">
        <f t="shared" si="46"/>
        <v>0</v>
      </c>
    </row>
    <row r="121" spans="1:26" s="199" customFormat="1" ht="15.75" hidden="1" customHeight="1" thickBot="1" x14ac:dyDescent="0.3">
      <c r="A121" s="118" t="s">
        <v>882</v>
      </c>
      <c r="B121" s="181" t="s">
        <v>883</v>
      </c>
      <c r="C121" s="194"/>
      <c r="D121" s="247" t="s">
        <v>969</v>
      </c>
      <c r="E121" s="247"/>
      <c r="F121" s="183">
        <v>0</v>
      </c>
      <c r="G121" s="340">
        <v>0</v>
      </c>
      <c r="H121" s="310">
        <v>0</v>
      </c>
      <c r="I121" s="508">
        <v>0</v>
      </c>
      <c r="J121" s="251">
        <f>SUM(O121:Z121)</f>
        <v>0</v>
      </c>
      <c r="K121" s="182"/>
      <c r="L121" s="183">
        <f t="shared" si="43"/>
        <v>0</v>
      </c>
      <c r="M121" s="191"/>
      <c r="N121" s="185"/>
      <c r="O121" s="191"/>
      <c r="P121" s="185"/>
      <c r="Q121" s="186"/>
      <c r="R121" s="186"/>
      <c r="S121" s="185"/>
      <c r="T121" s="186"/>
      <c r="U121" s="186"/>
      <c r="V121" s="560"/>
      <c r="W121" s="396"/>
      <c r="X121" s="186"/>
      <c r="Y121" s="186"/>
      <c r="Z121" s="187"/>
    </row>
    <row r="122" spans="1:26" s="199" customFormat="1" ht="15.75" hidden="1" customHeight="1" thickBot="1" x14ac:dyDescent="0.3">
      <c r="A122" s="118" t="s">
        <v>224</v>
      </c>
      <c r="B122" s="181" t="s">
        <v>658</v>
      </c>
      <c r="C122" s="194"/>
      <c r="D122" s="247" t="s">
        <v>225</v>
      </c>
      <c r="E122" s="247"/>
      <c r="F122" s="183">
        <v>0</v>
      </c>
      <c r="G122" s="340">
        <v>0</v>
      </c>
      <c r="H122" s="310">
        <v>0</v>
      </c>
      <c r="I122" s="508">
        <v>0</v>
      </c>
      <c r="J122" s="251">
        <f>SUM(O122:Z122)</f>
        <v>0</v>
      </c>
      <c r="K122" s="182"/>
      <c r="L122" s="183">
        <f t="shared" si="43"/>
        <v>0</v>
      </c>
      <c r="M122" s="191"/>
      <c r="N122" s="185"/>
      <c r="O122" s="191"/>
      <c r="P122" s="185"/>
      <c r="Q122" s="186"/>
      <c r="R122" s="186"/>
      <c r="S122" s="185"/>
      <c r="T122" s="186"/>
      <c r="U122" s="186"/>
      <c r="V122" s="560"/>
      <c r="W122" s="396"/>
      <c r="X122" s="186"/>
      <c r="Y122" s="186"/>
      <c r="Z122" s="187"/>
    </row>
    <row r="123" spans="1:26" s="199" customFormat="1" ht="15.75" hidden="1" customHeight="1" thickBot="1" x14ac:dyDescent="0.3">
      <c r="A123" s="118" t="s">
        <v>226</v>
      </c>
      <c r="B123" s="181" t="s">
        <v>659</v>
      </c>
      <c r="C123" s="194"/>
      <c r="D123" s="247" t="s">
        <v>227</v>
      </c>
      <c r="E123" s="247"/>
      <c r="F123" s="183">
        <v>0</v>
      </c>
      <c r="G123" s="340">
        <v>0</v>
      </c>
      <c r="H123" s="310">
        <v>0</v>
      </c>
      <c r="I123" s="508">
        <v>0</v>
      </c>
      <c r="J123" s="251">
        <f>SUM(O123:Z123)</f>
        <v>0</v>
      </c>
      <c r="K123" s="182"/>
      <c r="L123" s="183">
        <f t="shared" si="43"/>
        <v>0</v>
      </c>
      <c r="M123" s="191"/>
      <c r="N123" s="185"/>
      <c r="O123" s="191"/>
      <c r="P123" s="185"/>
      <c r="Q123" s="186"/>
      <c r="R123" s="186"/>
      <c r="S123" s="185"/>
      <c r="T123" s="186"/>
      <c r="U123" s="186"/>
      <c r="V123" s="560"/>
      <c r="W123" s="396"/>
      <c r="X123" s="186"/>
      <c r="Y123" s="186"/>
      <c r="Z123" s="187"/>
    </row>
    <row r="124" spans="1:26" s="41" customFormat="1" ht="27.75" hidden="1" customHeight="1" x14ac:dyDescent="0.25">
      <c r="A124" s="118" t="s">
        <v>228</v>
      </c>
      <c r="B124" s="101" t="s">
        <v>660</v>
      </c>
      <c r="C124" s="708" t="s">
        <v>353</v>
      </c>
      <c r="D124" s="709"/>
      <c r="E124" s="709"/>
      <c r="F124" s="162">
        <v>0</v>
      </c>
      <c r="G124" s="345">
        <v>0</v>
      </c>
      <c r="H124" s="315">
        <v>0</v>
      </c>
      <c r="I124" s="516">
        <v>0</v>
      </c>
      <c r="J124" s="241">
        <f>SUM(O124:Z124)</f>
        <v>0</v>
      </c>
      <c r="K124" s="150"/>
      <c r="L124" s="162">
        <f t="shared" si="43"/>
        <v>0</v>
      </c>
      <c r="M124" s="102"/>
      <c r="N124" s="103"/>
      <c r="O124" s="102"/>
      <c r="P124" s="103"/>
      <c r="Q124" s="106"/>
      <c r="R124" s="106"/>
      <c r="S124" s="103"/>
      <c r="T124" s="106"/>
      <c r="U124" s="106"/>
      <c r="V124" s="561"/>
      <c r="W124" s="397"/>
      <c r="X124" s="106"/>
      <c r="Y124" s="106"/>
      <c r="Z124" s="107"/>
    </row>
    <row r="125" spans="1:26" s="41" customFormat="1" ht="15.75" hidden="1" customHeight="1" thickBot="1" x14ac:dyDescent="0.3">
      <c r="A125" s="118" t="s">
        <v>229</v>
      </c>
      <c r="B125" s="101" t="s">
        <v>661</v>
      </c>
      <c r="C125" s="708" t="s">
        <v>803</v>
      </c>
      <c r="D125" s="709"/>
      <c r="E125" s="709"/>
      <c r="F125" s="162">
        <v>0</v>
      </c>
      <c r="G125" s="345">
        <v>0</v>
      </c>
      <c r="H125" s="315">
        <v>0</v>
      </c>
      <c r="I125" s="516">
        <v>0</v>
      </c>
      <c r="J125" s="241">
        <f>J126+J127+J128+J129+J130+J131+J132+J133+J134+J135</f>
        <v>0</v>
      </c>
      <c r="K125" s="150">
        <f t="shared" ref="K125:Z125" si="47">K126+K127+K128+K129+K130+K131+K132+K133+K134+K135</f>
        <v>0</v>
      </c>
      <c r="L125" s="162">
        <f t="shared" si="43"/>
        <v>0</v>
      </c>
      <c r="M125" s="102">
        <f>M126+M127+M128+M129+M130+M131+M132+M133+M134+M135</f>
        <v>0</v>
      </c>
      <c r="N125" s="103">
        <f>N126+N127+N128+N129+N130+N131+N132+N133+N134+N135</f>
        <v>0</v>
      </c>
      <c r="O125" s="102">
        <f t="shared" si="47"/>
        <v>0</v>
      </c>
      <c r="P125" s="103">
        <f t="shared" si="47"/>
        <v>0</v>
      </c>
      <c r="Q125" s="106">
        <f t="shared" si="47"/>
        <v>0</v>
      </c>
      <c r="R125" s="106">
        <f t="shared" si="47"/>
        <v>0</v>
      </c>
      <c r="S125" s="103">
        <f t="shared" si="47"/>
        <v>0</v>
      </c>
      <c r="T125" s="106">
        <f t="shared" si="47"/>
        <v>0</v>
      </c>
      <c r="U125" s="106">
        <f t="shared" si="47"/>
        <v>0</v>
      </c>
      <c r="V125" s="561">
        <f t="shared" si="47"/>
        <v>0</v>
      </c>
      <c r="W125" s="397">
        <f t="shared" si="47"/>
        <v>0</v>
      </c>
      <c r="X125" s="106">
        <f t="shared" si="47"/>
        <v>0</v>
      </c>
      <c r="Y125" s="106">
        <f t="shared" si="47"/>
        <v>0</v>
      </c>
      <c r="Z125" s="107">
        <f t="shared" si="47"/>
        <v>0</v>
      </c>
    </row>
    <row r="126" spans="1:26" ht="15.75" hidden="1" customHeight="1" thickBot="1" x14ac:dyDescent="0.3">
      <c r="B126" s="54"/>
      <c r="C126" s="2"/>
      <c r="D126" s="624" t="s">
        <v>370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ref="J126:J135" si="48">SUM(O126:Z126)</f>
        <v>0</v>
      </c>
      <c r="K126" s="141"/>
      <c r="L126" s="159">
        <f t="shared" si="43"/>
        <v>0</v>
      </c>
      <c r="M126" s="72"/>
      <c r="N126" s="1"/>
      <c r="O126" s="72"/>
      <c r="P126" s="1"/>
      <c r="Q126" s="78"/>
      <c r="R126" s="78"/>
      <c r="S126" s="1"/>
      <c r="T126" s="78"/>
      <c r="U126" s="78"/>
      <c r="V126" s="557"/>
      <c r="W126" s="394"/>
      <c r="X126" s="78"/>
      <c r="Y126" s="78"/>
      <c r="Z126" s="44"/>
    </row>
    <row r="127" spans="1:26" ht="15.75" hidden="1" customHeight="1" thickBot="1" x14ac:dyDescent="0.3">
      <c r="B127" s="54"/>
      <c r="C127" s="2"/>
      <c r="D127" s="624" t="s">
        <v>506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48"/>
        <v>0</v>
      </c>
      <c r="K127" s="141"/>
      <c r="L127" s="159">
        <f t="shared" si="43"/>
        <v>0</v>
      </c>
      <c r="M127" s="72"/>
      <c r="N127" s="1"/>
      <c r="O127" s="72"/>
      <c r="P127" s="1"/>
      <c r="Q127" s="78"/>
      <c r="R127" s="78"/>
      <c r="S127" s="1"/>
      <c r="T127" s="78"/>
      <c r="U127" s="78"/>
      <c r="V127" s="557"/>
      <c r="W127" s="394"/>
      <c r="X127" s="78"/>
      <c r="Y127" s="78"/>
      <c r="Z127" s="44"/>
    </row>
    <row r="128" spans="1:26" ht="15.75" hidden="1" customHeight="1" thickBot="1" x14ac:dyDescent="0.3">
      <c r="B128" s="54"/>
      <c r="C128" s="2"/>
      <c r="D128" s="624" t="s">
        <v>507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48"/>
        <v>0</v>
      </c>
      <c r="K128" s="141"/>
      <c r="L128" s="159">
        <f t="shared" si="43"/>
        <v>0</v>
      </c>
      <c r="M128" s="72"/>
      <c r="N128" s="1"/>
      <c r="O128" s="72"/>
      <c r="P128" s="1"/>
      <c r="Q128" s="78"/>
      <c r="R128" s="78"/>
      <c r="S128" s="1"/>
      <c r="T128" s="78"/>
      <c r="U128" s="78"/>
      <c r="V128" s="557"/>
      <c r="W128" s="394"/>
      <c r="X128" s="78"/>
      <c r="Y128" s="78"/>
      <c r="Z128" s="44"/>
    </row>
    <row r="129" spans="1:26" ht="15.75" hidden="1" customHeight="1" thickBot="1" x14ac:dyDescent="0.3">
      <c r="B129" s="54"/>
      <c r="C129" s="2"/>
      <c r="D129" s="624" t="s">
        <v>508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48"/>
        <v>0</v>
      </c>
      <c r="K129" s="141"/>
      <c r="L129" s="159">
        <f t="shared" si="43"/>
        <v>0</v>
      </c>
      <c r="M129" s="72"/>
      <c r="N129" s="1"/>
      <c r="O129" s="72"/>
      <c r="P129" s="1"/>
      <c r="Q129" s="78"/>
      <c r="R129" s="78"/>
      <c r="S129" s="1"/>
      <c r="T129" s="78"/>
      <c r="U129" s="78"/>
      <c r="V129" s="557"/>
      <c r="W129" s="394"/>
      <c r="X129" s="78"/>
      <c r="Y129" s="78"/>
      <c r="Z129" s="44"/>
    </row>
    <row r="130" spans="1:26" ht="15.75" hidden="1" customHeight="1" thickBot="1" x14ac:dyDescent="0.3">
      <c r="B130" s="54"/>
      <c r="C130" s="2"/>
      <c r="D130" s="624" t="s">
        <v>509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 t="shared" si="48"/>
        <v>0</v>
      </c>
      <c r="K130" s="141"/>
      <c r="L130" s="159">
        <f t="shared" si="43"/>
        <v>0</v>
      </c>
      <c r="M130" s="72"/>
      <c r="N130" s="1"/>
      <c r="O130" s="72"/>
      <c r="P130" s="1"/>
      <c r="Q130" s="78"/>
      <c r="R130" s="78"/>
      <c r="S130" s="1"/>
      <c r="T130" s="78"/>
      <c r="U130" s="78"/>
      <c r="V130" s="557"/>
      <c r="W130" s="394"/>
      <c r="X130" s="78"/>
      <c r="Y130" s="78"/>
      <c r="Z130" s="44"/>
    </row>
    <row r="131" spans="1:26" ht="15.75" hidden="1" customHeight="1" thickBot="1" x14ac:dyDescent="0.3">
      <c r="B131" s="54"/>
      <c r="C131" s="2"/>
      <c r="D131" s="624" t="s">
        <v>510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48"/>
        <v>0</v>
      </c>
      <c r="K131" s="141"/>
      <c r="L131" s="159">
        <f t="shared" si="43"/>
        <v>0</v>
      </c>
      <c r="M131" s="72"/>
      <c r="N131" s="1"/>
      <c r="O131" s="72"/>
      <c r="P131" s="1"/>
      <c r="Q131" s="78"/>
      <c r="R131" s="78"/>
      <c r="S131" s="1"/>
      <c r="T131" s="78"/>
      <c r="U131" s="78"/>
      <c r="V131" s="557"/>
      <c r="W131" s="394"/>
      <c r="X131" s="78"/>
      <c r="Y131" s="78"/>
      <c r="Z131" s="44"/>
    </row>
    <row r="132" spans="1:26" ht="25.5" hidden="1" customHeight="1" x14ac:dyDescent="0.25">
      <c r="B132" s="54"/>
      <c r="C132" s="2"/>
      <c r="D132" s="625" t="s">
        <v>511</v>
      </c>
      <c r="E132" s="625"/>
      <c r="F132" s="159">
        <v>0</v>
      </c>
      <c r="G132" s="343">
        <v>0</v>
      </c>
      <c r="H132" s="313">
        <v>0</v>
      </c>
      <c r="I132" s="513">
        <v>0</v>
      </c>
      <c r="J132" s="242">
        <f t="shared" si="48"/>
        <v>0</v>
      </c>
      <c r="K132" s="151"/>
      <c r="L132" s="159">
        <f t="shared" si="43"/>
        <v>0</v>
      </c>
      <c r="M132" s="72"/>
      <c r="N132" s="1"/>
      <c r="O132" s="72"/>
      <c r="P132" s="1"/>
      <c r="Q132" s="78"/>
      <c r="R132" s="78"/>
      <c r="S132" s="1"/>
      <c r="T132" s="78"/>
      <c r="U132" s="78"/>
      <c r="V132" s="557"/>
      <c r="W132" s="394"/>
      <c r="X132" s="78"/>
      <c r="Y132" s="78"/>
      <c r="Z132" s="44"/>
    </row>
    <row r="133" spans="1:26" ht="15.75" hidden="1" customHeight="1" thickBot="1" x14ac:dyDescent="0.3">
      <c r="B133" s="54"/>
      <c r="C133" s="2"/>
      <c r="D133" s="624" t="s">
        <v>804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48"/>
        <v>0</v>
      </c>
      <c r="K133" s="141"/>
      <c r="L133" s="159">
        <f t="shared" si="43"/>
        <v>0</v>
      </c>
      <c r="M133" s="72"/>
      <c r="N133" s="1"/>
      <c r="O133" s="72"/>
      <c r="P133" s="1"/>
      <c r="Q133" s="78"/>
      <c r="R133" s="78"/>
      <c r="S133" s="1"/>
      <c r="T133" s="78"/>
      <c r="U133" s="78"/>
      <c r="V133" s="557"/>
      <c r="W133" s="394"/>
      <c r="X133" s="78"/>
      <c r="Y133" s="78"/>
      <c r="Z133" s="44"/>
    </row>
    <row r="134" spans="1:26" ht="25.5" hidden="1" customHeight="1" x14ac:dyDescent="0.25">
      <c r="B134" s="54"/>
      <c r="C134" s="2"/>
      <c r="D134" s="625" t="s">
        <v>512</v>
      </c>
      <c r="E134" s="625"/>
      <c r="F134" s="159">
        <v>0</v>
      </c>
      <c r="G134" s="343">
        <v>0</v>
      </c>
      <c r="H134" s="313">
        <v>0</v>
      </c>
      <c r="I134" s="513">
        <v>0</v>
      </c>
      <c r="J134" s="242">
        <f t="shared" si="48"/>
        <v>0</v>
      </c>
      <c r="K134" s="151"/>
      <c r="L134" s="159">
        <f t="shared" si="43"/>
        <v>0</v>
      </c>
      <c r="M134" s="72"/>
      <c r="N134" s="1"/>
      <c r="O134" s="72"/>
      <c r="P134" s="1"/>
      <c r="Q134" s="78"/>
      <c r="R134" s="78"/>
      <c r="S134" s="1"/>
      <c r="T134" s="78"/>
      <c r="U134" s="78"/>
      <c r="V134" s="557"/>
      <c r="W134" s="394"/>
      <c r="X134" s="78"/>
      <c r="Y134" s="78"/>
      <c r="Z134" s="44"/>
    </row>
    <row r="135" spans="1:26" ht="25.5" hidden="1" customHeight="1" x14ac:dyDescent="0.25">
      <c r="B135" s="54"/>
      <c r="C135" s="2"/>
      <c r="D135" s="625" t="s">
        <v>513</v>
      </c>
      <c r="E135" s="625"/>
      <c r="F135" s="159">
        <v>0</v>
      </c>
      <c r="G135" s="343">
        <v>0</v>
      </c>
      <c r="H135" s="313">
        <v>0</v>
      </c>
      <c r="I135" s="513">
        <v>0</v>
      </c>
      <c r="J135" s="242">
        <f t="shared" si="48"/>
        <v>0</v>
      </c>
      <c r="K135" s="151"/>
      <c r="L135" s="159">
        <f t="shared" si="43"/>
        <v>0</v>
      </c>
      <c r="M135" s="72"/>
      <c r="N135" s="1"/>
      <c r="O135" s="72"/>
      <c r="P135" s="1"/>
      <c r="Q135" s="78"/>
      <c r="R135" s="78"/>
      <c r="S135" s="1"/>
      <c r="T135" s="78"/>
      <c r="U135" s="78"/>
      <c r="V135" s="557"/>
      <c r="W135" s="394"/>
      <c r="X135" s="78"/>
      <c r="Y135" s="78"/>
      <c r="Z135" s="44"/>
    </row>
    <row r="136" spans="1:26" s="41" customFormat="1" ht="15" hidden="1" customHeight="1" x14ac:dyDescent="0.25">
      <c r="A136" s="118" t="s">
        <v>230</v>
      </c>
      <c r="B136" s="101" t="s">
        <v>662</v>
      </c>
      <c r="C136" s="708" t="s">
        <v>805</v>
      </c>
      <c r="D136" s="709"/>
      <c r="E136" s="709"/>
      <c r="F136" s="162">
        <v>0</v>
      </c>
      <c r="G136" s="345">
        <v>0</v>
      </c>
      <c r="H136" s="315">
        <v>0</v>
      </c>
      <c r="I136" s="516">
        <v>0</v>
      </c>
      <c r="J136" s="241">
        <f>J137+J138+J139+J140+J141+J142+J143+J144+J145+J146</f>
        <v>0</v>
      </c>
      <c r="K136" s="150">
        <f t="shared" ref="K136:Z136" si="49">K137+K138+K139+K140+K141+K142+K143+K144+K145+K146</f>
        <v>0</v>
      </c>
      <c r="L136" s="162">
        <f t="shared" si="43"/>
        <v>0</v>
      </c>
      <c r="M136" s="102">
        <f>M137+M138+M139+M140+M141+M142+M143+M144+M145+M146</f>
        <v>0</v>
      </c>
      <c r="N136" s="103">
        <f>N137+N138+N139+N140+N141+N142+N143+N144+N145+N146</f>
        <v>0</v>
      </c>
      <c r="O136" s="102">
        <f t="shared" si="49"/>
        <v>0</v>
      </c>
      <c r="P136" s="103">
        <f t="shared" si="49"/>
        <v>0</v>
      </c>
      <c r="Q136" s="106">
        <f t="shared" si="49"/>
        <v>0</v>
      </c>
      <c r="R136" s="106">
        <f t="shared" si="49"/>
        <v>0</v>
      </c>
      <c r="S136" s="103">
        <f t="shared" si="49"/>
        <v>0</v>
      </c>
      <c r="T136" s="106">
        <f t="shared" si="49"/>
        <v>0</v>
      </c>
      <c r="U136" s="106">
        <f t="shared" si="49"/>
        <v>0</v>
      </c>
      <c r="V136" s="561">
        <f t="shared" si="49"/>
        <v>0</v>
      </c>
      <c r="W136" s="397">
        <f t="shared" si="49"/>
        <v>0</v>
      </c>
      <c r="X136" s="106">
        <f t="shared" si="49"/>
        <v>0</v>
      </c>
      <c r="Y136" s="106">
        <f t="shared" si="49"/>
        <v>0</v>
      </c>
      <c r="Z136" s="107">
        <f t="shared" si="49"/>
        <v>0</v>
      </c>
    </row>
    <row r="137" spans="1:26" ht="15.75" hidden="1" customHeight="1" thickBot="1" x14ac:dyDescent="0.3">
      <c r="B137" s="54"/>
      <c r="C137" s="2"/>
      <c r="D137" s="624" t="s">
        <v>369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ref="J137:J146" si="50">SUM(O137:Z137)</f>
        <v>0</v>
      </c>
      <c r="K137" s="141"/>
      <c r="L137" s="159">
        <f t="shared" si="43"/>
        <v>0</v>
      </c>
      <c r="M137" s="72"/>
      <c r="N137" s="1"/>
      <c r="O137" s="72"/>
      <c r="P137" s="1"/>
      <c r="Q137" s="78"/>
      <c r="R137" s="78"/>
      <c r="S137" s="1"/>
      <c r="T137" s="78"/>
      <c r="U137" s="78"/>
      <c r="V137" s="557"/>
      <c r="W137" s="394"/>
      <c r="X137" s="78"/>
      <c r="Y137" s="78"/>
      <c r="Z137" s="44"/>
    </row>
    <row r="138" spans="1:26" ht="15.75" hidden="1" customHeight="1" thickBot="1" x14ac:dyDescent="0.3">
      <c r="B138" s="54"/>
      <c r="C138" s="2"/>
      <c r="D138" s="624" t="s">
        <v>514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50"/>
        <v>0</v>
      </c>
      <c r="K138" s="141"/>
      <c r="L138" s="159">
        <f t="shared" si="43"/>
        <v>0</v>
      </c>
      <c r="M138" s="72"/>
      <c r="N138" s="1"/>
      <c r="O138" s="72"/>
      <c r="P138" s="1"/>
      <c r="Q138" s="78"/>
      <c r="R138" s="78"/>
      <c r="S138" s="1"/>
      <c r="T138" s="78"/>
      <c r="U138" s="78"/>
      <c r="V138" s="557"/>
      <c r="W138" s="394"/>
      <c r="X138" s="78"/>
      <c r="Y138" s="78"/>
      <c r="Z138" s="44"/>
    </row>
    <row r="139" spans="1:26" ht="15.75" hidden="1" customHeight="1" thickBot="1" x14ac:dyDescent="0.3">
      <c r="B139" s="54"/>
      <c r="C139" s="2"/>
      <c r="D139" s="624" t="s">
        <v>516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50"/>
        <v>0</v>
      </c>
      <c r="K139" s="141"/>
      <c r="L139" s="159">
        <f t="shared" si="43"/>
        <v>0</v>
      </c>
      <c r="M139" s="72"/>
      <c r="N139" s="1"/>
      <c r="O139" s="72"/>
      <c r="P139" s="1"/>
      <c r="Q139" s="78"/>
      <c r="R139" s="78"/>
      <c r="S139" s="1"/>
      <c r="T139" s="78"/>
      <c r="U139" s="78"/>
      <c r="V139" s="557"/>
      <c r="W139" s="394"/>
      <c r="X139" s="78"/>
      <c r="Y139" s="78"/>
      <c r="Z139" s="44"/>
    </row>
    <row r="140" spans="1:26" ht="15.75" hidden="1" customHeight="1" thickBot="1" x14ac:dyDescent="0.3">
      <c r="B140" s="54"/>
      <c r="C140" s="2"/>
      <c r="D140" s="624" t="s">
        <v>807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50"/>
        <v>0</v>
      </c>
      <c r="K140" s="141"/>
      <c r="L140" s="159">
        <f t="shared" si="43"/>
        <v>0</v>
      </c>
      <c r="M140" s="72"/>
      <c r="N140" s="1"/>
      <c r="O140" s="72"/>
      <c r="P140" s="1"/>
      <c r="Q140" s="78"/>
      <c r="R140" s="78"/>
      <c r="S140" s="1"/>
      <c r="T140" s="78"/>
      <c r="U140" s="78"/>
      <c r="V140" s="557"/>
      <c r="W140" s="394"/>
      <c r="X140" s="78"/>
      <c r="Y140" s="78"/>
      <c r="Z140" s="44"/>
    </row>
    <row r="141" spans="1:26" ht="15.75" hidden="1" customHeight="1" thickBot="1" x14ac:dyDescent="0.3">
      <c r="B141" s="54"/>
      <c r="C141" s="2"/>
      <c r="D141" s="624" t="s">
        <v>521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50"/>
        <v>0</v>
      </c>
      <c r="K141" s="141"/>
      <c r="L141" s="159">
        <f t="shared" si="43"/>
        <v>0</v>
      </c>
      <c r="M141" s="72"/>
      <c r="N141" s="1"/>
      <c r="O141" s="72"/>
      <c r="P141" s="1"/>
      <c r="Q141" s="78"/>
      <c r="R141" s="78"/>
      <c r="S141" s="1"/>
      <c r="T141" s="78"/>
      <c r="U141" s="78"/>
      <c r="V141" s="557"/>
      <c r="W141" s="394"/>
      <c r="X141" s="78"/>
      <c r="Y141" s="78"/>
      <c r="Z141" s="44"/>
    </row>
    <row r="142" spans="1:26" ht="15.75" hidden="1" customHeight="1" thickBot="1" x14ac:dyDescent="0.3">
      <c r="B142" s="54"/>
      <c r="C142" s="2"/>
      <c r="D142" s="624" t="s">
        <v>519</v>
      </c>
      <c r="E142" s="624"/>
      <c r="F142" s="159">
        <v>0</v>
      </c>
      <c r="G142" s="343">
        <v>0</v>
      </c>
      <c r="H142" s="313">
        <v>0</v>
      </c>
      <c r="I142" s="513">
        <v>0</v>
      </c>
      <c r="J142" s="232">
        <f t="shared" si="50"/>
        <v>0</v>
      </c>
      <c r="K142" s="141"/>
      <c r="L142" s="159">
        <f t="shared" si="43"/>
        <v>0</v>
      </c>
      <c r="M142" s="72"/>
      <c r="N142" s="1"/>
      <c r="O142" s="72"/>
      <c r="P142" s="1"/>
      <c r="Q142" s="78"/>
      <c r="R142" s="78"/>
      <c r="S142" s="1"/>
      <c r="T142" s="78"/>
      <c r="U142" s="78"/>
      <c r="V142" s="557"/>
      <c r="W142" s="394"/>
      <c r="X142" s="78"/>
      <c r="Y142" s="78"/>
      <c r="Z142" s="44"/>
    </row>
    <row r="143" spans="1:26" ht="25.5" hidden="1" customHeight="1" x14ac:dyDescent="0.25">
      <c r="B143" s="54"/>
      <c r="C143" s="2"/>
      <c r="D143" s="625" t="s">
        <v>523</v>
      </c>
      <c r="E143" s="625"/>
      <c r="F143" s="159">
        <v>0</v>
      </c>
      <c r="G143" s="343">
        <v>0</v>
      </c>
      <c r="H143" s="313">
        <v>0</v>
      </c>
      <c r="I143" s="513">
        <v>0</v>
      </c>
      <c r="J143" s="242">
        <f t="shared" si="50"/>
        <v>0</v>
      </c>
      <c r="K143" s="151"/>
      <c r="L143" s="159">
        <f t="shared" si="43"/>
        <v>0</v>
      </c>
      <c r="M143" s="72"/>
      <c r="N143" s="1"/>
      <c r="O143" s="72"/>
      <c r="P143" s="1"/>
      <c r="Q143" s="78"/>
      <c r="R143" s="78"/>
      <c r="S143" s="1"/>
      <c r="T143" s="78"/>
      <c r="U143" s="78"/>
      <c r="V143" s="557"/>
      <c r="W143" s="394"/>
      <c r="X143" s="78"/>
      <c r="Y143" s="78"/>
      <c r="Z143" s="44"/>
    </row>
    <row r="144" spans="1:26" ht="15.75" hidden="1" customHeight="1" thickBot="1" x14ac:dyDescent="0.3">
      <c r="B144" s="54"/>
      <c r="C144" s="2"/>
      <c r="D144" s="624" t="s">
        <v>806</v>
      </c>
      <c r="E144" s="624"/>
      <c r="F144" s="159">
        <v>0</v>
      </c>
      <c r="G144" s="343">
        <v>0</v>
      </c>
      <c r="H144" s="313">
        <v>0</v>
      </c>
      <c r="I144" s="513">
        <v>0</v>
      </c>
      <c r="J144" s="232">
        <f t="shared" si="50"/>
        <v>0</v>
      </c>
      <c r="K144" s="141"/>
      <c r="L144" s="159">
        <f t="shared" si="43"/>
        <v>0</v>
      </c>
      <c r="M144" s="72"/>
      <c r="N144" s="1"/>
      <c r="O144" s="72"/>
      <c r="P144" s="1"/>
      <c r="Q144" s="78"/>
      <c r="R144" s="78"/>
      <c r="S144" s="1"/>
      <c r="T144" s="78"/>
      <c r="U144" s="78"/>
      <c r="V144" s="557"/>
      <c r="W144" s="394"/>
      <c r="X144" s="78"/>
      <c r="Y144" s="78"/>
      <c r="Z144" s="44"/>
    </row>
    <row r="145" spans="1:26" ht="25.5" hidden="1" customHeight="1" x14ac:dyDescent="0.25">
      <c r="B145" s="54"/>
      <c r="C145" s="2"/>
      <c r="D145" s="625" t="s">
        <v>526</v>
      </c>
      <c r="E145" s="625"/>
      <c r="F145" s="159">
        <v>0</v>
      </c>
      <c r="G145" s="343">
        <v>0</v>
      </c>
      <c r="H145" s="313">
        <v>0</v>
      </c>
      <c r="I145" s="513">
        <v>0</v>
      </c>
      <c r="J145" s="242">
        <f t="shared" si="50"/>
        <v>0</v>
      </c>
      <c r="K145" s="151"/>
      <c r="L145" s="159">
        <f t="shared" si="43"/>
        <v>0</v>
      </c>
      <c r="M145" s="72"/>
      <c r="N145" s="1"/>
      <c r="O145" s="72"/>
      <c r="P145" s="1"/>
      <c r="Q145" s="78"/>
      <c r="R145" s="78"/>
      <c r="S145" s="1"/>
      <c r="T145" s="78"/>
      <c r="U145" s="78"/>
      <c r="V145" s="557"/>
      <c r="W145" s="394"/>
      <c r="X145" s="78"/>
      <c r="Y145" s="78"/>
      <c r="Z145" s="44"/>
    </row>
    <row r="146" spans="1:26" ht="25.5" hidden="1" customHeight="1" x14ac:dyDescent="0.25">
      <c r="B146" s="54"/>
      <c r="C146" s="2"/>
      <c r="D146" s="625" t="s">
        <v>528</v>
      </c>
      <c r="E146" s="625"/>
      <c r="F146" s="159">
        <v>0</v>
      </c>
      <c r="G146" s="343">
        <v>0</v>
      </c>
      <c r="H146" s="313">
        <v>0</v>
      </c>
      <c r="I146" s="513">
        <v>0</v>
      </c>
      <c r="J146" s="242">
        <f t="shared" si="50"/>
        <v>0</v>
      </c>
      <c r="K146" s="151"/>
      <c r="L146" s="159">
        <f t="shared" si="43"/>
        <v>0</v>
      </c>
      <c r="M146" s="72"/>
      <c r="N146" s="1"/>
      <c r="O146" s="72"/>
      <c r="P146" s="1"/>
      <c r="Q146" s="78"/>
      <c r="R146" s="78"/>
      <c r="S146" s="1"/>
      <c r="T146" s="78"/>
      <c r="U146" s="78"/>
      <c r="V146" s="557"/>
      <c r="W146" s="394"/>
      <c r="X146" s="78"/>
      <c r="Y146" s="78"/>
      <c r="Z146" s="44"/>
    </row>
    <row r="147" spans="1:26" s="41" customFormat="1" ht="15.75" hidden="1" customHeight="1" thickBot="1" x14ac:dyDescent="0.3">
      <c r="A147" s="118" t="s">
        <v>231</v>
      </c>
      <c r="B147" s="101" t="s">
        <v>663</v>
      </c>
      <c r="C147" s="655" t="s">
        <v>232</v>
      </c>
      <c r="D147" s="656"/>
      <c r="E147" s="656"/>
      <c r="F147" s="162">
        <v>0</v>
      </c>
      <c r="G147" s="345">
        <v>0</v>
      </c>
      <c r="H147" s="315">
        <v>0</v>
      </c>
      <c r="I147" s="516">
        <v>0</v>
      </c>
      <c r="J147" s="243">
        <f>J148+J149+J150+J151+J152+J153+J154+J155+J156+J157</f>
        <v>0</v>
      </c>
      <c r="K147" s="152">
        <f t="shared" ref="K147:Z147" si="51">K148+K149+K150+K151+K152+K153+K154+K155+K156+K157</f>
        <v>0</v>
      </c>
      <c r="L147" s="162">
        <f t="shared" si="43"/>
        <v>0</v>
      </c>
      <c r="M147" s="102">
        <f>M148+M149+M150+M151+M152+M153+M154+M155+M156+M157</f>
        <v>0</v>
      </c>
      <c r="N147" s="103">
        <f>N148+N149+N150+N151+N152+N153+N154+N155+N156+N157</f>
        <v>0</v>
      </c>
      <c r="O147" s="102">
        <f t="shared" si="51"/>
        <v>0</v>
      </c>
      <c r="P147" s="103">
        <f t="shared" si="51"/>
        <v>0</v>
      </c>
      <c r="Q147" s="106">
        <f t="shared" si="51"/>
        <v>0</v>
      </c>
      <c r="R147" s="106">
        <f t="shared" si="51"/>
        <v>0</v>
      </c>
      <c r="S147" s="103">
        <f t="shared" si="51"/>
        <v>0</v>
      </c>
      <c r="T147" s="106">
        <f t="shared" si="51"/>
        <v>0</v>
      </c>
      <c r="U147" s="106">
        <f t="shared" si="51"/>
        <v>0</v>
      </c>
      <c r="V147" s="561">
        <f t="shared" si="51"/>
        <v>0</v>
      </c>
      <c r="W147" s="397">
        <f t="shared" si="51"/>
        <v>0</v>
      </c>
      <c r="X147" s="106">
        <f t="shared" si="51"/>
        <v>0</v>
      </c>
      <c r="Y147" s="106">
        <f t="shared" si="51"/>
        <v>0</v>
      </c>
      <c r="Z147" s="107">
        <f t="shared" si="51"/>
        <v>0</v>
      </c>
    </row>
    <row r="148" spans="1:26" ht="15.75" hidden="1" customHeight="1" thickBot="1" x14ac:dyDescent="0.3">
      <c r="B148" s="54"/>
      <c r="C148" s="2"/>
      <c r="D148" s="624" t="s">
        <v>368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57" si="52">SUM(O148:Z148)</f>
        <v>0</v>
      </c>
      <c r="K148" s="141"/>
      <c r="L148" s="159">
        <f t="shared" si="43"/>
        <v>0</v>
      </c>
      <c r="M148" s="72"/>
      <c r="N148" s="1"/>
      <c r="O148" s="72"/>
      <c r="P148" s="1"/>
      <c r="Q148" s="78"/>
      <c r="R148" s="78"/>
      <c r="S148" s="1"/>
      <c r="T148" s="78"/>
      <c r="U148" s="78"/>
      <c r="V148" s="557"/>
      <c r="W148" s="394"/>
      <c r="X148" s="78"/>
      <c r="Y148" s="78"/>
      <c r="Z148" s="44"/>
    </row>
    <row r="149" spans="1:26" ht="15.75" hidden="1" customHeight="1" thickBot="1" x14ac:dyDescent="0.3">
      <c r="B149" s="54"/>
      <c r="C149" s="2"/>
      <c r="D149" s="624" t="s">
        <v>515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52"/>
        <v>0</v>
      </c>
      <c r="K149" s="141"/>
      <c r="L149" s="159">
        <f t="shared" si="43"/>
        <v>0</v>
      </c>
      <c r="M149" s="72"/>
      <c r="N149" s="1"/>
      <c r="O149" s="72"/>
      <c r="P149" s="1"/>
      <c r="Q149" s="78"/>
      <c r="R149" s="78"/>
      <c r="S149" s="1"/>
      <c r="T149" s="78"/>
      <c r="U149" s="78"/>
      <c r="V149" s="557"/>
      <c r="W149" s="394"/>
      <c r="X149" s="78"/>
      <c r="Y149" s="78"/>
      <c r="Z149" s="44"/>
    </row>
    <row r="150" spans="1:26" ht="15.75" hidden="1" customHeight="1" thickBot="1" x14ac:dyDescent="0.3">
      <c r="B150" s="54"/>
      <c r="C150" s="2"/>
      <c r="D150" s="624" t="s">
        <v>517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si="52"/>
        <v>0</v>
      </c>
      <c r="K150" s="141"/>
      <c r="L150" s="159">
        <f t="shared" si="43"/>
        <v>0</v>
      </c>
      <c r="M150" s="72"/>
      <c r="N150" s="1"/>
      <c r="O150" s="72"/>
      <c r="P150" s="1"/>
      <c r="Q150" s="78"/>
      <c r="R150" s="78"/>
      <c r="S150" s="1"/>
      <c r="T150" s="78"/>
      <c r="U150" s="78"/>
      <c r="V150" s="557"/>
      <c r="W150" s="394"/>
      <c r="X150" s="78"/>
      <c r="Y150" s="78"/>
      <c r="Z150" s="44"/>
    </row>
    <row r="151" spans="1:26" ht="15.75" hidden="1" customHeight="1" thickBot="1" x14ac:dyDescent="0.3">
      <c r="B151" s="54"/>
      <c r="C151" s="2"/>
      <c r="D151" s="624" t="s">
        <v>518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si="52"/>
        <v>0</v>
      </c>
      <c r="K151" s="141"/>
      <c r="L151" s="159">
        <f t="shared" si="43"/>
        <v>0</v>
      </c>
      <c r="M151" s="72"/>
      <c r="N151" s="1"/>
      <c r="O151" s="72"/>
      <c r="P151" s="1"/>
      <c r="Q151" s="78"/>
      <c r="R151" s="78"/>
      <c r="S151" s="1"/>
      <c r="T151" s="78"/>
      <c r="U151" s="78"/>
      <c r="V151" s="557"/>
      <c r="W151" s="394"/>
      <c r="X151" s="78"/>
      <c r="Y151" s="78"/>
      <c r="Z151" s="44"/>
    </row>
    <row r="152" spans="1:26" ht="15.75" hidden="1" customHeight="1" thickBot="1" x14ac:dyDescent="0.3">
      <c r="B152" s="54"/>
      <c r="C152" s="2"/>
      <c r="D152" s="624" t="s">
        <v>522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si="52"/>
        <v>0</v>
      </c>
      <c r="K152" s="141"/>
      <c r="L152" s="159">
        <f t="shared" si="43"/>
        <v>0</v>
      </c>
      <c r="M152" s="72"/>
      <c r="N152" s="1"/>
      <c r="O152" s="72"/>
      <c r="P152" s="1"/>
      <c r="Q152" s="78"/>
      <c r="R152" s="78"/>
      <c r="S152" s="1"/>
      <c r="T152" s="78"/>
      <c r="U152" s="78"/>
      <c r="V152" s="557"/>
      <c r="W152" s="394"/>
      <c r="X152" s="78"/>
      <c r="Y152" s="78"/>
      <c r="Z152" s="44"/>
    </row>
    <row r="153" spans="1:26" ht="15.75" hidden="1" customHeight="1" thickBot="1" x14ac:dyDescent="0.3">
      <c r="B153" s="54"/>
      <c r="C153" s="2"/>
      <c r="D153" s="624" t="s">
        <v>520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52"/>
        <v>0</v>
      </c>
      <c r="K153" s="141"/>
      <c r="L153" s="159">
        <f t="shared" si="43"/>
        <v>0</v>
      </c>
      <c r="M153" s="72"/>
      <c r="N153" s="1"/>
      <c r="O153" s="72"/>
      <c r="P153" s="1"/>
      <c r="Q153" s="78"/>
      <c r="R153" s="78"/>
      <c r="S153" s="1"/>
      <c r="T153" s="78"/>
      <c r="U153" s="78"/>
      <c r="V153" s="557"/>
      <c r="W153" s="394"/>
      <c r="X153" s="78"/>
      <c r="Y153" s="78"/>
      <c r="Z153" s="44"/>
    </row>
    <row r="154" spans="1:26" ht="25.5" hidden="1" customHeight="1" x14ac:dyDescent="0.25">
      <c r="B154" s="54"/>
      <c r="C154" s="2"/>
      <c r="D154" s="625" t="s">
        <v>524</v>
      </c>
      <c r="E154" s="625"/>
      <c r="F154" s="159">
        <v>0</v>
      </c>
      <c r="G154" s="343">
        <v>0</v>
      </c>
      <c r="H154" s="313">
        <v>0</v>
      </c>
      <c r="I154" s="513">
        <v>0</v>
      </c>
      <c r="J154" s="242">
        <f t="shared" si="52"/>
        <v>0</v>
      </c>
      <c r="K154" s="151"/>
      <c r="L154" s="159">
        <f t="shared" si="43"/>
        <v>0</v>
      </c>
      <c r="M154" s="72"/>
      <c r="N154" s="1"/>
      <c r="O154" s="72"/>
      <c r="P154" s="1"/>
      <c r="Q154" s="78"/>
      <c r="R154" s="78"/>
      <c r="S154" s="1"/>
      <c r="T154" s="78"/>
      <c r="U154" s="78"/>
      <c r="V154" s="557"/>
      <c r="W154" s="394"/>
      <c r="X154" s="78"/>
      <c r="Y154" s="78"/>
      <c r="Z154" s="44"/>
    </row>
    <row r="155" spans="1:26" ht="15.75" hidden="1" customHeight="1" thickBot="1" x14ac:dyDescent="0.3">
      <c r="B155" s="54"/>
      <c r="C155" s="2"/>
      <c r="D155" s="624" t="s">
        <v>525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52"/>
        <v>0</v>
      </c>
      <c r="K155" s="141"/>
      <c r="L155" s="159">
        <f t="shared" si="43"/>
        <v>0</v>
      </c>
      <c r="M155" s="72"/>
      <c r="N155" s="1"/>
      <c r="O155" s="72"/>
      <c r="P155" s="1"/>
      <c r="Q155" s="78"/>
      <c r="R155" s="78"/>
      <c r="S155" s="1"/>
      <c r="T155" s="78"/>
      <c r="U155" s="78"/>
      <c r="V155" s="557"/>
      <c r="W155" s="394"/>
      <c r="X155" s="78"/>
      <c r="Y155" s="78"/>
      <c r="Z155" s="44"/>
    </row>
    <row r="156" spans="1:26" ht="25.5" hidden="1" customHeight="1" x14ac:dyDescent="0.25">
      <c r="B156" s="54"/>
      <c r="C156" s="2"/>
      <c r="D156" s="625" t="s">
        <v>527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52"/>
        <v>0</v>
      </c>
      <c r="K156" s="151"/>
      <c r="L156" s="159">
        <f t="shared" si="43"/>
        <v>0</v>
      </c>
      <c r="M156" s="72"/>
      <c r="N156" s="1"/>
      <c r="O156" s="72"/>
      <c r="P156" s="1"/>
      <c r="Q156" s="78"/>
      <c r="R156" s="78"/>
      <c r="S156" s="1"/>
      <c r="T156" s="78"/>
      <c r="U156" s="78"/>
      <c r="V156" s="557"/>
      <c r="W156" s="394"/>
      <c r="X156" s="78"/>
      <c r="Y156" s="78"/>
      <c r="Z156" s="44"/>
    </row>
    <row r="157" spans="1:26" ht="25.5" hidden="1" customHeight="1" x14ac:dyDescent="0.25">
      <c r="B157" s="54"/>
      <c r="C157" s="2"/>
      <c r="D157" s="625" t="s">
        <v>529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52"/>
        <v>0</v>
      </c>
      <c r="K157" s="151"/>
      <c r="L157" s="159">
        <f t="shared" si="43"/>
        <v>0</v>
      </c>
      <c r="M157" s="72"/>
      <c r="N157" s="1"/>
      <c r="O157" s="72"/>
      <c r="P157" s="1"/>
      <c r="Q157" s="78"/>
      <c r="R157" s="78"/>
      <c r="S157" s="1"/>
      <c r="T157" s="78"/>
      <c r="U157" s="78"/>
      <c r="V157" s="557"/>
      <c r="W157" s="394"/>
      <c r="X157" s="78"/>
      <c r="Y157" s="78"/>
      <c r="Z157" s="44"/>
    </row>
    <row r="158" spans="1:26" s="41" customFormat="1" ht="27.75" hidden="1" customHeight="1" x14ac:dyDescent="0.25">
      <c r="A158" s="118" t="s">
        <v>233</v>
      </c>
      <c r="B158" s="101" t="s">
        <v>664</v>
      </c>
      <c r="C158" s="708" t="s">
        <v>808</v>
      </c>
      <c r="D158" s="709"/>
      <c r="E158" s="709"/>
      <c r="F158" s="162">
        <v>0</v>
      </c>
      <c r="G158" s="345">
        <v>0</v>
      </c>
      <c r="H158" s="315">
        <v>0</v>
      </c>
      <c r="I158" s="516">
        <v>0</v>
      </c>
      <c r="J158" s="241">
        <f>J159+J160</f>
        <v>0</v>
      </c>
      <c r="K158" s="150">
        <f t="shared" ref="K158:Z158" si="53">K159+K160</f>
        <v>0</v>
      </c>
      <c r="L158" s="162">
        <f t="shared" si="43"/>
        <v>0</v>
      </c>
      <c r="M158" s="102">
        <f>M159+M160</f>
        <v>0</v>
      </c>
      <c r="N158" s="103">
        <f>N159+N160</f>
        <v>0</v>
      </c>
      <c r="O158" s="102">
        <f t="shared" si="53"/>
        <v>0</v>
      </c>
      <c r="P158" s="103">
        <f t="shared" si="53"/>
        <v>0</v>
      </c>
      <c r="Q158" s="106">
        <f t="shared" si="53"/>
        <v>0</v>
      </c>
      <c r="R158" s="106">
        <f t="shared" si="53"/>
        <v>0</v>
      </c>
      <c r="S158" s="103">
        <f t="shared" si="53"/>
        <v>0</v>
      </c>
      <c r="T158" s="106">
        <f t="shared" si="53"/>
        <v>0</v>
      </c>
      <c r="U158" s="106">
        <f t="shared" si="53"/>
        <v>0</v>
      </c>
      <c r="V158" s="561">
        <f t="shared" si="53"/>
        <v>0</v>
      </c>
      <c r="W158" s="397">
        <f t="shared" si="53"/>
        <v>0</v>
      </c>
      <c r="X158" s="106">
        <f t="shared" si="53"/>
        <v>0</v>
      </c>
      <c r="Y158" s="106">
        <f t="shared" si="53"/>
        <v>0</v>
      </c>
      <c r="Z158" s="107">
        <f t="shared" si="53"/>
        <v>0</v>
      </c>
    </row>
    <row r="159" spans="1:26" ht="15.75" hidden="1" customHeight="1" thickBot="1" x14ac:dyDescent="0.3">
      <c r="B159" s="54"/>
      <c r="C159" s="2"/>
      <c r="D159" s="624" t="s">
        <v>531</v>
      </c>
      <c r="E159" s="624"/>
      <c r="F159" s="159">
        <v>0</v>
      </c>
      <c r="G159" s="343">
        <v>0</v>
      </c>
      <c r="H159" s="313">
        <v>0</v>
      </c>
      <c r="I159" s="513">
        <v>0</v>
      </c>
      <c r="J159" s="232">
        <f>SUM(O159:Z159)</f>
        <v>0</v>
      </c>
      <c r="K159" s="141"/>
      <c r="L159" s="159">
        <f t="shared" si="43"/>
        <v>0</v>
      </c>
      <c r="M159" s="72"/>
      <c r="N159" s="1"/>
      <c r="O159" s="72"/>
      <c r="P159" s="1"/>
      <c r="Q159" s="78"/>
      <c r="R159" s="78"/>
      <c r="S159" s="1"/>
      <c r="T159" s="78"/>
      <c r="U159" s="78"/>
      <c r="V159" s="557"/>
      <c r="W159" s="394"/>
      <c r="X159" s="78"/>
      <c r="Y159" s="78"/>
      <c r="Z159" s="44"/>
    </row>
    <row r="160" spans="1:26" ht="25.5" hidden="1" customHeight="1" x14ac:dyDescent="0.25">
      <c r="B160" s="54"/>
      <c r="C160" s="2"/>
      <c r="D160" s="625" t="s">
        <v>530</v>
      </c>
      <c r="E160" s="625"/>
      <c r="F160" s="159">
        <v>0</v>
      </c>
      <c r="G160" s="343">
        <v>0</v>
      </c>
      <c r="H160" s="313">
        <v>0</v>
      </c>
      <c r="I160" s="513">
        <v>0</v>
      </c>
      <c r="J160" s="242">
        <f>SUM(O160:Z160)</f>
        <v>0</v>
      </c>
      <c r="K160" s="151"/>
      <c r="L160" s="159">
        <f t="shared" si="43"/>
        <v>0</v>
      </c>
      <c r="M160" s="72"/>
      <c r="N160" s="1"/>
      <c r="O160" s="72"/>
      <c r="P160" s="1"/>
      <c r="Q160" s="78"/>
      <c r="R160" s="78"/>
      <c r="S160" s="1"/>
      <c r="T160" s="78"/>
      <c r="U160" s="78"/>
      <c r="V160" s="557"/>
      <c r="W160" s="394"/>
      <c r="X160" s="78"/>
      <c r="Y160" s="78"/>
      <c r="Z160" s="44"/>
    </row>
    <row r="161" spans="1:26" s="41" customFormat="1" ht="15.75" hidden="1" customHeight="1" thickBot="1" x14ac:dyDescent="0.3">
      <c r="A161" s="118" t="s">
        <v>234</v>
      </c>
      <c r="B161" s="101" t="s">
        <v>666</v>
      </c>
      <c r="C161" s="708" t="s">
        <v>809</v>
      </c>
      <c r="D161" s="709"/>
      <c r="E161" s="709"/>
      <c r="F161" s="162">
        <v>0</v>
      </c>
      <c r="G161" s="345">
        <v>0</v>
      </c>
      <c r="H161" s="315">
        <v>0</v>
      </c>
      <c r="I161" s="516">
        <v>0</v>
      </c>
      <c r="J161" s="241">
        <f>J162+J163+J164+J165+J166+J167+J168+J169+J170+J171+J172</f>
        <v>0</v>
      </c>
      <c r="K161" s="150">
        <f t="shared" ref="K161:Z161" si="54">K162+K163+K164+K165+K166+K167+K168+K169+K170+K171+K172</f>
        <v>0</v>
      </c>
      <c r="L161" s="162">
        <f t="shared" si="43"/>
        <v>0</v>
      </c>
      <c r="M161" s="102">
        <f>M162+M163+M164+M165+M166+M167+M168+M169+M170+M171+M172</f>
        <v>0</v>
      </c>
      <c r="N161" s="103">
        <f>N162+N163+N164+N165+N166+N167+N168+N169+N170+N171+N172</f>
        <v>0</v>
      </c>
      <c r="O161" s="102">
        <f t="shared" si="54"/>
        <v>0</v>
      </c>
      <c r="P161" s="103">
        <f t="shared" si="54"/>
        <v>0</v>
      </c>
      <c r="Q161" s="106">
        <f t="shared" si="54"/>
        <v>0</v>
      </c>
      <c r="R161" s="106">
        <f t="shared" si="54"/>
        <v>0</v>
      </c>
      <c r="S161" s="103">
        <f t="shared" si="54"/>
        <v>0</v>
      </c>
      <c r="T161" s="106">
        <f t="shared" si="54"/>
        <v>0</v>
      </c>
      <c r="U161" s="106">
        <f t="shared" si="54"/>
        <v>0</v>
      </c>
      <c r="V161" s="561">
        <f t="shared" si="54"/>
        <v>0</v>
      </c>
      <c r="W161" s="397">
        <f t="shared" si="54"/>
        <v>0</v>
      </c>
      <c r="X161" s="106">
        <f t="shared" si="54"/>
        <v>0</v>
      </c>
      <c r="Y161" s="106">
        <f t="shared" si="54"/>
        <v>0</v>
      </c>
      <c r="Z161" s="107">
        <f t="shared" si="54"/>
        <v>0</v>
      </c>
    </row>
    <row r="162" spans="1:26" ht="15.75" hidden="1" customHeight="1" thickBot="1" x14ac:dyDescent="0.3">
      <c r="B162" s="54"/>
      <c r="C162" s="2"/>
      <c r="D162" s="624" t="s">
        <v>354</v>
      </c>
      <c r="E162" s="624"/>
      <c r="F162" s="159">
        <v>0</v>
      </c>
      <c r="G162" s="343">
        <v>0</v>
      </c>
      <c r="H162" s="313">
        <v>0</v>
      </c>
      <c r="I162" s="513">
        <v>0</v>
      </c>
      <c r="J162" s="232">
        <f t="shared" ref="J162:J175" si="55">SUM(O162:Z162)</f>
        <v>0</v>
      </c>
      <c r="K162" s="141"/>
      <c r="L162" s="159">
        <f t="shared" si="43"/>
        <v>0</v>
      </c>
      <c r="M162" s="72"/>
      <c r="N162" s="1"/>
      <c r="O162" s="72"/>
      <c r="P162" s="1"/>
      <c r="Q162" s="78"/>
      <c r="R162" s="78"/>
      <c r="S162" s="1"/>
      <c r="T162" s="78"/>
      <c r="U162" s="78"/>
      <c r="V162" s="557"/>
      <c r="W162" s="394"/>
      <c r="X162" s="78"/>
      <c r="Y162" s="78"/>
      <c r="Z162" s="44"/>
    </row>
    <row r="163" spans="1:26" ht="15.75" hidden="1" customHeight="1" thickBot="1" x14ac:dyDescent="0.3">
      <c r="B163" s="54"/>
      <c r="C163" s="2"/>
      <c r="D163" s="624" t="s">
        <v>357</v>
      </c>
      <c r="E163" s="624"/>
      <c r="F163" s="159">
        <v>0</v>
      </c>
      <c r="G163" s="343">
        <v>0</v>
      </c>
      <c r="H163" s="313">
        <v>0</v>
      </c>
      <c r="I163" s="513">
        <v>0</v>
      </c>
      <c r="J163" s="232">
        <f t="shared" si="55"/>
        <v>0</v>
      </c>
      <c r="K163" s="141"/>
      <c r="L163" s="159">
        <f t="shared" si="43"/>
        <v>0</v>
      </c>
      <c r="M163" s="72"/>
      <c r="N163" s="1"/>
      <c r="O163" s="72"/>
      <c r="P163" s="1"/>
      <c r="Q163" s="78"/>
      <c r="R163" s="78"/>
      <c r="S163" s="1"/>
      <c r="T163" s="78"/>
      <c r="U163" s="78"/>
      <c r="V163" s="557"/>
      <c r="W163" s="394"/>
      <c r="X163" s="78"/>
      <c r="Y163" s="78"/>
      <c r="Z163" s="44"/>
    </row>
    <row r="164" spans="1:26" ht="15.75" hidden="1" customHeight="1" thickBot="1" x14ac:dyDescent="0.3">
      <c r="B164" s="54"/>
      <c r="C164" s="2"/>
      <c r="D164" s="624" t="s">
        <v>358</v>
      </c>
      <c r="E164" s="624"/>
      <c r="F164" s="159">
        <v>0</v>
      </c>
      <c r="G164" s="343">
        <v>0</v>
      </c>
      <c r="H164" s="313">
        <v>0</v>
      </c>
      <c r="I164" s="513">
        <v>0</v>
      </c>
      <c r="J164" s="232">
        <f t="shared" si="55"/>
        <v>0</v>
      </c>
      <c r="K164" s="141"/>
      <c r="L164" s="159">
        <f t="shared" si="43"/>
        <v>0</v>
      </c>
      <c r="M164" s="72"/>
      <c r="N164" s="1"/>
      <c r="O164" s="72"/>
      <c r="P164" s="1"/>
      <c r="Q164" s="78"/>
      <c r="R164" s="78"/>
      <c r="S164" s="1"/>
      <c r="T164" s="78"/>
      <c r="U164" s="78"/>
      <c r="V164" s="557"/>
      <c r="W164" s="394"/>
      <c r="X164" s="78"/>
      <c r="Y164" s="78"/>
      <c r="Z164" s="44"/>
    </row>
    <row r="165" spans="1:26" ht="15.75" hidden="1" customHeight="1" thickBot="1" x14ac:dyDescent="0.3">
      <c r="B165" s="54"/>
      <c r="C165" s="2"/>
      <c r="D165" s="624" t="s">
        <v>355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si="55"/>
        <v>0</v>
      </c>
      <c r="K165" s="141"/>
      <c r="L165" s="159">
        <f t="shared" si="43"/>
        <v>0</v>
      </c>
      <c r="M165" s="72"/>
      <c r="N165" s="1"/>
      <c r="O165" s="72"/>
      <c r="P165" s="1"/>
      <c r="Q165" s="78"/>
      <c r="R165" s="78"/>
      <c r="S165" s="1"/>
      <c r="T165" s="78"/>
      <c r="U165" s="78"/>
      <c r="V165" s="557"/>
      <c r="W165" s="394"/>
      <c r="X165" s="78"/>
      <c r="Y165" s="78"/>
      <c r="Z165" s="44"/>
    </row>
    <row r="166" spans="1:26" ht="15.75" hidden="1" customHeight="1" thickBot="1" x14ac:dyDescent="0.3">
      <c r="B166" s="54"/>
      <c r="C166" s="2"/>
      <c r="D166" s="624" t="s">
        <v>810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55"/>
        <v>0</v>
      </c>
      <c r="K166" s="141"/>
      <c r="L166" s="159">
        <f t="shared" si="43"/>
        <v>0</v>
      </c>
      <c r="M166" s="72"/>
      <c r="N166" s="1"/>
      <c r="O166" s="72"/>
      <c r="P166" s="1"/>
      <c r="Q166" s="78"/>
      <c r="R166" s="78"/>
      <c r="S166" s="1"/>
      <c r="T166" s="78"/>
      <c r="U166" s="78"/>
      <c r="V166" s="557"/>
      <c r="W166" s="394"/>
      <c r="X166" s="78"/>
      <c r="Y166" s="78"/>
      <c r="Z166" s="44"/>
    </row>
    <row r="167" spans="1:26" ht="25.5" hidden="1" customHeight="1" x14ac:dyDescent="0.25">
      <c r="B167" s="54"/>
      <c r="C167" s="2"/>
      <c r="D167" s="625" t="s">
        <v>532</v>
      </c>
      <c r="E167" s="625"/>
      <c r="F167" s="159">
        <v>0</v>
      </c>
      <c r="G167" s="343">
        <v>0</v>
      </c>
      <c r="H167" s="313">
        <v>0</v>
      </c>
      <c r="I167" s="513">
        <v>0</v>
      </c>
      <c r="J167" s="242">
        <f t="shared" si="55"/>
        <v>0</v>
      </c>
      <c r="K167" s="151"/>
      <c r="L167" s="159">
        <f t="shared" si="43"/>
        <v>0</v>
      </c>
      <c r="M167" s="72"/>
      <c r="N167" s="1"/>
      <c r="O167" s="72"/>
      <c r="P167" s="1"/>
      <c r="Q167" s="78"/>
      <c r="R167" s="78"/>
      <c r="S167" s="1"/>
      <c r="T167" s="78"/>
      <c r="U167" s="78"/>
      <c r="V167" s="557"/>
      <c r="W167" s="394"/>
      <c r="X167" s="78"/>
      <c r="Y167" s="78"/>
      <c r="Z167" s="44"/>
    </row>
    <row r="168" spans="1:26" ht="25.5" hidden="1" customHeight="1" x14ac:dyDescent="0.25">
      <c r="B168" s="54"/>
      <c r="C168" s="2"/>
      <c r="D168" s="625" t="s">
        <v>533</v>
      </c>
      <c r="E168" s="625"/>
      <c r="F168" s="159">
        <v>0</v>
      </c>
      <c r="G168" s="343">
        <v>0</v>
      </c>
      <c r="H168" s="313">
        <v>0</v>
      </c>
      <c r="I168" s="513">
        <v>0</v>
      </c>
      <c r="J168" s="242">
        <f t="shared" si="55"/>
        <v>0</v>
      </c>
      <c r="K168" s="151"/>
      <c r="L168" s="159">
        <f t="shared" si="43"/>
        <v>0</v>
      </c>
      <c r="M168" s="72"/>
      <c r="N168" s="1"/>
      <c r="O168" s="72"/>
      <c r="P168" s="1"/>
      <c r="Q168" s="78"/>
      <c r="R168" s="78"/>
      <c r="S168" s="1"/>
      <c r="T168" s="78"/>
      <c r="U168" s="78"/>
      <c r="V168" s="557"/>
      <c r="W168" s="394"/>
      <c r="X168" s="78"/>
      <c r="Y168" s="78"/>
      <c r="Z168" s="44"/>
    </row>
    <row r="169" spans="1:26" ht="15.75" hidden="1" customHeight="1" thickBot="1" x14ac:dyDescent="0.3">
      <c r="B169" s="54"/>
      <c r="C169" s="2"/>
      <c r="D169" s="624" t="s">
        <v>364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55"/>
        <v>0</v>
      </c>
      <c r="K169" s="141"/>
      <c r="L169" s="159">
        <f t="shared" si="43"/>
        <v>0</v>
      </c>
      <c r="M169" s="72"/>
      <c r="N169" s="1"/>
      <c r="O169" s="72"/>
      <c r="P169" s="1"/>
      <c r="Q169" s="78"/>
      <c r="R169" s="78"/>
      <c r="S169" s="1"/>
      <c r="T169" s="78"/>
      <c r="U169" s="78"/>
      <c r="V169" s="557"/>
      <c r="W169" s="394"/>
      <c r="X169" s="78"/>
      <c r="Y169" s="78"/>
      <c r="Z169" s="44"/>
    </row>
    <row r="170" spans="1:26" ht="15.75" hidden="1" customHeight="1" thickBot="1" x14ac:dyDescent="0.3">
      <c r="B170" s="54"/>
      <c r="C170" s="2"/>
      <c r="D170" s="624" t="s">
        <v>356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55"/>
        <v>0</v>
      </c>
      <c r="K170" s="141"/>
      <c r="L170" s="159">
        <f t="shared" si="43"/>
        <v>0</v>
      </c>
      <c r="M170" s="72"/>
      <c r="N170" s="1"/>
      <c r="O170" s="72"/>
      <c r="P170" s="1"/>
      <c r="Q170" s="78"/>
      <c r="R170" s="78"/>
      <c r="S170" s="1"/>
      <c r="T170" s="78"/>
      <c r="U170" s="78"/>
      <c r="V170" s="557"/>
      <c r="W170" s="394"/>
      <c r="X170" s="78"/>
      <c r="Y170" s="78"/>
      <c r="Z170" s="44"/>
    </row>
    <row r="171" spans="1:26" ht="25.5" hidden="1" customHeight="1" x14ac:dyDescent="0.25">
      <c r="B171" s="54"/>
      <c r="C171" s="2"/>
      <c r="D171" s="625" t="s">
        <v>534</v>
      </c>
      <c r="E171" s="625"/>
      <c r="F171" s="159">
        <v>0</v>
      </c>
      <c r="G171" s="343">
        <v>0</v>
      </c>
      <c r="H171" s="313">
        <v>0</v>
      </c>
      <c r="I171" s="513">
        <v>0</v>
      </c>
      <c r="J171" s="242">
        <f t="shared" si="55"/>
        <v>0</v>
      </c>
      <c r="K171" s="151"/>
      <c r="L171" s="159">
        <f t="shared" si="43"/>
        <v>0</v>
      </c>
      <c r="M171" s="72"/>
      <c r="N171" s="1"/>
      <c r="O171" s="72"/>
      <c r="P171" s="1"/>
      <c r="Q171" s="78"/>
      <c r="R171" s="78"/>
      <c r="S171" s="1"/>
      <c r="T171" s="78"/>
      <c r="U171" s="78"/>
      <c r="V171" s="557"/>
      <c r="W171" s="394"/>
      <c r="X171" s="78"/>
      <c r="Y171" s="78"/>
      <c r="Z171" s="44"/>
    </row>
    <row r="172" spans="1:26" ht="15.75" hidden="1" customHeight="1" thickBot="1" x14ac:dyDescent="0.3">
      <c r="B172" s="54"/>
      <c r="C172" s="2"/>
      <c r="D172" s="624" t="s">
        <v>535</v>
      </c>
      <c r="E172" s="624"/>
      <c r="F172" s="159">
        <v>0</v>
      </c>
      <c r="G172" s="343">
        <v>0</v>
      </c>
      <c r="H172" s="313">
        <v>0</v>
      </c>
      <c r="I172" s="513">
        <v>0</v>
      </c>
      <c r="J172" s="232">
        <f t="shared" si="55"/>
        <v>0</v>
      </c>
      <c r="K172" s="141"/>
      <c r="L172" s="159">
        <f t="shared" si="43"/>
        <v>0</v>
      </c>
      <c r="M172" s="72"/>
      <c r="N172" s="1"/>
      <c r="O172" s="72"/>
      <c r="P172" s="1"/>
      <c r="Q172" s="78"/>
      <c r="R172" s="78"/>
      <c r="S172" s="1"/>
      <c r="T172" s="78"/>
      <c r="U172" s="78"/>
      <c r="V172" s="557"/>
      <c r="W172" s="394"/>
      <c r="X172" s="78"/>
      <c r="Y172" s="78"/>
      <c r="Z172" s="44"/>
    </row>
    <row r="173" spans="1:26" s="41" customFormat="1" ht="15.75" hidden="1" customHeight="1" thickBot="1" x14ac:dyDescent="0.3">
      <c r="A173" s="118" t="s">
        <v>235</v>
      </c>
      <c r="B173" s="101" t="s">
        <v>665</v>
      </c>
      <c r="C173" s="655" t="s">
        <v>236</v>
      </c>
      <c r="D173" s="656"/>
      <c r="E173" s="656"/>
      <c r="F173" s="162">
        <v>0</v>
      </c>
      <c r="G173" s="345">
        <v>0</v>
      </c>
      <c r="H173" s="315">
        <v>0</v>
      </c>
      <c r="I173" s="516">
        <v>0</v>
      </c>
      <c r="J173" s="243">
        <f t="shared" si="55"/>
        <v>0</v>
      </c>
      <c r="K173" s="152"/>
      <c r="L173" s="162">
        <f t="shared" si="43"/>
        <v>0</v>
      </c>
      <c r="M173" s="102"/>
      <c r="N173" s="103"/>
      <c r="O173" s="102"/>
      <c r="P173" s="103"/>
      <c r="Q173" s="106"/>
      <c r="R173" s="106"/>
      <c r="S173" s="103"/>
      <c r="T173" s="106"/>
      <c r="U173" s="106"/>
      <c r="V173" s="561"/>
      <c r="W173" s="397"/>
      <c r="X173" s="106"/>
      <c r="Y173" s="106"/>
      <c r="Z173" s="107"/>
    </row>
    <row r="174" spans="1:26" s="41" customFormat="1" ht="15.75" hidden="1" customHeight="1" thickBot="1" x14ac:dyDescent="0.3">
      <c r="A174" s="118" t="s">
        <v>237</v>
      </c>
      <c r="B174" s="101" t="s">
        <v>667</v>
      </c>
      <c r="C174" s="655" t="s">
        <v>238</v>
      </c>
      <c r="D174" s="656"/>
      <c r="E174" s="656"/>
      <c r="F174" s="162">
        <v>0</v>
      </c>
      <c r="G174" s="345">
        <v>0</v>
      </c>
      <c r="H174" s="315">
        <v>0</v>
      </c>
      <c r="I174" s="516">
        <v>0</v>
      </c>
      <c r="J174" s="243">
        <f t="shared" si="55"/>
        <v>0</v>
      </c>
      <c r="K174" s="152"/>
      <c r="L174" s="162">
        <f t="shared" si="43"/>
        <v>0</v>
      </c>
      <c r="M174" s="102"/>
      <c r="N174" s="103"/>
      <c r="O174" s="102"/>
      <c r="P174" s="103"/>
      <c r="Q174" s="106"/>
      <c r="R174" s="106"/>
      <c r="S174" s="103"/>
      <c r="T174" s="106"/>
      <c r="U174" s="106"/>
      <c r="V174" s="561"/>
      <c r="W174" s="397"/>
      <c r="X174" s="106"/>
      <c r="Y174" s="106"/>
      <c r="Z174" s="107"/>
    </row>
    <row r="175" spans="1:26" s="41" customFormat="1" ht="15.75" hidden="1" customHeight="1" thickBot="1" x14ac:dyDescent="0.3">
      <c r="A175" s="118" t="s">
        <v>239</v>
      </c>
      <c r="B175" s="101" t="s">
        <v>668</v>
      </c>
      <c r="C175" s="655" t="s">
        <v>240</v>
      </c>
      <c r="D175" s="656"/>
      <c r="E175" s="656"/>
      <c r="F175" s="162">
        <v>0</v>
      </c>
      <c r="G175" s="345">
        <v>0</v>
      </c>
      <c r="H175" s="315">
        <v>0</v>
      </c>
      <c r="I175" s="516">
        <v>0</v>
      </c>
      <c r="J175" s="243">
        <f t="shared" si="55"/>
        <v>0</v>
      </c>
      <c r="K175" s="152"/>
      <c r="L175" s="162">
        <f t="shared" ref="L175:L248" si="56">SUM(J175:K175)</f>
        <v>0</v>
      </c>
      <c r="M175" s="102"/>
      <c r="N175" s="103"/>
      <c r="O175" s="102"/>
      <c r="P175" s="103"/>
      <c r="Q175" s="106"/>
      <c r="R175" s="106"/>
      <c r="S175" s="103"/>
      <c r="T175" s="106"/>
      <c r="U175" s="106"/>
      <c r="V175" s="561"/>
      <c r="W175" s="397"/>
      <c r="X175" s="106"/>
      <c r="Y175" s="106"/>
      <c r="Z175" s="107"/>
    </row>
    <row r="176" spans="1:26" s="41" customFormat="1" ht="15.75" hidden="1" customHeight="1" thickBot="1" x14ac:dyDescent="0.3">
      <c r="A176" s="118" t="s">
        <v>241</v>
      </c>
      <c r="B176" s="101" t="s">
        <v>669</v>
      </c>
      <c r="C176" s="655" t="s">
        <v>242</v>
      </c>
      <c r="D176" s="656"/>
      <c r="E176" s="656"/>
      <c r="F176" s="162">
        <v>0</v>
      </c>
      <c r="G176" s="345">
        <v>0</v>
      </c>
      <c r="H176" s="315">
        <v>0</v>
      </c>
      <c r="I176" s="516">
        <v>0</v>
      </c>
      <c r="J176" s="243">
        <f>J177+J178+J179+J180+J181+J182+J183+J184+J185+J186</f>
        <v>0</v>
      </c>
      <c r="K176" s="152">
        <f t="shared" ref="K176:Z176" si="57">K177+K178+K179+K180+K181+K182+K183+K184+K185+K186</f>
        <v>0</v>
      </c>
      <c r="L176" s="162">
        <f t="shared" si="56"/>
        <v>0</v>
      </c>
      <c r="M176" s="102">
        <f>M177+M178+M179+M180+M181+M182+M183+M184+M185+M186</f>
        <v>0</v>
      </c>
      <c r="N176" s="103">
        <f>N177+N178+N179+N180+N181+N182+N183+N184+N185+N186</f>
        <v>0</v>
      </c>
      <c r="O176" s="102">
        <f t="shared" si="57"/>
        <v>0</v>
      </c>
      <c r="P176" s="103">
        <f t="shared" si="57"/>
        <v>0</v>
      </c>
      <c r="Q176" s="106">
        <f t="shared" si="57"/>
        <v>0</v>
      </c>
      <c r="R176" s="106">
        <f t="shared" si="57"/>
        <v>0</v>
      </c>
      <c r="S176" s="103">
        <f t="shared" si="57"/>
        <v>0</v>
      </c>
      <c r="T176" s="106">
        <f t="shared" si="57"/>
        <v>0</v>
      </c>
      <c r="U176" s="106">
        <f t="shared" si="57"/>
        <v>0</v>
      </c>
      <c r="V176" s="561">
        <f t="shared" si="57"/>
        <v>0</v>
      </c>
      <c r="W176" s="397">
        <f t="shared" si="57"/>
        <v>0</v>
      </c>
      <c r="X176" s="106">
        <f t="shared" si="57"/>
        <v>0</v>
      </c>
      <c r="Y176" s="106">
        <f t="shared" si="57"/>
        <v>0</v>
      </c>
      <c r="Z176" s="107">
        <f t="shared" si="57"/>
        <v>0</v>
      </c>
    </row>
    <row r="177" spans="1:26" ht="15.75" hidden="1" customHeight="1" thickBot="1" x14ac:dyDescent="0.3">
      <c r="B177" s="54"/>
      <c r="C177" s="2"/>
      <c r="D177" s="624" t="s">
        <v>359</v>
      </c>
      <c r="E177" s="624"/>
      <c r="F177" s="159">
        <v>0</v>
      </c>
      <c r="G177" s="343">
        <v>0</v>
      </c>
      <c r="H177" s="313">
        <v>0</v>
      </c>
      <c r="I177" s="513">
        <v>0</v>
      </c>
      <c r="J177" s="232">
        <f t="shared" ref="J177:J187" si="58">SUM(O177:Z177)</f>
        <v>0</v>
      </c>
      <c r="K177" s="141"/>
      <c r="L177" s="159">
        <f t="shared" si="56"/>
        <v>0</v>
      </c>
      <c r="M177" s="72"/>
      <c r="N177" s="1"/>
      <c r="O177" s="72"/>
      <c r="P177" s="1"/>
      <c r="Q177" s="78"/>
      <c r="R177" s="78"/>
      <c r="S177" s="1"/>
      <c r="T177" s="78"/>
      <c r="U177" s="78"/>
      <c r="V177" s="557"/>
      <c r="W177" s="394"/>
      <c r="X177" s="78"/>
      <c r="Y177" s="78"/>
      <c r="Z177" s="44"/>
    </row>
    <row r="178" spans="1:26" ht="15.75" hidden="1" customHeight="1" thickBot="1" x14ac:dyDescent="0.3">
      <c r="B178" s="54"/>
      <c r="C178" s="2"/>
      <c r="D178" s="624" t="s">
        <v>360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si="58"/>
        <v>0</v>
      </c>
      <c r="K178" s="141"/>
      <c r="L178" s="159">
        <f t="shared" si="56"/>
        <v>0</v>
      </c>
      <c r="M178" s="72"/>
      <c r="N178" s="1"/>
      <c r="O178" s="72"/>
      <c r="P178" s="1"/>
      <c r="Q178" s="78"/>
      <c r="R178" s="78"/>
      <c r="S178" s="1"/>
      <c r="T178" s="78"/>
      <c r="U178" s="78"/>
      <c r="V178" s="557"/>
      <c r="W178" s="394"/>
      <c r="X178" s="78"/>
      <c r="Y178" s="78"/>
      <c r="Z178" s="44"/>
    </row>
    <row r="179" spans="1:26" ht="15.75" hidden="1" customHeight="1" thickBot="1" x14ac:dyDescent="0.3">
      <c r="B179" s="54"/>
      <c r="C179" s="2"/>
      <c r="D179" s="624" t="s">
        <v>361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58"/>
        <v>0</v>
      </c>
      <c r="K179" s="141"/>
      <c r="L179" s="159">
        <f t="shared" si="56"/>
        <v>0</v>
      </c>
      <c r="M179" s="72"/>
      <c r="N179" s="1"/>
      <c r="O179" s="72"/>
      <c r="P179" s="1"/>
      <c r="Q179" s="78"/>
      <c r="R179" s="78"/>
      <c r="S179" s="1"/>
      <c r="T179" s="78"/>
      <c r="U179" s="78"/>
      <c r="V179" s="557"/>
      <c r="W179" s="394"/>
      <c r="X179" s="78"/>
      <c r="Y179" s="78"/>
      <c r="Z179" s="44"/>
    </row>
    <row r="180" spans="1:26" ht="15.75" hidden="1" customHeight="1" thickBot="1" x14ac:dyDescent="0.3">
      <c r="B180" s="54"/>
      <c r="C180" s="2"/>
      <c r="D180" s="624" t="s">
        <v>362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58"/>
        <v>0</v>
      </c>
      <c r="K180" s="141"/>
      <c r="L180" s="159">
        <f t="shared" si="56"/>
        <v>0</v>
      </c>
      <c r="M180" s="72"/>
      <c r="N180" s="1"/>
      <c r="O180" s="72"/>
      <c r="P180" s="1"/>
      <c r="Q180" s="78"/>
      <c r="R180" s="78"/>
      <c r="S180" s="1"/>
      <c r="T180" s="78"/>
      <c r="U180" s="78"/>
      <c r="V180" s="557"/>
      <c r="W180" s="394"/>
      <c r="X180" s="78"/>
      <c r="Y180" s="78"/>
      <c r="Z180" s="44"/>
    </row>
    <row r="181" spans="1:26" ht="15.75" hidden="1" customHeight="1" thickBot="1" x14ac:dyDescent="0.3">
      <c r="B181" s="54"/>
      <c r="C181" s="2"/>
      <c r="D181" s="624" t="s">
        <v>363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58"/>
        <v>0</v>
      </c>
      <c r="K181" s="141"/>
      <c r="L181" s="159">
        <f t="shared" si="56"/>
        <v>0</v>
      </c>
      <c r="M181" s="72"/>
      <c r="N181" s="1"/>
      <c r="O181" s="72"/>
      <c r="P181" s="1"/>
      <c r="Q181" s="78"/>
      <c r="R181" s="78"/>
      <c r="S181" s="1"/>
      <c r="T181" s="78"/>
      <c r="U181" s="78"/>
      <c r="V181" s="557"/>
      <c r="W181" s="394"/>
      <c r="X181" s="78"/>
      <c r="Y181" s="78"/>
      <c r="Z181" s="44"/>
    </row>
    <row r="182" spans="1:26" ht="25.5" hidden="1" customHeight="1" x14ac:dyDescent="0.25">
      <c r="B182" s="54"/>
      <c r="C182" s="2"/>
      <c r="D182" s="625" t="s">
        <v>536</v>
      </c>
      <c r="E182" s="625"/>
      <c r="F182" s="159">
        <v>0</v>
      </c>
      <c r="G182" s="343">
        <v>0</v>
      </c>
      <c r="H182" s="313">
        <v>0</v>
      </c>
      <c r="I182" s="513">
        <v>0</v>
      </c>
      <c r="J182" s="242">
        <f t="shared" si="58"/>
        <v>0</v>
      </c>
      <c r="K182" s="151"/>
      <c r="L182" s="159">
        <f t="shared" si="56"/>
        <v>0</v>
      </c>
      <c r="M182" s="72"/>
      <c r="N182" s="1"/>
      <c r="O182" s="72"/>
      <c r="P182" s="1"/>
      <c r="Q182" s="78"/>
      <c r="R182" s="78"/>
      <c r="S182" s="1"/>
      <c r="T182" s="78"/>
      <c r="U182" s="78"/>
      <c r="V182" s="557"/>
      <c r="W182" s="394"/>
      <c r="X182" s="78"/>
      <c r="Y182" s="78"/>
      <c r="Z182" s="44"/>
    </row>
    <row r="183" spans="1:26" ht="25.5" hidden="1" customHeight="1" x14ac:dyDescent="0.25">
      <c r="B183" s="54"/>
      <c r="C183" s="2"/>
      <c r="D183" s="625" t="s">
        <v>539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58"/>
        <v>0</v>
      </c>
      <c r="K183" s="151"/>
      <c r="L183" s="159">
        <f t="shared" si="56"/>
        <v>0</v>
      </c>
      <c r="M183" s="72"/>
      <c r="N183" s="1"/>
      <c r="O183" s="72"/>
      <c r="P183" s="1"/>
      <c r="Q183" s="78"/>
      <c r="R183" s="78"/>
      <c r="S183" s="1"/>
      <c r="T183" s="78"/>
      <c r="U183" s="78"/>
      <c r="V183" s="557"/>
      <c r="W183" s="394"/>
      <c r="X183" s="78"/>
      <c r="Y183" s="78"/>
      <c r="Z183" s="44"/>
    </row>
    <row r="184" spans="1:26" ht="15.75" hidden="1" customHeight="1" thickBot="1" x14ac:dyDescent="0.3">
      <c r="B184" s="54"/>
      <c r="C184" s="2"/>
      <c r="D184" s="624" t="s">
        <v>365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58"/>
        <v>0</v>
      </c>
      <c r="K184" s="141"/>
      <c r="L184" s="159">
        <f t="shared" si="56"/>
        <v>0</v>
      </c>
      <c r="M184" s="72"/>
      <c r="N184" s="1"/>
      <c r="O184" s="72"/>
      <c r="P184" s="1"/>
      <c r="Q184" s="78"/>
      <c r="R184" s="78"/>
      <c r="S184" s="1"/>
      <c r="T184" s="78"/>
      <c r="U184" s="78"/>
      <c r="V184" s="557"/>
      <c r="W184" s="394"/>
      <c r="X184" s="78"/>
      <c r="Y184" s="78"/>
      <c r="Z184" s="44"/>
    </row>
    <row r="185" spans="1:26" ht="25.5" hidden="1" customHeight="1" x14ac:dyDescent="0.25">
      <c r="B185" s="54"/>
      <c r="C185" s="2"/>
      <c r="D185" s="625" t="s">
        <v>542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58"/>
        <v>0</v>
      </c>
      <c r="K185" s="151"/>
      <c r="L185" s="159">
        <f t="shared" si="56"/>
        <v>0</v>
      </c>
      <c r="M185" s="72"/>
      <c r="N185" s="1"/>
      <c r="O185" s="72"/>
      <c r="P185" s="1"/>
      <c r="Q185" s="78"/>
      <c r="R185" s="78"/>
      <c r="S185" s="1"/>
      <c r="T185" s="78"/>
      <c r="U185" s="78"/>
      <c r="V185" s="557"/>
      <c r="W185" s="394"/>
      <c r="X185" s="78"/>
      <c r="Y185" s="78"/>
      <c r="Z185" s="44"/>
    </row>
    <row r="186" spans="1:26" ht="15.75" hidden="1" customHeight="1" thickBot="1" x14ac:dyDescent="0.3">
      <c r="B186" s="54"/>
      <c r="C186" s="2"/>
      <c r="D186" s="624" t="s">
        <v>543</v>
      </c>
      <c r="E186" s="624"/>
      <c r="F186" s="159">
        <v>0</v>
      </c>
      <c r="G186" s="343">
        <v>0</v>
      </c>
      <c r="H186" s="313">
        <v>0</v>
      </c>
      <c r="I186" s="513">
        <v>0</v>
      </c>
      <c r="J186" s="232">
        <f t="shared" si="58"/>
        <v>0</v>
      </c>
      <c r="K186" s="141"/>
      <c r="L186" s="159">
        <f t="shared" si="56"/>
        <v>0</v>
      </c>
      <c r="M186" s="72"/>
      <c r="N186" s="1"/>
      <c r="O186" s="72"/>
      <c r="P186" s="1"/>
      <c r="Q186" s="78"/>
      <c r="R186" s="78"/>
      <c r="S186" s="1"/>
      <c r="T186" s="78"/>
      <c r="U186" s="78"/>
      <c r="V186" s="557"/>
      <c r="W186" s="394"/>
      <c r="X186" s="78"/>
      <c r="Y186" s="78"/>
      <c r="Z186" s="44"/>
    </row>
    <row r="187" spans="1:26" s="41" customFormat="1" ht="15.75" hidden="1" customHeight="1" thickBot="1" x14ac:dyDescent="0.3">
      <c r="A187" s="118" t="s">
        <v>243</v>
      </c>
      <c r="B187" s="127" t="s">
        <v>670</v>
      </c>
      <c r="C187" s="710" t="s">
        <v>244</v>
      </c>
      <c r="D187" s="711"/>
      <c r="E187" s="711"/>
      <c r="F187" s="162">
        <v>0</v>
      </c>
      <c r="G187" s="471">
        <v>0</v>
      </c>
      <c r="H187" s="491">
        <v>0</v>
      </c>
      <c r="I187" s="521">
        <v>0</v>
      </c>
      <c r="J187" s="244">
        <f t="shared" si="58"/>
        <v>0</v>
      </c>
      <c r="K187" s="153"/>
      <c r="L187" s="162">
        <f t="shared" si="56"/>
        <v>0</v>
      </c>
      <c r="M187" s="102"/>
      <c r="N187" s="103"/>
      <c r="O187" s="102"/>
      <c r="P187" s="103"/>
      <c r="Q187" s="106"/>
      <c r="R187" s="106"/>
      <c r="S187" s="103"/>
      <c r="T187" s="106"/>
      <c r="U187" s="106"/>
      <c r="V187" s="561"/>
      <c r="W187" s="397"/>
      <c r="X187" s="106"/>
      <c r="Y187" s="106"/>
      <c r="Z187" s="107"/>
    </row>
    <row r="188" spans="1:26" ht="15.75" thickBot="1" x14ac:dyDescent="0.3">
      <c r="B188" s="96" t="s">
        <v>245</v>
      </c>
      <c r="C188" s="632" t="s">
        <v>246</v>
      </c>
      <c r="D188" s="633"/>
      <c r="E188" s="633"/>
      <c r="F188" s="156">
        <v>0</v>
      </c>
      <c r="G188" s="338">
        <v>0</v>
      </c>
      <c r="H188" s="308">
        <v>0</v>
      </c>
      <c r="I188" s="506">
        <v>0</v>
      </c>
      <c r="J188" s="235">
        <f>J189+J190+J193+J194+J197+J198+J199</f>
        <v>428990</v>
      </c>
      <c r="K188" s="362">
        <f t="shared" ref="K188:Z188" si="59">K189+K190+K193+K194+K197+K198+K199</f>
        <v>0</v>
      </c>
      <c r="L188" s="359">
        <f>SUM(J188:K188)</f>
        <v>428990</v>
      </c>
      <c r="M188" s="82">
        <f>M189+M190+M193+M194+M197+M198+M199</f>
        <v>0</v>
      </c>
      <c r="N188" s="83">
        <f>N189+N190+N193+N194+N197+N198+N199</f>
        <v>428990</v>
      </c>
      <c r="O188" s="82">
        <f>O189+O190+O193+O194+O197+O198+O199</f>
        <v>0</v>
      </c>
      <c r="P188" s="83">
        <f t="shared" si="59"/>
        <v>0</v>
      </c>
      <c r="Q188" s="86">
        <f t="shared" si="59"/>
        <v>0</v>
      </c>
      <c r="R188" s="86">
        <f t="shared" si="59"/>
        <v>0</v>
      </c>
      <c r="S188" s="83">
        <f t="shared" si="59"/>
        <v>18990</v>
      </c>
      <c r="T188" s="86">
        <f t="shared" si="59"/>
        <v>0</v>
      </c>
      <c r="U188" s="86">
        <f>U189+U190+U193+U194+U197+U198+U199</f>
        <v>0</v>
      </c>
      <c r="V188" s="87">
        <f t="shared" si="59"/>
        <v>0</v>
      </c>
      <c r="W188" s="338">
        <f t="shared" si="59"/>
        <v>0</v>
      </c>
      <c r="X188" s="86">
        <f t="shared" si="59"/>
        <v>0</v>
      </c>
      <c r="Y188" s="86">
        <f t="shared" si="59"/>
        <v>310000</v>
      </c>
      <c r="Z188" s="87">
        <f t="shared" si="59"/>
        <v>0</v>
      </c>
    </row>
    <row r="189" spans="1:26" s="18" customFormat="1" ht="15" hidden="1" customHeight="1" x14ac:dyDescent="0.25">
      <c r="A189" s="118" t="s">
        <v>247</v>
      </c>
      <c r="B189" s="108" t="s">
        <v>671</v>
      </c>
      <c r="C189" s="634" t="s">
        <v>248</v>
      </c>
      <c r="D189" s="635"/>
      <c r="E189" s="635"/>
      <c r="F189" s="158">
        <v>0</v>
      </c>
      <c r="G189" s="339">
        <v>0</v>
      </c>
      <c r="H189" s="309">
        <v>0</v>
      </c>
      <c r="I189" s="507">
        <v>0</v>
      </c>
      <c r="J189" s="231">
        <f>SUM(O189:Z189)</f>
        <v>0</v>
      </c>
      <c r="K189" s="363"/>
      <c r="L189" s="360">
        <f t="shared" si="56"/>
        <v>0</v>
      </c>
      <c r="M189" s="90"/>
      <c r="N189" s="91"/>
      <c r="O189" s="90"/>
      <c r="P189" s="91"/>
      <c r="Q189" s="94"/>
      <c r="R189" s="94"/>
      <c r="S189" s="91"/>
      <c r="T189" s="94"/>
      <c r="U189" s="94"/>
      <c r="V189" s="261"/>
      <c r="W189" s="346"/>
      <c r="X189" s="94"/>
      <c r="Y189" s="94"/>
      <c r="Z189" s="95"/>
    </row>
    <row r="190" spans="1:26" s="18" customFormat="1" ht="15" hidden="1" customHeight="1" x14ac:dyDescent="0.25">
      <c r="A190" s="118" t="s">
        <v>249</v>
      </c>
      <c r="B190" s="88" t="s">
        <v>672</v>
      </c>
      <c r="C190" s="626" t="s">
        <v>250</v>
      </c>
      <c r="D190" s="627"/>
      <c r="E190" s="627"/>
      <c r="F190" s="158">
        <v>0</v>
      </c>
      <c r="G190" s="341">
        <v>0</v>
      </c>
      <c r="H190" s="311">
        <v>0</v>
      </c>
      <c r="I190" s="509">
        <v>0</v>
      </c>
      <c r="J190" s="233">
        <f>J191+J192</f>
        <v>0</v>
      </c>
      <c r="K190" s="329">
        <f t="shared" ref="K190:Z190" si="60">K191+K192</f>
        <v>0</v>
      </c>
      <c r="L190" s="360">
        <f t="shared" si="56"/>
        <v>0</v>
      </c>
      <c r="M190" s="90">
        <f>M191+M192</f>
        <v>0</v>
      </c>
      <c r="N190" s="91">
        <f>N191+N192</f>
        <v>0</v>
      </c>
      <c r="O190" s="90">
        <f t="shared" si="60"/>
        <v>0</v>
      </c>
      <c r="P190" s="91">
        <f t="shared" si="60"/>
        <v>0</v>
      </c>
      <c r="Q190" s="94">
        <f t="shared" si="60"/>
        <v>0</v>
      </c>
      <c r="R190" s="94">
        <f t="shared" si="60"/>
        <v>0</v>
      </c>
      <c r="S190" s="91">
        <f t="shared" si="60"/>
        <v>0</v>
      </c>
      <c r="T190" s="94">
        <f t="shared" si="60"/>
        <v>0</v>
      </c>
      <c r="U190" s="94">
        <f t="shared" si="60"/>
        <v>0</v>
      </c>
      <c r="V190" s="261">
        <f t="shared" si="60"/>
        <v>0</v>
      </c>
      <c r="W190" s="346">
        <f t="shared" si="60"/>
        <v>0</v>
      </c>
      <c r="X190" s="94">
        <f t="shared" si="60"/>
        <v>0</v>
      </c>
      <c r="Y190" s="94">
        <f t="shared" si="60"/>
        <v>0</v>
      </c>
      <c r="Z190" s="95">
        <f t="shared" si="60"/>
        <v>0</v>
      </c>
    </row>
    <row r="191" spans="1:26" ht="15" hidden="1" customHeight="1" x14ac:dyDescent="0.25">
      <c r="B191" s="54"/>
      <c r="C191" s="2"/>
      <c r="D191" s="624" t="s">
        <v>250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198" si="61">SUM(O191:Z191)</f>
        <v>0</v>
      </c>
      <c r="K191" s="364"/>
      <c r="L191" s="361">
        <f t="shared" si="56"/>
        <v>0</v>
      </c>
      <c r="M191" s="72"/>
      <c r="N191" s="1"/>
      <c r="O191" s="72"/>
      <c r="P191" s="1"/>
      <c r="Q191" s="78"/>
      <c r="R191" s="78"/>
      <c r="S191" s="1"/>
      <c r="T191" s="78"/>
      <c r="U191" s="78"/>
      <c r="V191" s="44"/>
      <c r="W191" s="343"/>
      <c r="X191" s="78"/>
      <c r="Y191" s="78"/>
      <c r="Z191" s="44"/>
    </row>
    <row r="192" spans="1:26" ht="15" hidden="1" customHeight="1" x14ac:dyDescent="0.25">
      <c r="B192" s="54"/>
      <c r="C192" s="2"/>
      <c r="D192" s="624" t="s">
        <v>349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61"/>
        <v>0</v>
      </c>
      <c r="K192" s="364"/>
      <c r="L192" s="361">
        <f t="shared" si="56"/>
        <v>0</v>
      </c>
      <c r="M192" s="72"/>
      <c r="N192" s="1"/>
      <c r="O192" s="72"/>
      <c r="P192" s="1"/>
      <c r="Q192" s="78"/>
      <c r="R192" s="78"/>
      <c r="S192" s="1"/>
      <c r="T192" s="78"/>
      <c r="U192" s="78"/>
      <c r="V192" s="44"/>
      <c r="W192" s="343"/>
      <c r="X192" s="78"/>
      <c r="Y192" s="78"/>
      <c r="Z192" s="44"/>
    </row>
    <row r="193" spans="1:26" s="18" customFormat="1" ht="15" hidden="1" customHeight="1" x14ac:dyDescent="0.25">
      <c r="A193" s="118" t="s">
        <v>251</v>
      </c>
      <c r="B193" s="88" t="s">
        <v>673</v>
      </c>
      <c r="C193" s="626" t="s">
        <v>252</v>
      </c>
      <c r="D193" s="627"/>
      <c r="E193" s="627"/>
      <c r="F193" s="158">
        <v>0</v>
      </c>
      <c r="G193" s="341">
        <v>0</v>
      </c>
      <c r="H193" s="311">
        <v>0</v>
      </c>
      <c r="I193" s="509">
        <v>0</v>
      </c>
      <c r="J193" s="233">
        <f t="shared" si="61"/>
        <v>0</v>
      </c>
      <c r="K193" s="329"/>
      <c r="L193" s="360">
        <f t="shared" si="56"/>
        <v>0</v>
      </c>
      <c r="M193" s="90"/>
      <c r="N193" s="91"/>
      <c r="O193" s="90"/>
      <c r="P193" s="91"/>
      <c r="Q193" s="94"/>
      <c r="R193" s="94"/>
      <c r="S193" s="91"/>
      <c r="T193" s="94"/>
      <c r="U193" s="94"/>
      <c r="V193" s="261"/>
      <c r="W193" s="346"/>
      <c r="X193" s="94"/>
      <c r="Y193" s="94"/>
      <c r="Z193" s="95"/>
    </row>
    <row r="194" spans="1:26" s="18" customFormat="1" x14ac:dyDescent="0.25">
      <c r="A194" s="118" t="s">
        <v>253</v>
      </c>
      <c r="B194" s="262" t="s">
        <v>674</v>
      </c>
      <c r="C194" s="712" t="s">
        <v>254</v>
      </c>
      <c r="D194" s="713"/>
      <c r="E194" s="713"/>
      <c r="F194" s="183">
        <v>0</v>
      </c>
      <c r="G194" s="340">
        <v>0</v>
      </c>
      <c r="H194" s="310">
        <v>0</v>
      </c>
      <c r="I194" s="508">
        <v>0</v>
      </c>
      <c r="J194" s="251">
        <f>J195+J196</f>
        <v>337788</v>
      </c>
      <c r="K194" s="370"/>
      <c r="L194" s="369">
        <f>SUM(J194:K194)</f>
        <v>337788</v>
      </c>
      <c r="M194" s="191">
        <f>M195</f>
        <v>0</v>
      </c>
      <c r="N194" s="185">
        <f>N196</f>
        <v>337788</v>
      </c>
      <c r="O194" s="193"/>
      <c r="P194" s="185"/>
      <c r="Q194" s="186"/>
      <c r="R194" s="186"/>
      <c r="S194" s="185">
        <f>S195+S196</f>
        <v>14953</v>
      </c>
      <c r="T194" s="186"/>
      <c r="U194" s="186"/>
      <c r="V194" s="187"/>
      <c r="W194" s="340"/>
      <c r="X194" s="186"/>
      <c r="Y194" s="186">
        <f>Y195+Y196</f>
        <v>244095</v>
      </c>
      <c r="Z194" s="187">
        <f>Z195+Z196</f>
        <v>0</v>
      </c>
    </row>
    <row r="195" spans="1:26" s="18" customFormat="1" x14ac:dyDescent="0.25">
      <c r="A195" s="118"/>
      <c r="B195" s="262"/>
      <c r="C195" s="250"/>
      <c r="D195" s="497" t="s">
        <v>997</v>
      </c>
      <c r="E195" s="498"/>
      <c r="F195" s="159">
        <v>0</v>
      </c>
      <c r="G195" s="343">
        <v>0</v>
      </c>
      <c r="H195" s="313">
        <v>0</v>
      </c>
      <c r="I195" s="513">
        <v>0</v>
      </c>
      <c r="J195" s="232">
        <f>SUM(O195:Z195)</f>
        <v>0</v>
      </c>
      <c r="K195" s="366"/>
      <c r="L195" s="361">
        <f t="shared" ref="L195:L201" si="62">SUM(J195:K195)</f>
        <v>0</v>
      </c>
      <c r="M195" s="72">
        <f>L195</f>
        <v>0</v>
      </c>
      <c r="N195" s="258"/>
      <c r="O195" s="72"/>
      <c r="P195" s="1"/>
      <c r="Q195" s="78"/>
      <c r="R195" s="78"/>
      <c r="S195" s="1"/>
      <c r="T195" s="343"/>
      <c r="U195" s="78"/>
      <c r="V195" s="261"/>
      <c r="W195" s="346"/>
      <c r="X195" s="259"/>
      <c r="Y195" s="259"/>
      <c r="Z195" s="261"/>
    </row>
    <row r="196" spans="1:26" s="18" customFormat="1" x14ac:dyDescent="0.25">
      <c r="A196" s="118"/>
      <c r="B196" s="262"/>
      <c r="C196" s="250"/>
      <c r="D196" s="497" t="s">
        <v>998</v>
      </c>
      <c r="E196" s="498"/>
      <c r="F196" s="159">
        <v>0</v>
      </c>
      <c r="G196" s="343">
        <v>0</v>
      </c>
      <c r="H196" s="313">
        <v>0</v>
      </c>
      <c r="I196" s="513">
        <v>0</v>
      </c>
      <c r="J196" s="232">
        <f>SUM(O196:Z196)</f>
        <v>337788</v>
      </c>
      <c r="K196" s="366"/>
      <c r="L196" s="361">
        <f t="shared" si="62"/>
        <v>337788</v>
      </c>
      <c r="M196" s="383"/>
      <c r="N196" s="73">
        <f>L196</f>
        <v>337788</v>
      </c>
      <c r="O196" s="72"/>
      <c r="P196" s="1"/>
      <c r="Q196" s="78"/>
      <c r="R196" s="78"/>
      <c r="S196" s="1">
        <v>14953</v>
      </c>
      <c r="T196" s="78"/>
      <c r="U196" s="78"/>
      <c r="V196" s="44"/>
      <c r="W196" s="343">
        <v>78740</v>
      </c>
      <c r="X196" s="259"/>
      <c r="Y196" s="259">
        <v>244095</v>
      </c>
      <c r="Z196" s="261"/>
    </row>
    <row r="197" spans="1:26" s="18" customFormat="1" ht="15" hidden="1" customHeight="1" x14ac:dyDescent="0.25">
      <c r="A197" s="118" t="s">
        <v>255</v>
      </c>
      <c r="B197" s="262" t="s">
        <v>675</v>
      </c>
      <c r="C197" s="712" t="s">
        <v>256</v>
      </c>
      <c r="D197" s="721"/>
      <c r="E197" s="721"/>
      <c r="F197" s="256">
        <v>0</v>
      </c>
      <c r="G197" s="346">
        <v>0</v>
      </c>
      <c r="H197" s="318">
        <v>0</v>
      </c>
      <c r="I197" s="517">
        <v>0</v>
      </c>
      <c r="J197" s="263">
        <f t="shared" si="61"/>
        <v>0</v>
      </c>
      <c r="K197" s="366"/>
      <c r="L197" s="354">
        <f t="shared" si="62"/>
        <v>0</v>
      </c>
      <c r="M197" s="257"/>
      <c r="N197" s="258"/>
      <c r="O197" s="72"/>
      <c r="P197" s="1"/>
      <c r="Q197" s="78"/>
      <c r="R197" s="78"/>
      <c r="S197" s="1"/>
      <c r="T197" s="78"/>
      <c r="U197" s="78"/>
      <c r="V197" s="261"/>
      <c r="W197" s="346"/>
      <c r="X197" s="259"/>
      <c r="Y197" s="259"/>
      <c r="Z197" s="261"/>
    </row>
    <row r="198" spans="1:26" s="18" customFormat="1" ht="15" hidden="1" customHeight="1" x14ac:dyDescent="0.25">
      <c r="A198" s="118" t="s">
        <v>257</v>
      </c>
      <c r="B198" s="262" t="s">
        <v>676</v>
      </c>
      <c r="C198" s="712" t="s">
        <v>258</v>
      </c>
      <c r="D198" s="713"/>
      <c r="E198" s="713"/>
      <c r="F198" s="256">
        <v>0</v>
      </c>
      <c r="G198" s="346">
        <v>0</v>
      </c>
      <c r="H198" s="318">
        <v>0</v>
      </c>
      <c r="I198" s="517">
        <v>0</v>
      </c>
      <c r="J198" s="263">
        <f t="shared" si="61"/>
        <v>0</v>
      </c>
      <c r="K198" s="366"/>
      <c r="L198" s="354">
        <f t="shared" si="62"/>
        <v>0</v>
      </c>
      <c r="M198" s="257"/>
      <c r="N198" s="258"/>
      <c r="O198" s="72"/>
      <c r="P198" s="1"/>
      <c r="Q198" s="78"/>
      <c r="R198" s="78"/>
      <c r="S198" s="1"/>
      <c r="T198" s="78"/>
      <c r="U198" s="78"/>
      <c r="V198" s="261"/>
      <c r="W198" s="346"/>
      <c r="X198" s="259"/>
      <c r="Y198" s="259"/>
      <c r="Z198" s="261"/>
    </row>
    <row r="199" spans="1:26" s="18" customFormat="1" x14ac:dyDescent="0.25">
      <c r="A199" s="118" t="s">
        <v>259</v>
      </c>
      <c r="B199" s="262" t="s">
        <v>677</v>
      </c>
      <c r="C199" s="714" t="s">
        <v>260</v>
      </c>
      <c r="D199" s="715"/>
      <c r="E199" s="715"/>
      <c r="F199" s="183">
        <v>0</v>
      </c>
      <c r="G199" s="340">
        <v>0</v>
      </c>
      <c r="H199" s="310">
        <v>0</v>
      </c>
      <c r="I199" s="508">
        <v>0</v>
      </c>
      <c r="J199" s="251">
        <f>SUM(J200:J201)</f>
        <v>91202</v>
      </c>
      <c r="K199" s="370"/>
      <c r="L199" s="369">
        <f>SUM(J199:K199)</f>
        <v>91202</v>
      </c>
      <c r="M199" s="191">
        <f>M200</f>
        <v>0</v>
      </c>
      <c r="N199" s="185">
        <f>N201</f>
        <v>91202</v>
      </c>
      <c r="O199" s="191"/>
      <c r="P199" s="185"/>
      <c r="Q199" s="186"/>
      <c r="R199" s="186"/>
      <c r="S199" s="185">
        <f>S200+S201</f>
        <v>4037</v>
      </c>
      <c r="T199" s="186"/>
      <c r="U199" s="186"/>
      <c r="V199" s="187"/>
      <c r="W199" s="340"/>
      <c r="X199" s="186"/>
      <c r="Y199" s="186">
        <f>Y200+Y201</f>
        <v>65905</v>
      </c>
      <c r="Z199" s="187">
        <f>Z200+Z201</f>
        <v>0</v>
      </c>
    </row>
    <row r="200" spans="1:26" s="18" customFormat="1" x14ac:dyDescent="0.25">
      <c r="A200" s="118"/>
      <c r="B200" s="262"/>
      <c r="C200" s="250"/>
      <c r="D200" s="497" t="s">
        <v>997</v>
      </c>
      <c r="E200" s="496"/>
      <c r="F200" s="159">
        <v>0</v>
      </c>
      <c r="G200" s="343">
        <v>0</v>
      </c>
      <c r="H200" s="313">
        <v>0</v>
      </c>
      <c r="I200" s="513">
        <v>0</v>
      </c>
      <c r="J200" s="232">
        <f>SUM(O200:Z200)</f>
        <v>0</v>
      </c>
      <c r="K200" s="366"/>
      <c r="L200" s="361">
        <f t="shared" si="62"/>
        <v>0</v>
      </c>
      <c r="M200" s="72">
        <f>L200</f>
        <v>0</v>
      </c>
      <c r="N200" s="384"/>
      <c r="O200" s="385"/>
      <c r="P200" s="1"/>
      <c r="Q200" s="78"/>
      <c r="R200" s="78"/>
      <c r="S200" s="1"/>
      <c r="T200" s="343"/>
      <c r="U200" s="78"/>
      <c r="V200" s="261"/>
      <c r="W200" s="346"/>
      <c r="X200" s="259"/>
      <c r="Y200" s="259"/>
      <c r="Z200" s="261"/>
    </row>
    <row r="201" spans="1:26" s="18" customFormat="1" ht="15.75" thickBot="1" x14ac:dyDescent="0.3">
      <c r="A201" s="118"/>
      <c r="B201" s="371"/>
      <c r="C201" s="250"/>
      <c r="D201" s="284" t="s">
        <v>998</v>
      </c>
      <c r="E201" s="305"/>
      <c r="F201" s="159">
        <v>0</v>
      </c>
      <c r="G201" s="343">
        <v>0</v>
      </c>
      <c r="H201" s="313">
        <v>0</v>
      </c>
      <c r="I201" s="513">
        <v>0</v>
      </c>
      <c r="J201" s="232">
        <f>SUM(O201:Z201)</f>
        <v>91202</v>
      </c>
      <c r="K201" s="386"/>
      <c r="L201" s="361">
        <f t="shared" si="62"/>
        <v>91202</v>
      </c>
      <c r="M201" s="257"/>
      <c r="N201" s="378">
        <f>L201</f>
        <v>91202</v>
      </c>
      <c r="O201" s="385"/>
      <c r="P201" s="352"/>
      <c r="Q201" s="353"/>
      <c r="R201" s="353"/>
      <c r="S201" s="352">
        <v>4037</v>
      </c>
      <c r="T201" s="353"/>
      <c r="U201" s="78"/>
      <c r="V201" s="290"/>
      <c r="W201" s="391">
        <v>21260</v>
      </c>
      <c r="X201" s="414"/>
      <c r="Y201" s="414">
        <v>65905</v>
      </c>
      <c r="Z201" s="387"/>
    </row>
    <row r="202" spans="1:26" ht="15.75" thickBot="1" x14ac:dyDescent="0.3">
      <c r="B202" s="96" t="s">
        <v>261</v>
      </c>
      <c r="C202" s="632" t="s">
        <v>262</v>
      </c>
      <c r="D202" s="633"/>
      <c r="E202" s="633"/>
      <c r="F202" s="156">
        <v>31344750</v>
      </c>
      <c r="G202" s="338">
        <v>32686979</v>
      </c>
      <c r="H202" s="308">
        <v>33516055</v>
      </c>
      <c r="I202" s="506">
        <v>33812011</v>
      </c>
      <c r="J202" s="235">
        <f>J203+J206+J207+J209</f>
        <v>34168167</v>
      </c>
      <c r="K202" s="362">
        <f>K203+K206+K207+K209</f>
        <v>0</v>
      </c>
      <c r="L202" s="359">
        <f>SUM(J202:K202)</f>
        <v>34168167</v>
      </c>
      <c r="M202" s="82">
        <f>M203+M206+M207+M209</f>
        <v>0</v>
      </c>
      <c r="N202" s="83">
        <f>N203+N206+N207+N209</f>
        <v>34168167</v>
      </c>
      <c r="O202" s="82">
        <f>O203+O206+O207+O209</f>
        <v>3863466</v>
      </c>
      <c r="P202" s="83">
        <f t="shared" ref="P202:Y202" si="63">P203+P206+P207+P209</f>
        <v>0</v>
      </c>
      <c r="Q202" s="86">
        <f t="shared" si="63"/>
        <v>92550</v>
      </c>
      <c r="R202" s="86">
        <f t="shared" si="63"/>
        <v>12236753</v>
      </c>
      <c r="S202" s="83">
        <f t="shared" si="63"/>
        <v>839561</v>
      </c>
      <c r="T202" s="86">
        <f t="shared" si="63"/>
        <v>424049</v>
      </c>
      <c r="U202" s="86">
        <f t="shared" si="63"/>
        <v>15352624</v>
      </c>
      <c r="V202" s="351">
        <f t="shared" si="63"/>
        <v>283700</v>
      </c>
      <c r="W202" s="400">
        <f t="shared" si="63"/>
        <v>321900</v>
      </c>
      <c r="X202" s="415">
        <f t="shared" si="63"/>
        <v>753564</v>
      </c>
      <c r="Y202" s="415">
        <f t="shared" si="63"/>
        <v>0</v>
      </c>
      <c r="Z202" s="351">
        <f>Z203+Z206+Z207+Z209</f>
        <v>0</v>
      </c>
    </row>
    <row r="203" spans="1:26" s="18" customFormat="1" x14ac:dyDescent="0.25">
      <c r="A203" s="118" t="s">
        <v>263</v>
      </c>
      <c r="B203" s="253" t="s">
        <v>678</v>
      </c>
      <c r="C203" s="720" t="s">
        <v>264</v>
      </c>
      <c r="D203" s="721"/>
      <c r="E203" s="721"/>
      <c r="F203" s="183">
        <v>24914606</v>
      </c>
      <c r="G203" s="473">
        <v>25825246</v>
      </c>
      <c r="H203" s="493">
        <v>26510324</v>
      </c>
      <c r="I203" s="524">
        <v>26880856</v>
      </c>
      <c r="J203" s="367">
        <f t="shared" ref="J203:J212" si="64">SUM(O203:Z203)</f>
        <v>27121069</v>
      </c>
      <c r="K203" s="368"/>
      <c r="L203" s="369">
        <f>SUM(L204:L205)</f>
        <v>27121069</v>
      </c>
      <c r="M203" s="191">
        <f>M204</f>
        <v>0</v>
      </c>
      <c r="N203" s="185">
        <f>N205+N208</f>
        <v>27121069</v>
      </c>
      <c r="O203" s="475">
        <f t="shared" ref="O203:V203" si="65">O205</f>
        <v>3042099</v>
      </c>
      <c r="P203" s="476">
        <f t="shared" si="65"/>
        <v>0</v>
      </c>
      <c r="Q203" s="186">
        <f t="shared" si="65"/>
        <v>91498</v>
      </c>
      <c r="R203" s="186">
        <f t="shared" si="65"/>
        <v>9722223</v>
      </c>
      <c r="S203" s="185">
        <f t="shared" si="65"/>
        <v>661072</v>
      </c>
      <c r="T203" s="186">
        <f t="shared" si="65"/>
        <v>333896</v>
      </c>
      <c r="U203" s="186">
        <f t="shared" si="65"/>
        <v>12169681</v>
      </c>
      <c r="V203" s="187">
        <f t="shared" si="65"/>
        <v>283700</v>
      </c>
      <c r="W203" s="340">
        <f>W204+W205</f>
        <v>321900</v>
      </c>
      <c r="X203" s="186">
        <f>X204+X205</f>
        <v>495000</v>
      </c>
      <c r="Y203" s="186">
        <f>Y204+Y205</f>
        <v>0</v>
      </c>
      <c r="Z203" s="425">
        <f>Z204+Z205+Z208</f>
        <v>0</v>
      </c>
    </row>
    <row r="204" spans="1:26" s="18" customFormat="1" hidden="1" x14ac:dyDescent="0.25">
      <c r="A204" s="118"/>
      <c r="B204" s="253"/>
      <c r="C204" s="250"/>
      <c r="D204" s="348" t="s">
        <v>997</v>
      </c>
      <c r="E204" s="348"/>
      <c r="F204" s="159">
        <v>0</v>
      </c>
      <c r="G204" s="468">
        <v>0</v>
      </c>
      <c r="H204" s="316">
        <v>0</v>
      </c>
      <c r="I204" s="512">
        <v>0</v>
      </c>
      <c r="J204" s="296">
        <f t="shared" si="64"/>
        <v>0</v>
      </c>
      <c r="K204" s="365"/>
      <c r="L204" s="361">
        <f>SUM(J204:K204)</f>
        <v>0</v>
      </c>
      <c r="M204" s="72">
        <f>L204</f>
        <v>0</v>
      </c>
      <c r="N204" s="1"/>
      <c r="O204" s="72"/>
      <c r="P204" s="1"/>
      <c r="Q204" s="78"/>
      <c r="R204" s="78"/>
      <c r="S204" s="1"/>
      <c r="T204" s="78"/>
      <c r="U204" s="78"/>
      <c r="V204" s="44"/>
      <c r="W204" s="343"/>
      <c r="X204" s="78"/>
      <c r="Y204" s="78"/>
      <c r="Z204" s="44"/>
    </row>
    <row r="205" spans="1:26" s="18" customFormat="1" x14ac:dyDescent="0.25">
      <c r="A205" s="118"/>
      <c r="B205" s="253"/>
      <c r="C205" s="250"/>
      <c r="D205" s="402" t="s">
        <v>998</v>
      </c>
      <c r="E205" s="348"/>
      <c r="F205" s="159">
        <v>24914606</v>
      </c>
      <c r="G205" s="468">
        <v>25825246</v>
      </c>
      <c r="H205" s="316">
        <v>26510324</v>
      </c>
      <c r="I205" s="512">
        <v>26880856</v>
      </c>
      <c r="J205" s="296">
        <f t="shared" si="64"/>
        <v>27121069</v>
      </c>
      <c r="K205" s="365"/>
      <c r="L205" s="361">
        <f>SUM(J205:K205)</f>
        <v>27121069</v>
      </c>
      <c r="M205" s="72"/>
      <c r="N205" s="1">
        <f>L205</f>
        <v>27121069</v>
      </c>
      <c r="O205" s="72">
        <f>3017099+25000</f>
        <v>3042099</v>
      </c>
      <c r="P205" s="1"/>
      <c r="Q205" s="78">
        <f>12600+75000+3898</f>
        <v>91498</v>
      </c>
      <c r="R205" s="78">
        <f>8877143+45310+315430+80000+24000+75000+288840+16500</f>
        <v>9722223</v>
      </c>
      <c r="S205" s="1">
        <f>580072+81000</f>
        <v>661072</v>
      </c>
      <c r="T205" s="78">
        <v>333896</v>
      </c>
      <c r="U205" s="78">
        <v>12169681</v>
      </c>
      <c r="V205" s="44">
        <f>275000+8700</f>
        <v>283700</v>
      </c>
      <c r="W205" s="42">
        <f>300000+21900</f>
        <v>321900</v>
      </c>
      <c r="X205" s="78">
        <f>300000+195000</f>
        <v>495000</v>
      </c>
      <c r="Y205" s="78"/>
      <c r="Z205" s="44"/>
    </row>
    <row r="206" spans="1:26" s="18" customFormat="1" ht="15" hidden="1" customHeight="1" x14ac:dyDescent="0.25">
      <c r="A206" s="118" t="s">
        <v>265</v>
      </c>
      <c r="B206" s="262" t="s">
        <v>679</v>
      </c>
      <c r="C206" s="712" t="s">
        <v>884</v>
      </c>
      <c r="D206" s="713"/>
      <c r="E206" s="713"/>
      <c r="F206" s="159">
        <v>0</v>
      </c>
      <c r="G206" s="468">
        <v>0</v>
      </c>
      <c r="H206" s="316">
        <v>0</v>
      </c>
      <c r="I206" s="512">
        <v>0</v>
      </c>
      <c r="J206" s="296">
        <f t="shared" si="64"/>
        <v>0</v>
      </c>
      <c r="K206" s="366"/>
      <c r="L206" s="361">
        <f>SUM(J206:K206)</f>
        <v>0</v>
      </c>
      <c r="M206" s="257"/>
      <c r="N206" s="1">
        <f>L206</f>
        <v>0</v>
      </c>
      <c r="O206" s="257"/>
      <c r="P206" s="258"/>
      <c r="Q206" s="259"/>
      <c r="R206" s="259"/>
      <c r="S206" s="258"/>
      <c r="T206" s="259"/>
      <c r="U206" s="259"/>
      <c r="V206" s="261"/>
      <c r="W206" s="346"/>
      <c r="X206" s="259"/>
      <c r="Y206" s="259"/>
      <c r="Z206" s="261"/>
    </row>
    <row r="207" spans="1:26" s="18" customFormat="1" ht="15" hidden="1" customHeight="1" x14ac:dyDescent="0.25">
      <c r="A207" s="118" t="s">
        <v>266</v>
      </c>
      <c r="B207" s="262" t="s">
        <v>680</v>
      </c>
      <c r="C207" s="712" t="s">
        <v>267</v>
      </c>
      <c r="D207" s="713"/>
      <c r="E207" s="713"/>
      <c r="F207" s="159">
        <v>0</v>
      </c>
      <c r="G207" s="468">
        <v>0</v>
      </c>
      <c r="H207" s="316">
        <v>0</v>
      </c>
      <c r="I207" s="512">
        <v>0</v>
      </c>
      <c r="J207" s="296">
        <f t="shared" si="64"/>
        <v>0</v>
      </c>
      <c r="K207" s="366"/>
      <c r="L207" s="361">
        <f>SUM(J207:K207)</f>
        <v>0</v>
      </c>
      <c r="M207" s="257"/>
      <c r="N207" s="1">
        <f>L207</f>
        <v>0</v>
      </c>
      <c r="O207" s="257"/>
      <c r="P207" s="258"/>
      <c r="Q207" s="259"/>
      <c r="R207" s="259"/>
      <c r="S207" s="258"/>
      <c r="T207" s="259"/>
      <c r="U207" s="259"/>
      <c r="V207" s="261"/>
      <c r="W207" s="346"/>
      <c r="X207" s="259"/>
      <c r="Y207" s="259"/>
      <c r="Z207" s="261"/>
    </row>
    <row r="208" spans="1:26" x14ac:dyDescent="0.25">
      <c r="B208" s="54"/>
      <c r="C208" s="405"/>
      <c r="D208" s="225" t="s">
        <v>1032</v>
      </c>
      <c r="E208" s="225"/>
      <c r="F208" s="159">
        <v>0</v>
      </c>
      <c r="G208" s="468">
        <v>0</v>
      </c>
      <c r="H208" s="316">
        <v>0</v>
      </c>
      <c r="I208" s="512">
        <v>0</v>
      </c>
      <c r="J208" s="296">
        <f t="shared" si="64"/>
        <v>0</v>
      </c>
      <c r="K208" s="364"/>
      <c r="L208" s="361">
        <f>SUM(J208:K208)</f>
        <v>0</v>
      </c>
      <c r="M208" s="72"/>
      <c r="N208" s="1">
        <f>L208</f>
        <v>0</v>
      </c>
      <c r="O208" s="72"/>
      <c r="P208" s="1"/>
      <c r="Q208" s="78"/>
      <c r="R208" s="78"/>
      <c r="S208" s="1"/>
      <c r="T208" s="78"/>
      <c r="U208" s="78"/>
      <c r="V208" s="44"/>
      <c r="W208" s="343"/>
      <c r="X208" s="78"/>
      <c r="Y208" s="78"/>
      <c r="Z208" s="44"/>
    </row>
    <row r="209" spans="1:26" s="18" customFormat="1" x14ac:dyDescent="0.25">
      <c r="A209" s="118" t="s">
        <v>268</v>
      </c>
      <c r="B209" s="262" t="s">
        <v>681</v>
      </c>
      <c r="C209" s="714" t="s">
        <v>366</v>
      </c>
      <c r="D209" s="715"/>
      <c r="E209" s="715"/>
      <c r="F209" s="183">
        <v>6430144</v>
      </c>
      <c r="G209" s="340">
        <v>6861733</v>
      </c>
      <c r="H209" s="310">
        <v>7005731</v>
      </c>
      <c r="I209" s="508">
        <v>6931155</v>
      </c>
      <c r="J209" s="251">
        <f t="shared" si="64"/>
        <v>7047098</v>
      </c>
      <c r="K209" s="370"/>
      <c r="L209" s="340">
        <f>SUM(L210:L211)</f>
        <v>7047098</v>
      </c>
      <c r="M209" s="191">
        <f>M210</f>
        <v>0</v>
      </c>
      <c r="N209" s="185">
        <f>N211+N212</f>
        <v>7047098</v>
      </c>
      <c r="O209" s="193">
        <f>O211</f>
        <v>821367</v>
      </c>
      <c r="P209" s="185">
        <f t="shared" ref="P209:U209" si="66">P211</f>
        <v>0</v>
      </c>
      <c r="Q209" s="186">
        <f t="shared" si="66"/>
        <v>1052</v>
      </c>
      <c r="R209" s="186">
        <f t="shared" si="66"/>
        <v>2514530</v>
      </c>
      <c r="S209" s="185">
        <f t="shared" si="66"/>
        <v>178489</v>
      </c>
      <c r="T209" s="186">
        <f t="shared" si="66"/>
        <v>90153</v>
      </c>
      <c r="U209" s="186">
        <f t="shared" si="66"/>
        <v>3182943</v>
      </c>
      <c r="V209" s="187">
        <f>V211</f>
        <v>0</v>
      </c>
      <c r="W209" s="340">
        <f>W210+W211</f>
        <v>0</v>
      </c>
      <c r="X209" s="186">
        <f>X210+X211</f>
        <v>258564</v>
      </c>
      <c r="Y209" s="186">
        <f>Y210+Y211</f>
        <v>0</v>
      </c>
      <c r="Z209" s="187">
        <f>Z210+Z211+Z212</f>
        <v>0</v>
      </c>
    </row>
    <row r="210" spans="1:26" s="18" customFormat="1" hidden="1" x14ac:dyDescent="0.25">
      <c r="A210" s="118"/>
      <c r="B210" s="262"/>
      <c r="C210" s="250"/>
      <c r="D210" s="349" t="s">
        <v>997</v>
      </c>
      <c r="E210" s="348"/>
      <c r="F210" s="159">
        <v>0</v>
      </c>
      <c r="G210" s="343">
        <v>0</v>
      </c>
      <c r="H210" s="313">
        <v>0</v>
      </c>
      <c r="I210" s="513">
        <v>0</v>
      </c>
      <c r="J210" s="232">
        <f t="shared" si="64"/>
        <v>0</v>
      </c>
      <c r="K210" s="364"/>
      <c r="L210" s="343">
        <f>SUM(J210:K210)</f>
        <v>0</v>
      </c>
      <c r="M210" s="72">
        <f>L210</f>
        <v>0</v>
      </c>
      <c r="N210" s="73"/>
      <c r="O210" s="72"/>
      <c r="P210" s="1"/>
      <c r="Q210" s="78"/>
      <c r="R210" s="78"/>
      <c r="S210" s="1"/>
      <c r="T210" s="78"/>
      <c r="U210" s="78"/>
      <c r="V210" s="44"/>
      <c r="W210" s="343"/>
      <c r="X210" s="78"/>
      <c r="Y210" s="78"/>
      <c r="Z210" s="44"/>
    </row>
    <row r="211" spans="1:26" s="18" customFormat="1" x14ac:dyDescent="0.25">
      <c r="A211" s="118"/>
      <c r="B211" s="265"/>
      <c r="C211" s="405"/>
      <c r="D211" s="404" t="s">
        <v>998</v>
      </c>
      <c r="E211" s="403"/>
      <c r="F211" s="159">
        <v>6430144</v>
      </c>
      <c r="G211" s="343">
        <v>6861733</v>
      </c>
      <c r="H211" s="313">
        <v>7005731</v>
      </c>
      <c r="I211" s="513">
        <v>6931155</v>
      </c>
      <c r="J211" s="232">
        <f t="shared" si="64"/>
        <v>7047098</v>
      </c>
      <c r="K211" s="364"/>
      <c r="L211" s="343">
        <f>SUM(J211:K211)</f>
        <v>7047098</v>
      </c>
      <c r="M211" s="72"/>
      <c r="N211" s="73">
        <f>L211</f>
        <v>7047098</v>
      </c>
      <c r="O211" s="72">
        <f>814617+6750</f>
        <v>821367</v>
      </c>
      <c r="P211" s="1"/>
      <c r="Q211" s="78">
        <f>1052</f>
        <v>1052</v>
      </c>
      <c r="R211" s="78">
        <f>2396829+85166+21600+6480+4455</f>
        <v>2514530</v>
      </c>
      <c r="S211" s="1">
        <f>179541-1052</f>
        <v>178489</v>
      </c>
      <c r="T211" s="78">
        <v>90153</v>
      </c>
      <c r="U211" s="78">
        <v>3182943</v>
      </c>
      <c r="V211" s="44"/>
      <c r="W211" s="343"/>
      <c r="X211" s="78">
        <f>54000+204564</f>
        <v>258564</v>
      </c>
      <c r="Y211" s="78"/>
      <c r="Z211" s="44"/>
    </row>
    <row r="212" spans="1:26" s="18" customFormat="1" ht="15.75" thickBot="1" x14ac:dyDescent="0.3">
      <c r="A212" s="118"/>
      <c r="B212" s="371"/>
      <c r="C212" s="304"/>
      <c r="D212" s="284" t="s">
        <v>1032</v>
      </c>
      <c r="E212" s="305"/>
      <c r="F212" s="285">
        <v>0</v>
      </c>
      <c r="G212" s="391">
        <v>0</v>
      </c>
      <c r="H212" s="317">
        <v>0</v>
      </c>
      <c r="I212" s="523">
        <v>0</v>
      </c>
      <c r="J212" s="306">
        <f t="shared" si="64"/>
        <v>0</v>
      </c>
      <c r="K212" s="419"/>
      <c r="L212" s="391">
        <f>SUM(J212:K212)</f>
        <v>0</v>
      </c>
      <c r="M212" s="286"/>
      <c r="N212" s="378">
        <f>L212</f>
        <v>0</v>
      </c>
      <c r="O212" s="416"/>
      <c r="P212" s="417"/>
      <c r="Q212" s="353"/>
      <c r="R212" s="353"/>
      <c r="S212" s="352"/>
      <c r="T212" s="353"/>
      <c r="U212" s="353"/>
      <c r="V212" s="418"/>
      <c r="W212" s="15"/>
      <c r="X212" s="353"/>
      <c r="Y212" s="353"/>
      <c r="Z212" s="418"/>
    </row>
    <row r="213" spans="1:26" ht="15.75" thickBot="1" x14ac:dyDescent="0.3">
      <c r="B213" s="96" t="s">
        <v>269</v>
      </c>
      <c r="C213" s="632" t="s">
        <v>270</v>
      </c>
      <c r="D213" s="633"/>
      <c r="E213" s="633"/>
      <c r="F213" s="357">
        <v>0</v>
      </c>
      <c r="G213" s="400">
        <v>0</v>
      </c>
      <c r="H213" s="494">
        <v>0</v>
      </c>
      <c r="I213" s="525">
        <v>0</v>
      </c>
      <c r="J213" s="355">
        <f>J214+J215+J226+J237+J248+J251+J263+J264+J265</f>
        <v>0</v>
      </c>
      <c r="K213" s="356">
        <f t="shared" ref="K213:Z213" si="67">K214+K215+K226+K237+K248+K251+K263+K264+K265</f>
        <v>0</v>
      </c>
      <c r="L213" s="357">
        <f t="shared" si="56"/>
        <v>0</v>
      </c>
      <c r="M213" s="358">
        <f>M214+M215+M226+M237+M248+M251+M263+M264+M265</f>
        <v>0</v>
      </c>
      <c r="N213" s="350">
        <f>N214+N215+N226+N237+N248+N251+N263+N264+N265</f>
        <v>0</v>
      </c>
      <c r="O213" s="358">
        <f t="shared" si="67"/>
        <v>0</v>
      </c>
      <c r="P213" s="350">
        <f t="shared" si="67"/>
        <v>0</v>
      </c>
      <c r="Q213" s="86">
        <f t="shared" si="67"/>
        <v>0</v>
      </c>
      <c r="R213" s="86">
        <f t="shared" si="67"/>
        <v>0</v>
      </c>
      <c r="S213" s="83">
        <f t="shared" si="67"/>
        <v>0</v>
      </c>
      <c r="T213" s="86">
        <f t="shared" si="67"/>
        <v>0</v>
      </c>
      <c r="U213" s="86">
        <f t="shared" si="67"/>
        <v>0</v>
      </c>
      <c r="V213" s="87">
        <f t="shared" si="67"/>
        <v>0</v>
      </c>
      <c r="W213" s="338">
        <f t="shared" si="67"/>
        <v>0</v>
      </c>
      <c r="X213" s="86">
        <f t="shared" si="67"/>
        <v>0</v>
      </c>
      <c r="Y213" s="86">
        <f t="shared" si="67"/>
        <v>0</v>
      </c>
      <c r="Z213" s="87">
        <f t="shared" si="67"/>
        <v>0</v>
      </c>
    </row>
    <row r="214" spans="1:26" s="18" customFormat="1" ht="25.5" hidden="1" customHeight="1" x14ac:dyDescent="0.25">
      <c r="A214" s="118" t="s">
        <v>271</v>
      </c>
      <c r="B214" s="88" t="s">
        <v>682</v>
      </c>
      <c r="C214" s="646" t="s">
        <v>367</v>
      </c>
      <c r="D214" s="647"/>
      <c r="E214" s="647"/>
      <c r="F214" s="158">
        <v>0</v>
      </c>
      <c r="G214" s="341">
        <v>0</v>
      </c>
      <c r="H214" s="311">
        <v>0</v>
      </c>
      <c r="I214" s="509">
        <v>0</v>
      </c>
      <c r="J214" s="246">
        <f>SUM(O214:Z214)</f>
        <v>0</v>
      </c>
      <c r="K214" s="155"/>
      <c r="L214" s="158">
        <f t="shared" si="56"/>
        <v>0</v>
      </c>
      <c r="M214" s="90"/>
      <c r="N214" s="91"/>
      <c r="O214" s="90"/>
      <c r="P214" s="91"/>
      <c r="Q214" s="94"/>
      <c r="R214" s="94"/>
      <c r="S214" s="91"/>
      <c r="T214" s="94"/>
      <c r="U214" s="94"/>
      <c r="V214" s="556"/>
      <c r="W214" s="393"/>
      <c r="X214" s="94"/>
      <c r="Y214" s="94"/>
      <c r="Z214" s="95"/>
    </row>
    <row r="215" spans="1:26" s="18" customFormat="1" ht="16.350000000000001" hidden="1" customHeight="1" x14ac:dyDescent="0.25">
      <c r="A215" s="118" t="s">
        <v>272</v>
      </c>
      <c r="B215" s="88" t="s">
        <v>683</v>
      </c>
      <c r="C215" s="716" t="s">
        <v>811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</f>
        <v>0</v>
      </c>
      <c r="K215" s="155">
        <f t="shared" ref="K215:Z215" si="68">K216+K217+K218+K219+K220+K221+K222+K223+K224+K225</f>
        <v>0</v>
      </c>
      <c r="L215" s="158">
        <f t="shared" si="56"/>
        <v>0</v>
      </c>
      <c r="M215" s="90">
        <f>M216+M217+M218+M219+M220+M221+M222+M223+M224+M225</f>
        <v>0</v>
      </c>
      <c r="N215" s="91">
        <f>N216+N217+N218+N219+N220+N221+N222+N223+N224+N225</f>
        <v>0</v>
      </c>
      <c r="O215" s="90">
        <f t="shared" si="68"/>
        <v>0</v>
      </c>
      <c r="P215" s="91">
        <f t="shared" si="68"/>
        <v>0</v>
      </c>
      <c r="Q215" s="94">
        <f t="shared" si="68"/>
        <v>0</v>
      </c>
      <c r="R215" s="94">
        <f t="shared" si="68"/>
        <v>0</v>
      </c>
      <c r="S215" s="91">
        <f t="shared" si="68"/>
        <v>0</v>
      </c>
      <c r="T215" s="94">
        <f t="shared" si="68"/>
        <v>0</v>
      </c>
      <c r="U215" s="94">
        <f t="shared" si="68"/>
        <v>0</v>
      </c>
      <c r="V215" s="556">
        <f t="shared" si="68"/>
        <v>0</v>
      </c>
      <c r="W215" s="393">
        <f t="shared" si="68"/>
        <v>0</v>
      </c>
      <c r="X215" s="94">
        <f t="shared" si="68"/>
        <v>0</v>
      </c>
      <c r="Y215" s="94">
        <f t="shared" si="68"/>
        <v>0</v>
      </c>
      <c r="Z215" s="95">
        <f t="shared" si="68"/>
        <v>0</v>
      </c>
    </row>
    <row r="216" spans="1:26" ht="15.75" hidden="1" customHeight="1" thickBot="1" x14ac:dyDescent="0.3">
      <c r="B216" s="54"/>
      <c r="C216" s="2"/>
      <c r="D216" s="624" t="s">
        <v>812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69">SUM(O216:Z216)</f>
        <v>0</v>
      </c>
      <c r="K216" s="141"/>
      <c r="L216" s="159">
        <f t="shared" si="56"/>
        <v>0</v>
      </c>
      <c r="M216" s="72"/>
      <c r="N216" s="1"/>
      <c r="O216" s="72"/>
      <c r="P216" s="1"/>
      <c r="Q216" s="78"/>
      <c r="R216" s="78"/>
      <c r="S216" s="1"/>
      <c r="T216" s="78"/>
      <c r="U216" s="78"/>
      <c r="V216" s="557"/>
      <c r="W216" s="394"/>
      <c r="X216" s="78"/>
      <c r="Y216" s="78"/>
      <c r="Z216" s="44"/>
    </row>
    <row r="217" spans="1:26" ht="15.75" hidden="1" customHeight="1" thickBot="1" x14ac:dyDescent="0.3">
      <c r="B217" s="54"/>
      <c r="C217" s="2"/>
      <c r="D217" s="624" t="s">
        <v>813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69"/>
        <v>0</v>
      </c>
      <c r="K217" s="141"/>
      <c r="L217" s="159">
        <f t="shared" si="56"/>
        <v>0</v>
      </c>
      <c r="M217" s="72"/>
      <c r="N217" s="1"/>
      <c r="O217" s="72"/>
      <c r="P217" s="1"/>
      <c r="Q217" s="78"/>
      <c r="R217" s="78"/>
      <c r="S217" s="1"/>
      <c r="T217" s="78"/>
      <c r="U217" s="78"/>
      <c r="V217" s="557"/>
      <c r="W217" s="394"/>
      <c r="X217" s="78"/>
      <c r="Y217" s="78"/>
      <c r="Z217" s="44"/>
    </row>
    <row r="218" spans="1:26" ht="15.75" hidden="1" customHeight="1" thickBot="1" x14ac:dyDescent="0.3">
      <c r="B218" s="54"/>
      <c r="C218" s="2"/>
      <c r="D218" s="624" t="s">
        <v>545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69"/>
        <v>0</v>
      </c>
      <c r="K218" s="141"/>
      <c r="L218" s="159">
        <f t="shared" si="56"/>
        <v>0</v>
      </c>
      <c r="M218" s="72"/>
      <c r="N218" s="1"/>
      <c r="O218" s="72"/>
      <c r="P218" s="1"/>
      <c r="Q218" s="78"/>
      <c r="R218" s="78"/>
      <c r="S218" s="1"/>
      <c r="T218" s="78"/>
      <c r="U218" s="78"/>
      <c r="V218" s="557"/>
      <c r="W218" s="394"/>
      <c r="X218" s="78"/>
      <c r="Y218" s="78"/>
      <c r="Z218" s="44"/>
    </row>
    <row r="219" spans="1:26" ht="25.5" hidden="1" customHeight="1" x14ac:dyDescent="0.25">
      <c r="B219" s="54"/>
      <c r="C219" s="2"/>
      <c r="D219" s="625" t="s">
        <v>548</v>
      </c>
      <c r="E219" s="625"/>
      <c r="F219" s="159">
        <v>0</v>
      </c>
      <c r="G219" s="343">
        <v>0</v>
      </c>
      <c r="H219" s="313">
        <v>0</v>
      </c>
      <c r="I219" s="513">
        <v>0</v>
      </c>
      <c r="J219" s="242">
        <f t="shared" si="69"/>
        <v>0</v>
      </c>
      <c r="K219" s="151"/>
      <c r="L219" s="159">
        <f t="shared" si="56"/>
        <v>0</v>
      </c>
      <c r="M219" s="72"/>
      <c r="N219" s="1"/>
      <c r="O219" s="72"/>
      <c r="P219" s="1"/>
      <c r="Q219" s="78"/>
      <c r="R219" s="78"/>
      <c r="S219" s="1"/>
      <c r="T219" s="78"/>
      <c r="U219" s="78"/>
      <c r="V219" s="557"/>
      <c r="W219" s="394"/>
      <c r="X219" s="78"/>
      <c r="Y219" s="78"/>
      <c r="Z219" s="44"/>
    </row>
    <row r="220" spans="1:26" ht="15.75" hidden="1" customHeight="1" thickBot="1" x14ac:dyDescent="0.3">
      <c r="B220" s="54"/>
      <c r="C220" s="2"/>
      <c r="D220" s="624" t="s">
        <v>550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69"/>
        <v>0</v>
      </c>
      <c r="K220" s="141"/>
      <c r="L220" s="159">
        <f t="shared" si="56"/>
        <v>0</v>
      </c>
      <c r="M220" s="72"/>
      <c r="N220" s="1"/>
      <c r="O220" s="72"/>
      <c r="P220" s="1"/>
      <c r="Q220" s="78"/>
      <c r="R220" s="78"/>
      <c r="S220" s="1"/>
      <c r="T220" s="78"/>
      <c r="U220" s="78"/>
      <c r="V220" s="557"/>
      <c r="W220" s="394"/>
      <c r="X220" s="78"/>
      <c r="Y220" s="78"/>
      <c r="Z220" s="44"/>
    </row>
    <row r="221" spans="1:26" ht="15.75" hidden="1" customHeight="1" thickBot="1" x14ac:dyDescent="0.3">
      <c r="B221" s="54"/>
      <c r="C221" s="2"/>
      <c r="D221" s="624" t="s">
        <v>551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69"/>
        <v>0</v>
      </c>
      <c r="K221" s="141"/>
      <c r="L221" s="159">
        <f t="shared" si="56"/>
        <v>0</v>
      </c>
      <c r="M221" s="72"/>
      <c r="N221" s="1"/>
      <c r="O221" s="72"/>
      <c r="P221" s="1"/>
      <c r="Q221" s="78"/>
      <c r="R221" s="78"/>
      <c r="S221" s="1"/>
      <c r="T221" s="78"/>
      <c r="U221" s="78"/>
      <c r="V221" s="557"/>
      <c r="W221" s="394"/>
      <c r="X221" s="78"/>
      <c r="Y221" s="78"/>
      <c r="Z221" s="44"/>
    </row>
    <row r="222" spans="1:26" ht="25.5" hidden="1" customHeight="1" x14ac:dyDescent="0.25">
      <c r="B222" s="54"/>
      <c r="C222" s="2"/>
      <c r="D222" s="625" t="s">
        <v>555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69"/>
        <v>0</v>
      </c>
      <c r="K222" s="151"/>
      <c r="L222" s="159">
        <f t="shared" si="56"/>
        <v>0</v>
      </c>
      <c r="M222" s="72"/>
      <c r="N222" s="1"/>
      <c r="O222" s="72"/>
      <c r="P222" s="1"/>
      <c r="Q222" s="78"/>
      <c r="R222" s="78"/>
      <c r="S222" s="1"/>
      <c r="T222" s="78"/>
      <c r="U222" s="78"/>
      <c r="V222" s="557"/>
      <c r="W222" s="394"/>
      <c r="X222" s="78"/>
      <c r="Y222" s="78"/>
      <c r="Z222" s="44"/>
    </row>
    <row r="223" spans="1:26" ht="25.5" hidden="1" customHeight="1" x14ac:dyDescent="0.25">
      <c r="B223" s="54"/>
      <c r="C223" s="2"/>
      <c r="D223" s="625" t="s">
        <v>558</v>
      </c>
      <c r="E223" s="625"/>
      <c r="F223" s="159">
        <v>0</v>
      </c>
      <c r="G223" s="343">
        <v>0</v>
      </c>
      <c r="H223" s="313">
        <v>0</v>
      </c>
      <c r="I223" s="513">
        <v>0</v>
      </c>
      <c r="J223" s="242">
        <f t="shared" si="69"/>
        <v>0</v>
      </c>
      <c r="K223" s="151"/>
      <c r="L223" s="159">
        <f t="shared" si="56"/>
        <v>0</v>
      </c>
      <c r="M223" s="72"/>
      <c r="N223" s="1"/>
      <c r="O223" s="72"/>
      <c r="P223" s="1"/>
      <c r="Q223" s="78"/>
      <c r="R223" s="78"/>
      <c r="S223" s="1"/>
      <c r="T223" s="78"/>
      <c r="U223" s="78"/>
      <c r="V223" s="557"/>
      <c r="W223" s="394"/>
      <c r="X223" s="78"/>
      <c r="Y223" s="78"/>
      <c r="Z223" s="44"/>
    </row>
    <row r="224" spans="1:26" ht="25.5" hidden="1" customHeight="1" x14ac:dyDescent="0.25">
      <c r="B224" s="54"/>
      <c r="C224" s="2"/>
      <c r="D224" s="625" t="s">
        <v>560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69"/>
        <v>0</v>
      </c>
      <c r="K224" s="151"/>
      <c r="L224" s="159">
        <f t="shared" si="56"/>
        <v>0</v>
      </c>
      <c r="M224" s="72"/>
      <c r="N224" s="1"/>
      <c r="O224" s="72"/>
      <c r="P224" s="1"/>
      <c r="Q224" s="78"/>
      <c r="R224" s="78"/>
      <c r="S224" s="1"/>
      <c r="T224" s="78"/>
      <c r="U224" s="78"/>
      <c r="V224" s="557"/>
      <c r="W224" s="394"/>
      <c r="X224" s="78"/>
      <c r="Y224" s="78"/>
      <c r="Z224" s="44"/>
    </row>
    <row r="225" spans="1:26" ht="25.5" hidden="1" customHeight="1" x14ac:dyDescent="0.25">
      <c r="B225" s="54"/>
      <c r="C225" s="2"/>
      <c r="D225" s="625" t="s">
        <v>563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69"/>
        <v>0</v>
      </c>
      <c r="K225" s="151"/>
      <c r="L225" s="159">
        <f t="shared" si="56"/>
        <v>0</v>
      </c>
      <c r="M225" s="72"/>
      <c r="N225" s="1"/>
      <c r="O225" s="72"/>
      <c r="P225" s="1"/>
      <c r="Q225" s="78"/>
      <c r="R225" s="78"/>
      <c r="S225" s="1"/>
      <c r="T225" s="78"/>
      <c r="U225" s="78"/>
      <c r="V225" s="557"/>
      <c r="W225" s="394"/>
      <c r="X225" s="78"/>
      <c r="Y225" s="78"/>
      <c r="Z225" s="44"/>
    </row>
    <row r="226" spans="1:26" s="18" customFormat="1" ht="25.5" hidden="1" customHeight="1" x14ac:dyDescent="0.25">
      <c r="A226" s="121" t="s">
        <v>273</v>
      </c>
      <c r="B226" s="88" t="s">
        <v>684</v>
      </c>
      <c r="C226" s="716" t="s">
        <v>605</v>
      </c>
      <c r="D226" s="717"/>
      <c r="E226" s="717"/>
      <c r="F226" s="158">
        <v>0</v>
      </c>
      <c r="G226" s="341">
        <v>0</v>
      </c>
      <c r="H226" s="311">
        <v>0</v>
      </c>
      <c r="I226" s="509">
        <v>0</v>
      </c>
      <c r="J226" s="246">
        <f>J227+J228+J229+J230+J231+J232+J233+J234+J235+J236</f>
        <v>0</v>
      </c>
      <c r="K226" s="155">
        <f t="shared" ref="K226:Z226" si="70">K227+K228+K229+K230+K231+K232+K233+K234+K235+K236</f>
        <v>0</v>
      </c>
      <c r="L226" s="158">
        <f t="shared" si="56"/>
        <v>0</v>
      </c>
      <c r="M226" s="90">
        <f>M227+M228+M229+M230+M231+M232+M233+M234+M235+M236</f>
        <v>0</v>
      </c>
      <c r="N226" s="91">
        <f>N227+N228+N229+N230+N231+N232+N233+N234+N235+N236</f>
        <v>0</v>
      </c>
      <c r="O226" s="90">
        <f t="shared" si="70"/>
        <v>0</v>
      </c>
      <c r="P226" s="91">
        <f t="shared" si="70"/>
        <v>0</v>
      </c>
      <c r="Q226" s="94">
        <f t="shared" si="70"/>
        <v>0</v>
      </c>
      <c r="R226" s="94">
        <f t="shared" si="70"/>
        <v>0</v>
      </c>
      <c r="S226" s="91">
        <f t="shared" si="70"/>
        <v>0</v>
      </c>
      <c r="T226" s="94">
        <f t="shared" si="70"/>
        <v>0</v>
      </c>
      <c r="U226" s="94">
        <f t="shared" si="70"/>
        <v>0</v>
      </c>
      <c r="V226" s="556">
        <f t="shared" si="70"/>
        <v>0</v>
      </c>
      <c r="W226" s="393">
        <f t="shared" si="70"/>
        <v>0</v>
      </c>
      <c r="X226" s="94">
        <f t="shared" si="70"/>
        <v>0</v>
      </c>
      <c r="Y226" s="94">
        <f t="shared" si="70"/>
        <v>0</v>
      </c>
      <c r="Z226" s="95">
        <f t="shared" si="70"/>
        <v>0</v>
      </c>
    </row>
    <row r="227" spans="1:26" ht="15.75" hidden="1" customHeight="1" thickBot="1" x14ac:dyDescent="0.3">
      <c r="B227" s="54"/>
      <c r="C227" s="2"/>
      <c r="D227" s="624" t="s">
        <v>814</v>
      </c>
      <c r="E227" s="624"/>
      <c r="F227" s="159">
        <v>0</v>
      </c>
      <c r="G227" s="343">
        <v>0</v>
      </c>
      <c r="H227" s="313">
        <v>0</v>
      </c>
      <c r="I227" s="513">
        <v>0</v>
      </c>
      <c r="J227" s="232">
        <f t="shared" ref="J227:J236" si="71">SUM(O227:Z227)</f>
        <v>0</v>
      </c>
      <c r="K227" s="141"/>
      <c r="L227" s="159">
        <f t="shared" si="56"/>
        <v>0</v>
      </c>
      <c r="M227" s="72"/>
      <c r="N227" s="1"/>
      <c r="O227" s="72"/>
      <c r="P227" s="1"/>
      <c r="Q227" s="78"/>
      <c r="R227" s="78"/>
      <c r="S227" s="1"/>
      <c r="T227" s="78"/>
      <c r="U227" s="78"/>
      <c r="V227" s="557"/>
      <c r="W227" s="394"/>
      <c r="X227" s="78"/>
      <c r="Y227" s="78"/>
      <c r="Z227" s="44"/>
    </row>
    <row r="228" spans="1:26" ht="15.75" hidden="1" customHeight="1" thickBot="1" x14ac:dyDescent="0.3">
      <c r="B228" s="54"/>
      <c r="C228" s="2"/>
      <c r="D228" s="624" t="s">
        <v>815</v>
      </c>
      <c r="E228" s="624"/>
      <c r="F228" s="159">
        <v>0</v>
      </c>
      <c r="G228" s="343">
        <v>0</v>
      </c>
      <c r="H228" s="313">
        <v>0</v>
      </c>
      <c r="I228" s="513">
        <v>0</v>
      </c>
      <c r="J228" s="232">
        <f t="shared" si="71"/>
        <v>0</v>
      </c>
      <c r="K228" s="141"/>
      <c r="L228" s="159">
        <f t="shared" si="56"/>
        <v>0</v>
      </c>
      <c r="M228" s="72"/>
      <c r="N228" s="1"/>
      <c r="O228" s="72"/>
      <c r="P228" s="1"/>
      <c r="Q228" s="78"/>
      <c r="R228" s="78"/>
      <c r="S228" s="1"/>
      <c r="T228" s="78"/>
      <c r="U228" s="78"/>
      <c r="V228" s="557"/>
      <c r="W228" s="394"/>
      <c r="X228" s="78"/>
      <c r="Y228" s="78"/>
      <c r="Z228" s="44"/>
    </row>
    <row r="229" spans="1:26" ht="15.75" hidden="1" customHeight="1" thickBot="1" x14ac:dyDescent="0.3">
      <c r="B229" s="54"/>
      <c r="C229" s="2"/>
      <c r="D229" s="624" t="s">
        <v>546</v>
      </c>
      <c r="E229" s="624"/>
      <c r="F229" s="159">
        <v>0</v>
      </c>
      <c r="G229" s="343">
        <v>0</v>
      </c>
      <c r="H229" s="313">
        <v>0</v>
      </c>
      <c r="I229" s="513">
        <v>0</v>
      </c>
      <c r="J229" s="232">
        <f t="shared" si="71"/>
        <v>0</v>
      </c>
      <c r="K229" s="141"/>
      <c r="L229" s="159">
        <f t="shared" si="56"/>
        <v>0</v>
      </c>
      <c r="M229" s="72"/>
      <c r="N229" s="1"/>
      <c r="O229" s="72"/>
      <c r="P229" s="1"/>
      <c r="Q229" s="78"/>
      <c r="R229" s="78"/>
      <c r="S229" s="1"/>
      <c r="T229" s="78"/>
      <c r="U229" s="78"/>
      <c r="V229" s="557"/>
      <c r="W229" s="394"/>
      <c r="X229" s="78"/>
      <c r="Y229" s="78"/>
      <c r="Z229" s="44"/>
    </row>
    <row r="230" spans="1:26" ht="25.5" hidden="1" customHeight="1" x14ac:dyDescent="0.25">
      <c r="B230" s="54"/>
      <c r="C230" s="2"/>
      <c r="D230" s="625" t="s">
        <v>549</v>
      </c>
      <c r="E230" s="625"/>
      <c r="F230" s="159">
        <v>0</v>
      </c>
      <c r="G230" s="343">
        <v>0</v>
      </c>
      <c r="H230" s="313">
        <v>0</v>
      </c>
      <c r="I230" s="513">
        <v>0</v>
      </c>
      <c r="J230" s="242">
        <f t="shared" si="71"/>
        <v>0</v>
      </c>
      <c r="K230" s="151"/>
      <c r="L230" s="159">
        <f t="shared" si="56"/>
        <v>0</v>
      </c>
      <c r="M230" s="72"/>
      <c r="N230" s="1"/>
      <c r="O230" s="72"/>
      <c r="P230" s="1"/>
      <c r="Q230" s="78"/>
      <c r="R230" s="78"/>
      <c r="S230" s="1"/>
      <c r="T230" s="78"/>
      <c r="U230" s="78"/>
      <c r="V230" s="557"/>
      <c r="W230" s="394"/>
      <c r="X230" s="78"/>
      <c r="Y230" s="78"/>
      <c r="Z230" s="44"/>
    </row>
    <row r="231" spans="1:26" ht="15.75" hidden="1" customHeight="1" thickBot="1" x14ac:dyDescent="0.3">
      <c r="B231" s="54"/>
      <c r="C231" s="2"/>
      <c r="D231" s="624" t="s">
        <v>552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71"/>
        <v>0</v>
      </c>
      <c r="K231" s="141"/>
      <c r="L231" s="159">
        <f t="shared" si="56"/>
        <v>0</v>
      </c>
      <c r="M231" s="72"/>
      <c r="N231" s="1"/>
      <c r="O231" s="72"/>
      <c r="P231" s="1"/>
      <c r="Q231" s="78"/>
      <c r="R231" s="78"/>
      <c r="S231" s="1"/>
      <c r="T231" s="78"/>
      <c r="U231" s="78"/>
      <c r="V231" s="557"/>
      <c r="W231" s="394"/>
      <c r="X231" s="78"/>
      <c r="Y231" s="78"/>
      <c r="Z231" s="44"/>
    </row>
    <row r="232" spans="1:26" ht="15.75" hidden="1" customHeight="1" thickBot="1" x14ac:dyDescent="0.3">
      <c r="B232" s="54"/>
      <c r="C232" s="2"/>
      <c r="D232" s="624" t="s">
        <v>816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71"/>
        <v>0</v>
      </c>
      <c r="K232" s="141"/>
      <c r="L232" s="159">
        <f t="shared" si="56"/>
        <v>0</v>
      </c>
      <c r="M232" s="72"/>
      <c r="N232" s="1"/>
      <c r="O232" s="72"/>
      <c r="P232" s="1"/>
      <c r="Q232" s="78"/>
      <c r="R232" s="78"/>
      <c r="S232" s="1"/>
      <c r="T232" s="78"/>
      <c r="U232" s="78"/>
      <c r="V232" s="557"/>
      <c r="W232" s="394"/>
      <c r="X232" s="78"/>
      <c r="Y232" s="78"/>
      <c r="Z232" s="44"/>
    </row>
    <row r="233" spans="1:26" ht="25.5" hidden="1" customHeight="1" x14ac:dyDescent="0.25">
      <c r="B233" s="54"/>
      <c r="C233" s="2"/>
      <c r="D233" s="625" t="s">
        <v>556</v>
      </c>
      <c r="E233" s="625"/>
      <c r="F233" s="159">
        <v>0</v>
      </c>
      <c r="G233" s="343">
        <v>0</v>
      </c>
      <c r="H233" s="313">
        <v>0</v>
      </c>
      <c r="I233" s="513">
        <v>0</v>
      </c>
      <c r="J233" s="242">
        <f t="shared" si="71"/>
        <v>0</v>
      </c>
      <c r="K233" s="151"/>
      <c r="L233" s="159">
        <f t="shared" si="56"/>
        <v>0</v>
      </c>
      <c r="M233" s="72"/>
      <c r="N233" s="1"/>
      <c r="O233" s="72"/>
      <c r="P233" s="1"/>
      <c r="Q233" s="78"/>
      <c r="R233" s="78"/>
      <c r="S233" s="1"/>
      <c r="T233" s="78"/>
      <c r="U233" s="78"/>
      <c r="V233" s="557"/>
      <c r="W233" s="394"/>
      <c r="X233" s="78"/>
      <c r="Y233" s="78"/>
      <c r="Z233" s="44"/>
    </row>
    <row r="234" spans="1:26" ht="25.5" hidden="1" customHeight="1" x14ac:dyDescent="0.25">
      <c r="B234" s="54"/>
      <c r="C234" s="2"/>
      <c r="D234" s="625" t="s">
        <v>559</v>
      </c>
      <c r="E234" s="625"/>
      <c r="F234" s="159">
        <v>0</v>
      </c>
      <c r="G234" s="343">
        <v>0</v>
      </c>
      <c r="H234" s="313">
        <v>0</v>
      </c>
      <c r="I234" s="513">
        <v>0</v>
      </c>
      <c r="J234" s="242">
        <f t="shared" si="71"/>
        <v>0</v>
      </c>
      <c r="K234" s="151"/>
      <c r="L234" s="159">
        <f t="shared" si="56"/>
        <v>0</v>
      </c>
      <c r="M234" s="72"/>
      <c r="N234" s="1"/>
      <c r="O234" s="72"/>
      <c r="P234" s="1"/>
      <c r="Q234" s="78"/>
      <c r="R234" s="78"/>
      <c r="S234" s="1"/>
      <c r="T234" s="78"/>
      <c r="U234" s="78"/>
      <c r="V234" s="557"/>
      <c r="W234" s="394"/>
      <c r="X234" s="78"/>
      <c r="Y234" s="78"/>
      <c r="Z234" s="44"/>
    </row>
    <row r="235" spans="1:26" ht="25.5" hidden="1" customHeight="1" x14ac:dyDescent="0.25">
      <c r="B235" s="54"/>
      <c r="C235" s="2"/>
      <c r="D235" s="625" t="s">
        <v>561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71"/>
        <v>0</v>
      </c>
      <c r="K235" s="151"/>
      <c r="L235" s="159">
        <f t="shared" si="56"/>
        <v>0</v>
      </c>
      <c r="M235" s="72"/>
      <c r="N235" s="1"/>
      <c r="O235" s="72"/>
      <c r="P235" s="1"/>
      <c r="Q235" s="78"/>
      <c r="R235" s="78"/>
      <c r="S235" s="1"/>
      <c r="T235" s="78"/>
      <c r="U235" s="78"/>
      <c r="V235" s="557"/>
      <c r="W235" s="394"/>
      <c r="X235" s="78"/>
      <c r="Y235" s="78"/>
      <c r="Z235" s="44"/>
    </row>
    <row r="236" spans="1:26" ht="25.5" hidden="1" customHeight="1" x14ac:dyDescent="0.25">
      <c r="B236" s="54"/>
      <c r="C236" s="2"/>
      <c r="D236" s="625" t="s">
        <v>564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71"/>
        <v>0</v>
      </c>
      <c r="K236" s="151"/>
      <c r="L236" s="159">
        <f t="shared" si="56"/>
        <v>0</v>
      </c>
      <c r="M236" s="72"/>
      <c r="N236" s="1"/>
      <c r="O236" s="72"/>
      <c r="P236" s="1"/>
      <c r="Q236" s="78"/>
      <c r="R236" s="78"/>
      <c r="S236" s="1"/>
      <c r="T236" s="78"/>
      <c r="U236" s="78"/>
      <c r="V236" s="557"/>
      <c r="W236" s="394"/>
      <c r="X236" s="78"/>
      <c r="Y236" s="78"/>
      <c r="Z236" s="44"/>
    </row>
    <row r="237" spans="1:26" s="18" customFormat="1" ht="15.75" hidden="1" customHeight="1" thickBot="1" x14ac:dyDescent="0.3">
      <c r="A237" s="118" t="s">
        <v>274</v>
      </c>
      <c r="B237" s="88" t="s">
        <v>685</v>
      </c>
      <c r="C237" s="626" t="s">
        <v>275</v>
      </c>
      <c r="D237" s="627"/>
      <c r="E237" s="627"/>
      <c r="F237" s="158">
        <v>0</v>
      </c>
      <c r="G237" s="341">
        <v>0</v>
      </c>
      <c r="H237" s="311">
        <v>0</v>
      </c>
      <c r="I237" s="509">
        <v>0</v>
      </c>
      <c r="J237" s="233">
        <f>J238+J239+J240+J241+J242+J243+J244+J245+J246+J247</f>
        <v>0</v>
      </c>
      <c r="K237" s="142">
        <f t="shared" ref="K237:Z237" si="72">K238+K239+K240+K241+K242+K243+K244+K245+K246+K247</f>
        <v>0</v>
      </c>
      <c r="L237" s="158">
        <f t="shared" si="56"/>
        <v>0</v>
      </c>
      <c r="M237" s="90">
        <f>M238+M239+M240+M241+M242+M243+M244+M245+M246+M247</f>
        <v>0</v>
      </c>
      <c r="N237" s="91">
        <f>N238+N239+N240+N241+N242+N243+N244+N245+N246+N247</f>
        <v>0</v>
      </c>
      <c r="O237" s="90">
        <f t="shared" si="72"/>
        <v>0</v>
      </c>
      <c r="P237" s="91">
        <f t="shared" si="72"/>
        <v>0</v>
      </c>
      <c r="Q237" s="94">
        <f t="shared" si="72"/>
        <v>0</v>
      </c>
      <c r="R237" s="94">
        <f t="shared" si="72"/>
        <v>0</v>
      </c>
      <c r="S237" s="91">
        <f t="shared" si="72"/>
        <v>0</v>
      </c>
      <c r="T237" s="94">
        <f t="shared" si="72"/>
        <v>0</v>
      </c>
      <c r="U237" s="94">
        <f t="shared" si="72"/>
        <v>0</v>
      </c>
      <c r="V237" s="556">
        <f t="shared" si="72"/>
        <v>0</v>
      </c>
      <c r="W237" s="393">
        <f t="shared" si="72"/>
        <v>0</v>
      </c>
      <c r="X237" s="94">
        <f t="shared" si="72"/>
        <v>0</v>
      </c>
      <c r="Y237" s="94">
        <f t="shared" si="72"/>
        <v>0</v>
      </c>
      <c r="Z237" s="95">
        <f t="shared" si="72"/>
        <v>0</v>
      </c>
    </row>
    <row r="238" spans="1:26" ht="15.75" hidden="1" customHeight="1" thickBot="1" x14ac:dyDescent="0.3">
      <c r="B238" s="54"/>
      <c r="C238" s="2"/>
      <c r="D238" s="624" t="s">
        <v>371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ref="J238:J247" si="73">SUM(O238:Z238)</f>
        <v>0</v>
      </c>
      <c r="K238" s="141"/>
      <c r="L238" s="159">
        <f t="shared" si="56"/>
        <v>0</v>
      </c>
      <c r="M238" s="72"/>
      <c r="N238" s="1"/>
      <c r="O238" s="72"/>
      <c r="P238" s="1"/>
      <c r="Q238" s="78"/>
      <c r="R238" s="78"/>
      <c r="S238" s="1"/>
      <c r="T238" s="78"/>
      <c r="U238" s="78"/>
      <c r="V238" s="557"/>
      <c r="W238" s="394"/>
      <c r="X238" s="78"/>
      <c r="Y238" s="78"/>
      <c r="Z238" s="44"/>
    </row>
    <row r="239" spans="1:26" ht="15.75" hidden="1" customHeight="1" thickBot="1" x14ac:dyDescent="0.3">
      <c r="B239" s="54"/>
      <c r="C239" s="2"/>
      <c r="D239" s="624" t="s">
        <v>544</v>
      </c>
      <c r="E239" s="624"/>
      <c r="F239" s="159">
        <v>0</v>
      </c>
      <c r="G239" s="343">
        <v>0</v>
      </c>
      <c r="H239" s="313">
        <v>0</v>
      </c>
      <c r="I239" s="513">
        <v>0</v>
      </c>
      <c r="J239" s="232">
        <f t="shared" si="73"/>
        <v>0</v>
      </c>
      <c r="K239" s="141"/>
      <c r="L239" s="159">
        <f t="shared" si="56"/>
        <v>0</v>
      </c>
      <c r="M239" s="72"/>
      <c r="N239" s="1"/>
      <c r="O239" s="72"/>
      <c r="P239" s="1"/>
      <c r="Q239" s="78"/>
      <c r="R239" s="78"/>
      <c r="S239" s="1"/>
      <c r="T239" s="78"/>
      <c r="U239" s="78"/>
      <c r="V239" s="557"/>
      <c r="W239" s="394"/>
      <c r="X239" s="78"/>
      <c r="Y239" s="78"/>
      <c r="Z239" s="44"/>
    </row>
    <row r="240" spans="1:26" ht="15.75" hidden="1" customHeight="1" thickBot="1" x14ac:dyDescent="0.3">
      <c r="B240" s="54"/>
      <c r="C240" s="2"/>
      <c r="D240" s="624" t="s">
        <v>547</v>
      </c>
      <c r="E240" s="624"/>
      <c r="F240" s="159">
        <v>0</v>
      </c>
      <c r="G240" s="343">
        <v>0</v>
      </c>
      <c r="H240" s="313">
        <v>0</v>
      </c>
      <c r="I240" s="513">
        <v>0</v>
      </c>
      <c r="J240" s="232">
        <f t="shared" si="73"/>
        <v>0</v>
      </c>
      <c r="K240" s="141"/>
      <c r="L240" s="159">
        <f t="shared" si="56"/>
        <v>0</v>
      </c>
      <c r="M240" s="72"/>
      <c r="N240" s="1"/>
      <c r="O240" s="72"/>
      <c r="P240" s="1"/>
      <c r="Q240" s="78"/>
      <c r="R240" s="78"/>
      <c r="S240" s="1"/>
      <c r="T240" s="78"/>
      <c r="U240" s="78"/>
      <c r="V240" s="557"/>
      <c r="W240" s="394"/>
      <c r="X240" s="78"/>
      <c r="Y240" s="78"/>
      <c r="Z240" s="44"/>
    </row>
    <row r="241" spans="1:26" ht="15.75" hidden="1" customHeight="1" thickBot="1" x14ac:dyDescent="0.3">
      <c r="B241" s="54"/>
      <c r="C241" s="2"/>
      <c r="D241" s="625" t="s">
        <v>817</v>
      </c>
      <c r="E241" s="625"/>
      <c r="F241" s="159">
        <v>0</v>
      </c>
      <c r="G241" s="343">
        <v>0</v>
      </c>
      <c r="H241" s="313">
        <v>0</v>
      </c>
      <c r="I241" s="513">
        <v>0</v>
      </c>
      <c r="J241" s="242">
        <f t="shared" si="73"/>
        <v>0</v>
      </c>
      <c r="K241" s="151"/>
      <c r="L241" s="159">
        <f t="shared" si="56"/>
        <v>0</v>
      </c>
      <c r="M241" s="72"/>
      <c r="N241" s="1"/>
      <c r="O241" s="72"/>
      <c r="P241" s="1"/>
      <c r="Q241" s="78"/>
      <c r="R241" s="78"/>
      <c r="S241" s="1"/>
      <c r="T241" s="78"/>
      <c r="U241" s="78"/>
      <c r="V241" s="557"/>
      <c r="W241" s="394"/>
      <c r="X241" s="78"/>
      <c r="Y241" s="78"/>
      <c r="Z241" s="44"/>
    </row>
    <row r="242" spans="1:26" ht="15.75" hidden="1" customHeight="1" thickBot="1" x14ac:dyDescent="0.3">
      <c r="B242" s="54"/>
      <c r="C242" s="2"/>
      <c r="D242" s="624" t="s">
        <v>554</v>
      </c>
      <c r="E242" s="624"/>
      <c r="F242" s="159">
        <v>0</v>
      </c>
      <c r="G242" s="343">
        <v>0</v>
      </c>
      <c r="H242" s="313">
        <v>0</v>
      </c>
      <c r="I242" s="513">
        <v>0</v>
      </c>
      <c r="J242" s="232">
        <f t="shared" si="73"/>
        <v>0</v>
      </c>
      <c r="K242" s="141"/>
      <c r="L242" s="159">
        <f t="shared" si="56"/>
        <v>0</v>
      </c>
      <c r="M242" s="72"/>
      <c r="N242" s="1"/>
      <c r="O242" s="72"/>
      <c r="P242" s="1"/>
      <c r="Q242" s="78"/>
      <c r="R242" s="78"/>
      <c r="S242" s="1"/>
      <c r="T242" s="78"/>
      <c r="U242" s="78"/>
      <c r="V242" s="557"/>
      <c r="W242" s="394"/>
      <c r="X242" s="78"/>
      <c r="Y242" s="78"/>
      <c r="Z242" s="44"/>
    </row>
    <row r="243" spans="1:26" ht="15.75" hidden="1" customHeight="1" thickBot="1" x14ac:dyDescent="0.3">
      <c r="B243" s="54"/>
      <c r="C243" s="2"/>
      <c r="D243" s="624" t="s">
        <v>553</v>
      </c>
      <c r="E243" s="624"/>
      <c r="F243" s="159">
        <v>0</v>
      </c>
      <c r="G243" s="343">
        <v>0</v>
      </c>
      <c r="H243" s="313">
        <v>0</v>
      </c>
      <c r="I243" s="513">
        <v>0</v>
      </c>
      <c r="J243" s="232">
        <f t="shared" si="73"/>
        <v>0</v>
      </c>
      <c r="K243" s="141"/>
      <c r="L243" s="159">
        <f t="shared" si="56"/>
        <v>0</v>
      </c>
      <c r="M243" s="72"/>
      <c r="N243" s="1"/>
      <c r="O243" s="72"/>
      <c r="P243" s="1"/>
      <c r="Q243" s="78"/>
      <c r="R243" s="78"/>
      <c r="S243" s="1"/>
      <c r="T243" s="78"/>
      <c r="U243" s="78"/>
      <c r="V243" s="557"/>
      <c r="W243" s="394"/>
      <c r="X243" s="78"/>
      <c r="Y243" s="78"/>
      <c r="Z243" s="44"/>
    </row>
    <row r="244" spans="1:26" ht="25.5" hidden="1" customHeight="1" x14ac:dyDescent="0.25">
      <c r="B244" s="54"/>
      <c r="C244" s="2"/>
      <c r="D244" s="625" t="s">
        <v>557</v>
      </c>
      <c r="E244" s="625"/>
      <c r="F244" s="159">
        <v>0</v>
      </c>
      <c r="G244" s="343">
        <v>0</v>
      </c>
      <c r="H244" s="313">
        <v>0</v>
      </c>
      <c r="I244" s="513">
        <v>0</v>
      </c>
      <c r="J244" s="242">
        <f t="shared" si="73"/>
        <v>0</v>
      </c>
      <c r="K244" s="151"/>
      <c r="L244" s="159">
        <f t="shared" si="56"/>
        <v>0</v>
      </c>
      <c r="M244" s="72"/>
      <c r="N244" s="1"/>
      <c r="O244" s="72"/>
      <c r="P244" s="1"/>
      <c r="Q244" s="78"/>
      <c r="R244" s="78"/>
      <c r="S244" s="1"/>
      <c r="T244" s="78"/>
      <c r="U244" s="78"/>
      <c r="V244" s="557"/>
      <c r="W244" s="394"/>
      <c r="X244" s="78"/>
      <c r="Y244" s="78"/>
      <c r="Z244" s="44"/>
    </row>
    <row r="245" spans="1:26" ht="15.75" hidden="1" customHeight="1" thickBot="1" x14ac:dyDescent="0.3">
      <c r="B245" s="54"/>
      <c r="C245" s="2"/>
      <c r="D245" s="624" t="s">
        <v>818</v>
      </c>
      <c r="E245" s="624"/>
      <c r="F245" s="159">
        <v>0</v>
      </c>
      <c r="G245" s="343">
        <v>0</v>
      </c>
      <c r="H245" s="313">
        <v>0</v>
      </c>
      <c r="I245" s="513">
        <v>0</v>
      </c>
      <c r="J245" s="232">
        <f t="shared" si="73"/>
        <v>0</v>
      </c>
      <c r="K245" s="141"/>
      <c r="L245" s="159">
        <f t="shared" si="56"/>
        <v>0</v>
      </c>
      <c r="M245" s="72"/>
      <c r="N245" s="1"/>
      <c r="O245" s="72"/>
      <c r="P245" s="1"/>
      <c r="Q245" s="78"/>
      <c r="R245" s="78"/>
      <c r="S245" s="1"/>
      <c r="T245" s="78"/>
      <c r="U245" s="78"/>
      <c r="V245" s="557"/>
      <c r="W245" s="394"/>
      <c r="X245" s="78"/>
      <c r="Y245" s="78"/>
      <c r="Z245" s="44"/>
    </row>
    <row r="246" spans="1:26" ht="25.5" hidden="1" customHeight="1" x14ac:dyDescent="0.25">
      <c r="B246" s="54"/>
      <c r="C246" s="2"/>
      <c r="D246" s="625" t="s">
        <v>562</v>
      </c>
      <c r="E246" s="625"/>
      <c r="F246" s="159">
        <v>0</v>
      </c>
      <c r="G246" s="343">
        <v>0</v>
      </c>
      <c r="H246" s="313">
        <v>0</v>
      </c>
      <c r="I246" s="513">
        <v>0</v>
      </c>
      <c r="J246" s="242">
        <f t="shared" si="73"/>
        <v>0</v>
      </c>
      <c r="K246" s="151"/>
      <c r="L246" s="159">
        <f t="shared" si="56"/>
        <v>0</v>
      </c>
      <c r="M246" s="72"/>
      <c r="N246" s="1"/>
      <c r="O246" s="72"/>
      <c r="P246" s="1"/>
      <c r="Q246" s="78"/>
      <c r="R246" s="78"/>
      <c r="S246" s="1"/>
      <c r="T246" s="78"/>
      <c r="U246" s="78"/>
      <c r="V246" s="557"/>
      <c r="W246" s="394"/>
      <c r="X246" s="78"/>
      <c r="Y246" s="78"/>
      <c r="Z246" s="44"/>
    </row>
    <row r="247" spans="1:26" ht="25.5" hidden="1" customHeight="1" x14ac:dyDescent="0.25">
      <c r="B247" s="54"/>
      <c r="C247" s="2"/>
      <c r="D247" s="625" t="s">
        <v>565</v>
      </c>
      <c r="E247" s="625"/>
      <c r="F247" s="159">
        <v>0</v>
      </c>
      <c r="G247" s="343">
        <v>0</v>
      </c>
      <c r="H247" s="313">
        <v>0</v>
      </c>
      <c r="I247" s="513">
        <v>0</v>
      </c>
      <c r="J247" s="242">
        <f t="shared" si="73"/>
        <v>0</v>
      </c>
      <c r="K247" s="151"/>
      <c r="L247" s="159">
        <f t="shared" si="56"/>
        <v>0</v>
      </c>
      <c r="M247" s="72"/>
      <c r="N247" s="1"/>
      <c r="O247" s="72"/>
      <c r="P247" s="1"/>
      <c r="Q247" s="78"/>
      <c r="R247" s="78"/>
      <c r="S247" s="1"/>
      <c r="T247" s="78"/>
      <c r="U247" s="78"/>
      <c r="V247" s="557"/>
      <c r="W247" s="394"/>
      <c r="X247" s="78"/>
      <c r="Y247" s="78"/>
      <c r="Z247" s="44"/>
    </row>
    <row r="248" spans="1:26" s="18" customFormat="1" ht="25.5" hidden="1" customHeight="1" x14ac:dyDescent="0.25">
      <c r="A248" s="118" t="s">
        <v>276</v>
      </c>
      <c r="B248" s="88" t="s">
        <v>686</v>
      </c>
      <c r="C248" s="716" t="s">
        <v>606</v>
      </c>
      <c r="D248" s="717"/>
      <c r="E248" s="717"/>
      <c r="F248" s="158">
        <v>0</v>
      </c>
      <c r="G248" s="341">
        <v>0</v>
      </c>
      <c r="H248" s="311">
        <v>0</v>
      </c>
      <c r="I248" s="509">
        <v>0</v>
      </c>
      <c r="J248" s="246">
        <f>J249+J250</f>
        <v>0</v>
      </c>
      <c r="K248" s="155">
        <f t="shared" ref="K248:Z248" si="74">K249+K250</f>
        <v>0</v>
      </c>
      <c r="L248" s="158">
        <f t="shared" si="56"/>
        <v>0</v>
      </c>
      <c r="M248" s="90">
        <f>M249+M250</f>
        <v>0</v>
      </c>
      <c r="N248" s="91">
        <f>N249+N250</f>
        <v>0</v>
      </c>
      <c r="O248" s="90">
        <f t="shared" si="74"/>
        <v>0</v>
      </c>
      <c r="P248" s="91">
        <f t="shared" si="74"/>
        <v>0</v>
      </c>
      <c r="Q248" s="94">
        <f t="shared" si="74"/>
        <v>0</v>
      </c>
      <c r="R248" s="94">
        <f t="shared" si="74"/>
        <v>0</v>
      </c>
      <c r="S248" s="91">
        <f t="shared" si="74"/>
        <v>0</v>
      </c>
      <c r="T248" s="94">
        <f t="shared" si="74"/>
        <v>0</v>
      </c>
      <c r="U248" s="94">
        <f t="shared" si="74"/>
        <v>0</v>
      </c>
      <c r="V248" s="556">
        <f t="shared" si="74"/>
        <v>0</v>
      </c>
      <c r="W248" s="393">
        <f t="shared" si="74"/>
        <v>0</v>
      </c>
      <c r="X248" s="94">
        <f t="shared" si="74"/>
        <v>0</v>
      </c>
      <c r="Y248" s="94">
        <f t="shared" si="74"/>
        <v>0</v>
      </c>
      <c r="Z248" s="95">
        <f t="shared" si="74"/>
        <v>0</v>
      </c>
    </row>
    <row r="249" spans="1:26" ht="25.5" hidden="1" customHeight="1" x14ac:dyDescent="0.25">
      <c r="B249" s="54"/>
      <c r="C249" s="2"/>
      <c r="D249" s="625" t="s">
        <v>568</v>
      </c>
      <c r="E249" s="625"/>
      <c r="F249" s="159">
        <v>0</v>
      </c>
      <c r="G249" s="343">
        <v>0</v>
      </c>
      <c r="H249" s="313">
        <v>0</v>
      </c>
      <c r="I249" s="513">
        <v>0</v>
      </c>
      <c r="J249" s="242">
        <f>SUM(O249:Z249)</f>
        <v>0</v>
      </c>
      <c r="K249" s="151"/>
      <c r="L249" s="159">
        <f t="shared" ref="L249:L306" si="75">SUM(J249:K249)</f>
        <v>0</v>
      </c>
      <c r="M249" s="72"/>
      <c r="N249" s="1"/>
      <c r="O249" s="72"/>
      <c r="P249" s="1"/>
      <c r="Q249" s="78"/>
      <c r="R249" s="78"/>
      <c r="S249" s="1"/>
      <c r="T249" s="78"/>
      <c r="U249" s="78"/>
      <c r="V249" s="557"/>
      <c r="W249" s="394"/>
      <c r="X249" s="78"/>
      <c r="Y249" s="78"/>
      <c r="Z249" s="44"/>
    </row>
    <row r="250" spans="1:26" ht="25.5" hidden="1" customHeight="1" x14ac:dyDescent="0.25">
      <c r="B250" s="54"/>
      <c r="C250" s="2"/>
      <c r="D250" s="625" t="s">
        <v>569</v>
      </c>
      <c r="E250" s="625"/>
      <c r="F250" s="159">
        <v>0</v>
      </c>
      <c r="G250" s="343">
        <v>0</v>
      </c>
      <c r="H250" s="313">
        <v>0</v>
      </c>
      <c r="I250" s="513">
        <v>0</v>
      </c>
      <c r="J250" s="242">
        <f>SUM(O250:Z250)</f>
        <v>0</v>
      </c>
      <c r="K250" s="151"/>
      <c r="L250" s="159">
        <f t="shared" si="75"/>
        <v>0</v>
      </c>
      <c r="M250" s="72"/>
      <c r="N250" s="1"/>
      <c r="O250" s="72"/>
      <c r="P250" s="1"/>
      <c r="Q250" s="78"/>
      <c r="R250" s="78"/>
      <c r="S250" s="1"/>
      <c r="T250" s="78"/>
      <c r="U250" s="78"/>
      <c r="V250" s="557"/>
      <c r="W250" s="394"/>
      <c r="X250" s="78"/>
      <c r="Y250" s="78"/>
      <c r="Z250" s="44"/>
    </row>
    <row r="251" spans="1:26" s="18" customFormat="1" ht="15" hidden="1" customHeight="1" x14ac:dyDescent="0.25">
      <c r="A251" s="118" t="s">
        <v>277</v>
      </c>
      <c r="B251" s="88" t="s">
        <v>687</v>
      </c>
      <c r="C251" s="716" t="s">
        <v>819</v>
      </c>
      <c r="D251" s="717"/>
      <c r="E251" s="717"/>
      <c r="F251" s="158">
        <v>0</v>
      </c>
      <c r="G251" s="341">
        <v>0</v>
      </c>
      <c r="H251" s="311">
        <v>0</v>
      </c>
      <c r="I251" s="509">
        <v>0</v>
      </c>
      <c r="J251" s="246">
        <f>J252+J253+J254+J255+J256+J257+J258+J259+J260+J261+J262</f>
        <v>0</v>
      </c>
      <c r="K251" s="155">
        <f t="shared" ref="K251:Z251" si="76">K252+K253+K254+K255+K256+K257+K258+K259+K260+K261+K262</f>
        <v>0</v>
      </c>
      <c r="L251" s="158">
        <f t="shared" si="75"/>
        <v>0</v>
      </c>
      <c r="M251" s="90">
        <f>M252+M253+M254+M255+M256+M257+M258+M259+M260+M261+M262</f>
        <v>0</v>
      </c>
      <c r="N251" s="91">
        <f>N252+N253+N254+N255+N256+N257+N258+N259+N260+N261+N262</f>
        <v>0</v>
      </c>
      <c r="O251" s="90">
        <f t="shared" si="76"/>
        <v>0</v>
      </c>
      <c r="P251" s="91">
        <f t="shared" si="76"/>
        <v>0</v>
      </c>
      <c r="Q251" s="94">
        <f t="shared" si="76"/>
        <v>0</v>
      </c>
      <c r="R251" s="94">
        <f t="shared" si="76"/>
        <v>0</v>
      </c>
      <c r="S251" s="91">
        <f t="shared" si="76"/>
        <v>0</v>
      </c>
      <c r="T251" s="94">
        <f t="shared" si="76"/>
        <v>0</v>
      </c>
      <c r="U251" s="94">
        <f t="shared" si="76"/>
        <v>0</v>
      </c>
      <c r="V251" s="556">
        <f t="shared" si="76"/>
        <v>0</v>
      </c>
      <c r="W251" s="393">
        <f t="shared" si="76"/>
        <v>0</v>
      </c>
      <c r="X251" s="94">
        <f t="shared" si="76"/>
        <v>0</v>
      </c>
      <c r="Y251" s="94">
        <f t="shared" si="76"/>
        <v>0</v>
      </c>
      <c r="Z251" s="95">
        <f t="shared" si="76"/>
        <v>0</v>
      </c>
    </row>
    <row r="252" spans="1:26" ht="15.75" hidden="1" customHeight="1" thickBot="1" x14ac:dyDescent="0.3">
      <c r="B252" s="54"/>
      <c r="C252" s="2"/>
      <c r="D252" s="624" t="s">
        <v>372</v>
      </c>
      <c r="E252" s="624"/>
      <c r="F252" s="159">
        <v>0</v>
      </c>
      <c r="G252" s="343">
        <v>0</v>
      </c>
      <c r="H252" s="313">
        <v>0</v>
      </c>
      <c r="I252" s="513">
        <v>0</v>
      </c>
      <c r="J252" s="232">
        <f t="shared" ref="J252:J264" si="77">SUM(O252:Z252)</f>
        <v>0</v>
      </c>
      <c r="K252" s="141"/>
      <c r="L252" s="159">
        <f t="shared" si="75"/>
        <v>0</v>
      </c>
      <c r="M252" s="72"/>
      <c r="N252" s="1"/>
      <c r="O252" s="72"/>
      <c r="P252" s="1"/>
      <c r="Q252" s="78"/>
      <c r="R252" s="78"/>
      <c r="S252" s="1"/>
      <c r="T252" s="78"/>
      <c r="U252" s="78"/>
      <c r="V252" s="557"/>
      <c r="W252" s="394"/>
      <c r="X252" s="78"/>
      <c r="Y252" s="78"/>
      <c r="Z252" s="44"/>
    </row>
    <row r="253" spans="1:26" ht="15.75" hidden="1" customHeight="1" thickBot="1" x14ac:dyDescent="0.3">
      <c r="B253" s="54"/>
      <c r="C253" s="2"/>
      <c r="D253" s="624" t="s">
        <v>820</v>
      </c>
      <c r="E253" s="624"/>
      <c r="F253" s="159">
        <v>0</v>
      </c>
      <c r="G253" s="343">
        <v>0</v>
      </c>
      <c r="H253" s="313">
        <v>0</v>
      </c>
      <c r="I253" s="513">
        <v>0</v>
      </c>
      <c r="J253" s="232">
        <f t="shared" si="77"/>
        <v>0</v>
      </c>
      <c r="K253" s="141"/>
      <c r="L253" s="159">
        <f t="shared" si="75"/>
        <v>0</v>
      </c>
      <c r="M253" s="72"/>
      <c r="N253" s="1"/>
      <c r="O253" s="72"/>
      <c r="P253" s="1"/>
      <c r="Q253" s="78"/>
      <c r="R253" s="78"/>
      <c r="S253" s="1"/>
      <c r="T253" s="78"/>
      <c r="U253" s="78"/>
      <c r="V253" s="557"/>
      <c r="W253" s="394"/>
      <c r="X253" s="78"/>
      <c r="Y253" s="78"/>
      <c r="Z253" s="44"/>
    </row>
    <row r="254" spans="1:26" ht="15.75" hidden="1" customHeight="1" thickBot="1" x14ac:dyDescent="0.3">
      <c r="B254" s="54"/>
      <c r="C254" s="2"/>
      <c r="D254" s="624" t="s">
        <v>375</v>
      </c>
      <c r="E254" s="624"/>
      <c r="F254" s="159">
        <v>0</v>
      </c>
      <c r="G254" s="343">
        <v>0</v>
      </c>
      <c r="H254" s="313">
        <v>0</v>
      </c>
      <c r="I254" s="513">
        <v>0</v>
      </c>
      <c r="J254" s="232">
        <f t="shared" si="77"/>
        <v>0</v>
      </c>
      <c r="K254" s="141"/>
      <c r="L254" s="159">
        <f t="shared" si="75"/>
        <v>0</v>
      </c>
      <c r="M254" s="72"/>
      <c r="N254" s="1"/>
      <c r="O254" s="72"/>
      <c r="P254" s="1"/>
      <c r="Q254" s="78"/>
      <c r="R254" s="78"/>
      <c r="S254" s="1"/>
      <c r="T254" s="78"/>
      <c r="U254" s="78"/>
      <c r="V254" s="557"/>
      <c r="W254" s="394"/>
      <c r="X254" s="78"/>
      <c r="Y254" s="78"/>
      <c r="Z254" s="44"/>
    </row>
    <row r="255" spans="1:26" ht="15.75" hidden="1" customHeight="1" thickBot="1" x14ac:dyDescent="0.3">
      <c r="B255" s="54"/>
      <c r="C255" s="2"/>
      <c r="D255" s="624" t="s">
        <v>373</v>
      </c>
      <c r="E255" s="624"/>
      <c r="F255" s="159">
        <v>0</v>
      </c>
      <c r="G255" s="343">
        <v>0</v>
      </c>
      <c r="H255" s="313">
        <v>0</v>
      </c>
      <c r="I255" s="513">
        <v>0</v>
      </c>
      <c r="J255" s="232">
        <f t="shared" si="77"/>
        <v>0</v>
      </c>
      <c r="K255" s="141"/>
      <c r="L255" s="159">
        <f t="shared" si="75"/>
        <v>0</v>
      </c>
      <c r="M255" s="72"/>
      <c r="N255" s="1"/>
      <c r="O255" s="72"/>
      <c r="P255" s="1"/>
      <c r="Q255" s="78"/>
      <c r="R255" s="78"/>
      <c r="S255" s="1"/>
      <c r="T255" s="78"/>
      <c r="U255" s="78"/>
      <c r="V255" s="557"/>
      <c r="W255" s="394"/>
      <c r="X255" s="78"/>
      <c r="Y255" s="78"/>
      <c r="Z255" s="44"/>
    </row>
    <row r="256" spans="1:26" ht="15.75" hidden="1" customHeight="1" thickBot="1" x14ac:dyDescent="0.3">
      <c r="B256" s="54"/>
      <c r="C256" s="2"/>
      <c r="D256" s="624" t="s">
        <v>821</v>
      </c>
      <c r="E256" s="624"/>
      <c r="F256" s="159">
        <v>0</v>
      </c>
      <c r="G256" s="343">
        <v>0</v>
      </c>
      <c r="H256" s="313">
        <v>0</v>
      </c>
      <c r="I256" s="513">
        <v>0</v>
      </c>
      <c r="J256" s="232">
        <f t="shared" si="77"/>
        <v>0</v>
      </c>
      <c r="K256" s="141"/>
      <c r="L256" s="159">
        <f t="shared" si="75"/>
        <v>0</v>
      </c>
      <c r="M256" s="72"/>
      <c r="N256" s="1"/>
      <c r="O256" s="72"/>
      <c r="P256" s="1"/>
      <c r="Q256" s="78"/>
      <c r="R256" s="78"/>
      <c r="S256" s="1"/>
      <c r="T256" s="78"/>
      <c r="U256" s="78"/>
      <c r="V256" s="557"/>
      <c r="W256" s="394"/>
      <c r="X256" s="78"/>
      <c r="Y256" s="78"/>
      <c r="Z256" s="44"/>
    </row>
    <row r="257" spans="1:26" ht="25.5" hidden="1" customHeight="1" x14ac:dyDescent="0.25">
      <c r="B257" s="54"/>
      <c r="C257" s="2"/>
      <c r="D257" s="625" t="s">
        <v>537</v>
      </c>
      <c r="E257" s="625"/>
      <c r="F257" s="159">
        <v>0</v>
      </c>
      <c r="G257" s="343">
        <v>0</v>
      </c>
      <c r="H257" s="313">
        <v>0</v>
      </c>
      <c r="I257" s="513">
        <v>0</v>
      </c>
      <c r="J257" s="242">
        <f t="shared" si="77"/>
        <v>0</v>
      </c>
      <c r="K257" s="151"/>
      <c r="L257" s="159">
        <f t="shared" si="75"/>
        <v>0</v>
      </c>
      <c r="M257" s="72"/>
      <c r="N257" s="1"/>
      <c r="O257" s="72"/>
      <c r="P257" s="1"/>
      <c r="Q257" s="78"/>
      <c r="R257" s="78"/>
      <c r="S257" s="1"/>
      <c r="T257" s="78"/>
      <c r="U257" s="78"/>
      <c r="V257" s="557"/>
      <c r="W257" s="394"/>
      <c r="X257" s="78"/>
      <c r="Y257" s="78"/>
      <c r="Z257" s="44"/>
    </row>
    <row r="258" spans="1:26" ht="25.5" hidden="1" customHeight="1" x14ac:dyDescent="0.25">
      <c r="B258" s="54"/>
      <c r="C258" s="2"/>
      <c r="D258" s="625" t="s">
        <v>540</v>
      </c>
      <c r="E258" s="625"/>
      <c r="F258" s="159">
        <v>0</v>
      </c>
      <c r="G258" s="343">
        <v>0</v>
      </c>
      <c r="H258" s="313">
        <v>0</v>
      </c>
      <c r="I258" s="513">
        <v>0</v>
      </c>
      <c r="J258" s="242">
        <f t="shared" si="77"/>
        <v>0</v>
      </c>
      <c r="K258" s="151"/>
      <c r="L258" s="159">
        <f t="shared" si="75"/>
        <v>0</v>
      </c>
      <c r="M258" s="72"/>
      <c r="N258" s="1"/>
      <c r="O258" s="72"/>
      <c r="P258" s="1"/>
      <c r="Q258" s="78"/>
      <c r="R258" s="78"/>
      <c r="S258" s="1"/>
      <c r="T258" s="78"/>
      <c r="U258" s="78"/>
      <c r="V258" s="557"/>
      <c r="W258" s="394"/>
      <c r="X258" s="78"/>
      <c r="Y258" s="78"/>
      <c r="Z258" s="44"/>
    </row>
    <row r="259" spans="1:26" ht="15.75" hidden="1" customHeight="1" thickBot="1" x14ac:dyDescent="0.3">
      <c r="B259" s="54"/>
      <c r="C259" s="2"/>
      <c r="D259" s="624" t="s">
        <v>822</v>
      </c>
      <c r="E259" s="624"/>
      <c r="F259" s="159">
        <v>0</v>
      </c>
      <c r="G259" s="343">
        <v>0</v>
      </c>
      <c r="H259" s="313">
        <v>0</v>
      </c>
      <c r="I259" s="513">
        <v>0</v>
      </c>
      <c r="J259" s="232">
        <f t="shared" si="77"/>
        <v>0</v>
      </c>
      <c r="K259" s="141"/>
      <c r="L259" s="159">
        <f t="shared" si="75"/>
        <v>0</v>
      </c>
      <c r="M259" s="72"/>
      <c r="N259" s="1"/>
      <c r="O259" s="72"/>
      <c r="P259" s="1"/>
      <c r="Q259" s="78"/>
      <c r="R259" s="78"/>
      <c r="S259" s="1"/>
      <c r="T259" s="78"/>
      <c r="U259" s="78"/>
      <c r="V259" s="557"/>
      <c r="W259" s="394"/>
      <c r="X259" s="78"/>
      <c r="Y259" s="78"/>
      <c r="Z259" s="44"/>
    </row>
    <row r="260" spans="1:26" ht="15.75" hidden="1" customHeight="1" thickBot="1" x14ac:dyDescent="0.3">
      <c r="B260" s="54"/>
      <c r="C260" s="2"/>
      <c r="D260" s="624" t="s">
        <v>374</v>
      </c>
      <c r="E260" s="624"/>
      <c r="F260" s="159">
        <v>0</v>
      </c>
      <c r="G260" s="343">
        <v>0</v>
      </c>
      <c r="H260" s="313">
        <v>0</v>
      </c>
      <c r="I260" s="513">
        <v>0</v>
      </c>
      <c r="J260" s="232">
        <f t="shared" si="77"/>
        <v>0</v>
      </c>
      <c r="K260" s="141"/>
      <c r="L260" s="159">
        <f t="shared" si="75"/>
        <v>0</v>
      </c>
      <c r="M260" s="72"/>
      <c r="N260" s="1"/>
      <c r="O260" s="72"/>
      <c r="P260" s="1"/>
      <c r="Q260" s="78"/>
      <c r="R260" s="78"/>
      <c r="S260" s="1"/>
      <c r="T260" s="78"/>
      <c r="U260" s="78"/>
      <c r="V260" s="557"/>
      <c r="W260" s="394"/>
      <c r="X260" s="78"/>
      <c r="Y260" s="78"/>
      <c r="Z260" s="44"/>
    </row>
    <row r="261" spans="1:26" ht="15.75" hidden="1" customHeight="1" thickBot="1" x14ac:dyDescent="0.3">
      <c r="B261" s="54"/>
      <c r="C261" s="2"/>
      <c r="D261" s="624" t="s">
        <v>823</v>
      </c>
      <c r="E261" s="624"/>
      <c r="F261" s="159">
        <v>0</v>
      </c>
      <c r="G261" s="343">
        <v>0</v>
      </c>
      <c r="H261" s="313">
        <v>0</v>
      </c>
      <c r="I261" s="513">
        <v>0</v>
      </c>
      <c r="J261" s="232">
        <f t="shared" si="77"/>
        <v>0</v>
      </c>
      <c r="K261" s="141"/>
      <c r="L261" s="159">
        <f t="shared" si="75"/>
        <v>0</v>
      </c>
      <c r="M261" s="72"/>
      <c r="N261" s="1"/>
      <c r="O261" s="72"/>
      <c r="P261" s="1"/>
      <c r="Q261" s="78"/>
      <c r="R261" s="78"/>
      <c r="S261" s="1"/>
      <c r="T261" s="78"/>
      <c r="U261" s="78"/>
      <c r="V261" s="557"/>
      <c r="W261" s="394"/>
      <c r="X261" s="78"/>
      <c r="Y261" s="78"/>
      <c r="Z261" s="44"/>
    </row>
    <row r="262" spans="1:26" ht="15.75" hidden="1" customHeight="1" thickBot="1" x14ac:dyDescent="0.3">
      <c r="B262" s="54"/>
      <c r="C262" s="2"/>
      <c r="D262" s="624" t="s">
        <v>566</v>
      </c>
      <c r="E262" s="624"/>
      <c r="F262" s="159">
        <v>0</v>
      </c>
      <c r="G262" s="343">
        <v>0</v>
      </c>
      <c r="H262" s="313">
        <v>0</v>
      </c>
      <c r="I262" s="513">
        <v>0</v>
      </c>
      <c r="J262" s="232">
        <f t="shared" si="77"/>
        <v>0</v>
      </c>
      <c r="K262" s="141"/>
      <c r="L262" s="159">
        <f t="shared" si="75"/>
        <v>0</v>
      </c>
      <c r="M262" s="72"/>
      <c r="N262" s="1"/>
      <c r="O262" s="72"/>
      <c r="P262" s="1"/>
      <c r="Q262" s="78"/>
      <c r="R262" s="78"/>
      <c r="S262" s="1"/>
      <c r="T262" s="78"/>
      <c r="U262" s="78"/>
      <c r="V262" s="557"/>
      <c r="W262" s="394"/>
      <c r="X262" s="78"/>
      <c r="Y262" s="78"/>
      <c r="Z262" s="44"/>
    </row>
    <row r="263" spans="1:26" s="18" customFormat="1" ht="15.75" hidden="1" customHeight="1" thickBot="1" x14ac:dyDescent="0.3">
      <c r="A263" s="118" t="s">
        <v>278</v>
      </c>
      <c r="B263" s="88" t="s">
        <v>688</v>
      </c>
      <c r="C263" s="626" t="s">
        <v>279</v>
      </c>
      <c r="D263" s="627"/>
      <c r="E263" s="627"/>
      <c r="F263" s="158">
        <v>0</v>
      </c>
      <c r="G263" s="341">
        <v>0</v>
      </c>
      <c r="H263" s="311">
        <v>0</v>
      </c>
      <c r="I263" s="509">
        <v>0</v>
      </c>
      <c r="J263" s="233">
        <f t="shared" si="77"/>
        <v>0</v>
      </c>
      <c r="K263" s="142"/>
      <c r="L263" s="158">
        <f t="shared" si="75"/>
        <v>0</v>
      </c>
      <c r="M263" s="90"/>
      <c r="N263" s="91"/>
      <c r="O263" s="90"/>
      <c r="P263" s="91"/>
      <c r="Q263" s="94"/>
      <c r="R263" s="94"/>
      <c r="S263" s="91"/>
      <c r="T263" s="94"/>
      <c r="U263" s="94"/>
      <c r="V263" s="556"/>
      <c r="W263" s="393"/>
      <c r="X263" s="94"/>
      <c r="Y263" s="94"/>
      <c r="Z263" s="95"/>
    </row>
    <row r="264" spans="1:26" s="18" customFormat="1" ht="15.75" hidden="1" customHeight="1" thickBot="1" x14ac:dyDescent="0.3">
      <c r="A264" s="118" t="s">
        <v>280</v>
      </c>
      <c r="B264" s="88" t="s">
        <v>689</v>
      </c>
      <c r="C264" s="626" t="s">
        <v>281</v>
      </c>
      <c r="D264" s="627"/>
      <c r="E264" s="627"/>
      <c r="F264" s="158">
        <v>0</v>
      </c>
      <c r="G264" s="341">
        <v>0</v>
      </c>
      <c r="H264" s="311">
        <v>0</v>
      </c>
      <c r="I264" s="509">
        <v>0</v>
      </c>
      <c r="J264" s="233">
        <f t="shared" si="77"/>
        <v>0</v>
      </c>
      <c r="K264" s="142"/>
      <c r="L264" s="158">
        <f t="shared" si="75"/>
        <v>0</v>
      </c>
      <c r="M264" s="90"/>
      <c r="N264" s="91"/>
      <c r="O264" s="90"/>
      <c r="P264" s="91"/>
      <c r="Q264" s="94"/>
      <c r="R264" s="94"/>
      <c r="S264" s="91"/>
      <c r="T264" s="94"/>
      <c r="U264" s="94"/>
      <c r="V264" s="556"/>
      <c r="W264" s="393"/>
      <c r="X264" s="94"/>
      <c r="Y264" s="94"/>
      <c r="Z264" s="95"/>
    </row>
    <row r="265" spans="1:26" s="18" customFormat="1" ht="15.75" hidden="1" customHeight="1" thickBot="1" x14ac:dyDescent="0.3">
      <c r="A265" s="118" t="s">
        <v>282</v>
      </c>
      <c r="B265" s="88" t="s">
        <v>690</v>
      </c>
      <c r="C265" s="626" t="s">
        <v>283</v>
      </c>
      <c r="D265" s="627"/>
      <c r="E265" s="627"/>
      <c r="F265" s="158">
        <v>0</v>
      </c>
      <c r="G265" s="341">
        <v>0</v>
      </c>
      <c r="H265" s="311">
        <v>0</v>
      </c>
      <c r="I265" s="509">
        <v>0</v>
      </c>
      <c r="J265" s="233">
        <f>J266+J267+J268+J269+J270+J271+J272+J273+J274+J275</f>
        <v>0</v>
      </c>
      <c r="K265" s="142">
        <f t="shared" ref="K265:Z265" si="78">K266+K267+K268+K269+K270+K271+K272+K273+K274+K275</f>
        <v>0</v>
      </c>
      <c r="L265" s="158">
        <f t="shared" si="75"/>
        <v>0</v>
      </c>
      <c r="M265" s="90">
        <f>M266+M267+M268+M269+M270+M271+M272+M273+M274+M275</f>
        <v>0</v>
      </c>
      <c r="N265" s="91">
        <f>N266+N267+N268+N269+N270+N271+N272+N273+N274+N275</f>
        <v>0</v>
      </c>
      <c r="O265" s="90">
        <f t="shared" si="78"/>
        <v>0</v>
      </c>
      <c r="P265" s="91">
        <f t="shared" si="78"/>
        <v>0</v>
      </c>
      <c r="Q265" s="94">
        <f t="shared" si="78"/>
        <v>0</v>
      </c>
      <c r="R265" s="94">
        <f t="shared" si="78"/>
        <v>0</v>
      </c>
      <c r="S265" s="91">
        <f t="shared" si="78"/>
        <v>0</v>
      </c>
      <c r="T265" s="94">
        <f t="shared" si="78"/>
        <v>0</v>
      </c>
      <c r="U265" s="94">
        <f t="shared" si="78"/>
        <v>0</v>
      </c>
      <c r="V265" s="556">
        <f t="shared" si="78"/>
        <v>0</v>
      </c>
      <c r="W265" s="393">
        <f t="shared" si="78"/>
        <v>0</v>
      </c>
      <c r="X265" s="94">
        <f t="shared" si="78"/>
        <v>0</v>
      </c>
      <c r="Y265" s="94">
        <f t="shared" si="78"/>
        <v>0</v>
      </c>
      <c r="Z265" s="95">
        <f t="shared" si="78"/>
        <v>0</v>
      </c>
    </row>
    <row r="266" spans="1:26" ht="15.75" hidden="1" customHeight="1" thickBot="1" x14ac:dyDescent="0.3">
      <c r="B266" s="54"/>
      <c r="C266" s="2"/>
      <c r="D266" s="624" t="s">
        <v>376</v>
      </c>
      <c r="E266" s="624"/>
      <c r="F266" s="159">
        <v>0</v>
      </c>
      <c r="G266" s="343">
        <v>0</v>
      </c>
      <c r="H266" s="313">
        <v>0</v>
      </c>
      <c r="I266" s="513">
        <v>0</v>
      </c>
      <c r="J266" s="232">
        <f t="shared" ref="J266:J275" si="79">SUM(O266:Z266)</f>
        <v>0</v>
      </c>
      <c r="K266" s="141"/>
      <c r="L266" s="159">
        <f t="shared" si="75"/>
        <v>0</v>
      </c>
      <c r="M266" s="72"/>
      <c r="N266" s="1"/>
      <c r="O266" s="72"/>
      <c r="P266" s="1"/>
      <c r="Q266" s="78"/>
      <c r="R266" s="78"/>
      <c r="S266" s="1"/>
      <c r="T266" s="78"/>
      <c r="U266" s="78"/>
      <c r="V266" s="557"/>
      <c r="W266" s="394"/>
      <c r="X266" s="78"/>
      <c r="Y266" s="78"/>
      <c r="Z266" s="44"/>
    </row>
    <row r="267" spans="1:26" ht="15.75" hidden="1" customHeight="1" thickBot="1" x14ac:dyDescent="0.3">
      <c r="B267" s="54"/>
      <c r="C267" s="2"/>
      <c r="D267" s="624" t="s">
        <v>377</v>
      </c>
      <c r="E267" s="624"/>
      <c r="F267" s="159">
        <v>0</v>
      </c>
      <c r="G267" s="343">
        <v>0</v>
      </c>
      <c r="H267" s="313">
        <v>0</v>
      </c>
      <c r="I267" s="513">
        <v>0</v>
      </c>
      <c r="J267" s="232">
        <f t="shared" si="79"/>
        <v>0</v>
      </c>
      <c r="K267" s="141"/>
      <c r="L267" s="159">
        <f t="shared" si="75"/>
        <v>0</v>
      </c>
      <c r="M267" s="72"/>
      <c r="N267" s="1"/>
      <c r="O267" s="72"/>
      <c r="P267" s="1"/>
      <c r="Q267" s="78"/>
      <c r="R267" s="78"/>
      <c r="S267" s="1"/>
      <c r="T267" s="78"/>
      <c r="U267" s="78"/>
      <c r="V267" s="557"/>
      <c r="W267" s="394"/>
      <c r="X267" s="78"/>
      <c r="Y267" s="78"/>
      <c r="Z267" s="44"/>
    </row>
    <row r="268" spans="1:26" ht="15.75" hidden="1" customHeight="1" thickBot="1" x14ac:dyDescent="0.3">
      <c r="B268" s="54"/>
      <c r="C268" s="2"/>
      <c r="D268" s="624" t="s">
        <v>378</v>
      </c>
      <c r="E268" s="624"/>
      <c r="F268" s="159">
        <v>0</v>
      </c>
      <c r="G268" s="343">
        <v>0</v>
      </c>
      <c r="H268" s="313">
        <v>0</v>
      </c>
      <c r="I268" s="513">
        <v>0</v>
      </c>
      <c r="J268" s="232">
        <f t="shared" si="79"/>
        <v>0</v>
      </c>
      <c r="K268" s="141"/>
      <c r="L268" s="159">
        <f t="shared" si="75"/>
        <v>0</v>
      </c>
      <c r="M268" s="72"/>
      <c r="N268" s="1"/>
      <c r="O268" s="72"/>
      <c r="P268" s="1"/>
      <c r="Q268" s="78"/>
      <c r="R268" s="78"/>
      <c r="S268" s="1"/>
      <c r="T268" s="78"/>
      <c r="U268" s="78"/>
      <c r="V268" s="557"/>
      <c r="W268" s="394"/>
      <c r="X268" s="78"/>
      <c r="Y268" s="78"/>
      <c r="Z268" s="44"/>
    </row>
    <row r="269" spans="1:26" ht="15.75" hidden="1" customHeight="1" thickBot="1" x14ac:dyDescent="0.3">
      <c r="B269" s="54"/>
      <c r="C269" s="2"/>
      <c r="D269" s="624" t="s">
        <v>379</v>
      </c>
      <c r="E269" s="624"/>
      <c r="F269" s="159">
        <v>0</v>
      </c>
      <c r="G269" s="343">
        <v>0</v>
      </c>
      <c r="H269" s="313">
        <v>0</v>
      </c>
      <c r="I269" s="513">
        <v>0</v>
      </c>
      <c r="J269" s="232">
        <f t="shared" si="79"/>
        <v>0</v>
      </c>
      <c r="K269" s="141"/>
      <c r="L269" s="159">
        <f t="shared" si="75"/>
        <v>0</v>
      </c>
      <c r="M269" s="72"/>
      <c r="N269" s="1"/>
      <c r="O269" s="72"/>
      <c r="P269" s="1"/>
      <c r="Q269" s="78"/>
      <c r="R269" s="78"/>
      <c r="S269" s="1"/>
      <c r="T269" s="78"/>
      <c r="U269" s="78"/>
      <c r="V269" s="557"/>
      <c r="W269" s="394"/>
      <c r="X269" s="78"/>
      <c r="Y269" s="78"/>
      <c r="Z269" s="44"/>
    </row>
    <row r="270" spans="1:26" ht="15.75" hidden="1" customHeight="1" thickBot="1" x14ac:dyDescent="0.3">
      <c r="B270" s="54"/>
      <c r="C270" s="2"/>
      <c r="D270" s="624" t="s">
        <v>380</v>
      </c>
      <c r="E270" s="624"/>
      <c r="F270" s="159">
        <v>0</v>
      </c>
      <c r="G270" s="343">
        <v>0</v>
      </c>
      <c r="H270" s="313">
        <v>0</v>
      </c>
      <c r="I270" s="513">
        <v>0</v>
      </c>
      <c r="J270" s="232">
        <f t="shared" si="79"/>
        <v>0</v>
      </c>
      <c r="K270" s="141"/>
      <c r="L270" s="159">
        <f t="shared" si="75"/>
        <v>0</v>
      </c>
      <c r="M270" s="72"/>
      <c r="N270" s="1"/>
      <c r="O270" s="72"/>
      <c r="P270" s="1"/>
      <c r="Q270" s="78"/>
      <c r="R270" s="78"/>
      <c r="S270" s="1"/>
      <c r="T270" s="78"/>
      <c r="U270" s="78"/>
      <c r="V270" s="557"/>
      <c r="W270" s="394"/>
      <c r="X270" s="78"/>
      <c r="Y270" s="78"/>
      <c r="Z270" s="44"/>
    </row>
    <row r="271" spans="1:26" ht="25.5" hidden="1" customHeight="1" x14ac:dyDescent="0.25">
      <c r="B271" s="54"/>
      <c r="C271" s="2"/>
      <c r="D271" s="625" t="s">
        <v>538</v>
      </c>
      <c r="E271" s="625"/>
      <c r="F271" s="159">
        <v>0</v>
      </c>
      <c r="G271" s="343">
        <v>0</v>
      </c>
      <c r="H271" s="313">
        <v>0</v>
      </c>
      <c r="I271" s="513">
        <v>0</v>
      </c>
      <c r="J271" s="242">
        <f t="shared" si="79"/>
        <v>0</v>
      </c>
      <c r="K271" s="151"/>
      <c r="L271" s="159">
        <f t="shared" si="75"/>
        <v>0</v>
      </c>
      <c r="M271" s="72"/>
      <c r="N271" s="1"/>
      <c r="O271" s="72"/>
      <c r="P271" s="1"/>
      <c r="Q271" s="78"/>
      <c r="R271" s="78"/>
      <c r="S271" s="1"/>
      <c r="T271" s="78"/>
      <c r="U271" s="78"/>
      <c r="V271" s="557"/>
      <c r="W271" s="394"/>
      <c r="X271" s="78"/>
      <c r="Y271" s="78"/>
      <c r="Z271" s="44"/>
    </row>
    <row r="272" spans="1:26" ht="25.5" hidden="1" customHeight="1" x14ac:dyDescent="0.25">
      <c r="B272" s="54"/>
      <c r="C272" s="2"/>
      <c r="D272" s="625" t="s">
        <v>541</v>
      </c>
      <c r="E272" s="625"/>
      <c r="F272" s="159">
        <v>0</v>
      </c>
      <c r="G272" s="343">
        <v>0</v>
      </c>
      <c r="H272" s="313">
        <v>0</v>
      </c>
      <c r="I272" s="513">
        <v>0</v>
      </c>
      <c r="J272" s="242">
        <f t="shared" si="79"/>
        <v>0</v>
      </c>
      <c r="K272" s="151"/>
      <c r="L272" s="159">
        <f t="shared" si="75"/>
        <v>0</v>
      </c>
      <c r="M272" s="72"/>
      <c r="N272" s="1"/>
      <c r="O272" s="72"/>
      <c r="P272" s="1"/>
      <c r="Q272" s="78"/>
      <c r="R272" s="78"/>
      <c r="S272" s="1"/>
      <c r="T272" s="78"/>
      <c r="U272" s="78"/>
      <c r="V272" s="557"/>
      <c r="W272" s="394"/>
      <c r="X272" s="78"/>
      <c r="Y272" s="78"/>
      <c r="Z272" s="44"/>
    </row>
    <row r="273" spans="1:26" ht="15.75" hidden="1" customHeight="1" thickBot="1" x14ac:dyDescent="0.3">
      <c r="B273" s="54"/>
      <c r="C273" s="2"/>
      <c r="D273" s="624" t="s">
        <v>381</v>
      </c>
      <c r="E273" s="624"/>
      <c r="F273" s="159">
        <v>0</v>
      </c>
      <c r="G273" s="343">
        <v>0</v>
      </c>
      <c r="H273" s="313">
        <v>0</v>
      </c>
      <c r="I273" s="513">
        <v>0</v>
      </c>
      <c r="J273" s="232">
        <f t="shared" si="79"/>
        <v>0</v>
      </c>
      <c r="K273" s="141"/>
      <c r="L273" s="159">
        <f t="shared" si="75"/>
        <v>0</v>
      </c>
      <c r="M273" s="72"/>
      <c r="N273" s="1"/>
      <c r="O273" s="72"/>
      <c r="P273" s="1"/>
      <c r="Q273" s="78"/>
      <c r="R273" s="78"/>
      <c r="S273" s="1"/>
      <c r="T273" s="78"/>
      <c r="U273" s="78"/>
      <c r="V273" s="557"/>
      <c r="W273" s="394"/>
      <c r="X273" s="78"/>
      <c r="Y273" s="78"/>
      <c r="Z273" s="44"/>
    </row>
    <row r="274" spans="1:26" ht="15.75" hidden="1" customHeight="1" thickBot="1" x14ac:dyDescent="0.3">
      <c r="B274" s="54"/>
      <c r="C274" s="2"/>
      <c r="D274" s="624" t="s">
        <v>382</v>
      </c>
      <c r="E274" s="624"/>
      <c r="F274" s="159">
        <v>0</v>
      </c>
      <c r="G274" s="343">
        <v>0</v>
      </c>
      <c r="H274" s="313">
        <v>0</v>
      </c>
      <c r="I274" s="513">
        <v>0</v>
      </c>
      <c r="J274" s="232">
        <f t="shared" si="79"/>
        <v>0</v>
      </c>
      <c r="K274" s="141"/>
      <c r="L274" s="159">
        <f t="shared" si="75"/>
        <v>0</v>
      </c>
      <c r="M274" s="72"/>
      <c r="N274" s="1"/>
      <c r="O274" s="72"/>
      <c r="P274" s="1"/>
      <c r="Q274" s="78"/>
      <c r="R274" s="78"/>
      <c r="S274" s="1"/>
      <c r="T274" s="78"/>
      <c r="U274" s="78"/>
      <c r="V274" s="557"/>
      <c r="W274" s="394"/>
      <c r="X274" s="78"/>
      <c r="Y274" s="78"/>
      <c r="Z274" s="44"/>
    </row>
    <row r="275" spans="1:26" ht="15.75" hidden="1" customHeight="1" thickBot="1" x14ac:dyDescent="0.3">
      <c r="B275" s="56"/>
      <c r="C275" s="20"/>
      <c r="D275" s="631" t="s">
        <v>567</v>
      </c>
      <c r="E275" s="631"/>
      <c r="F275" s="159">
        <v>0</v>
      </c>
      <c r="G275" s="467">
        <v>0</v>
      </c>
      <c r="H275" s="486">
        <v>0</v>
      </c>
      <c r="I275" s="514">
        <v>0</v>
      </c>
      <c r="J275" s="234">
        <f t="shared" si="79"/>
        <v>0</v>
      </c>
      <c r="K275" s="143"/>
      <c r="L275" s="159">
        <f t="shared" si="75"/>
        <v>0</v>
      </c>
      <c r="M275" s="72"/>
      <c r="N275" s="1"/>
      <c r="O275" s="72"/>
      <c r="P275" s="1"/>
      <c r="Q275" s="78"/>
      <c r="R275" s="78"/>
      <c r="S275" s="1"/>
      <c r="T275" s="78"/>
      <c r="U275" s="78"/>
      <c r="V275" s="557"/>
      <c r="W275" s="394"/>
      <c r="X275" s="78"/>
      <c r="Y275" s="78"/>
      <c r="Z275" s="44"/>
    </row>
    <row r="276" spans="1:26" ht="15.75" thickBot="1" x14ac:dyDescent="0.3">
      <c r="B276" s="96" t="s">
        <v>284</v>
      </c>
      <c r="C276" s="632" t="s">
        <v>285</v>
      </c>
      <c r="D276" s="633"/>
      <c r="E276" s="633"/>
      <c r="F276" s="156">
        <v>20500000</v>
      </c>
      <c r="G276" s="338">
        <v>15000000</v>
      </c>
      <c r="H276" s="308">
        <v>15000000</v>
      </c>
      <c r="I276" s="506">
        <v>15000000</v>
      </c>
      <c r="J276" s="235">
        <f>J277+J298+J304+J305</f>
        <v>15000000</v>
      </c>
      <c r="K276" s="144">
        <f t="shared" ref="K276:Z276" si="80">K277+K298+K304+K305</f>
        <v>0</v>
      </c>
      <c r="L276" s="156">
        <f t="shared" si="75"/>
        <v>15000000</v>
      </c>
      <c r="M276" s="82">
        <f>M277+M298+M304+M305</f>
        <v>0</v>
      </c>
      <c r="N276" s="83">
        <f>N277+N298+N304+N305</f>
        <v>15000000</v>
      </c>
      <c r="O276" s="82">
        <f t="shared" si="80"/>
        <v>0</v>
      </c>
      <c r="P276" s="83">
        <f t="shared" si="80"/>
        <v>0</v>
      </c>
      <c r="Q276" s="86">
        <f t="shared" si="80"/>
        <v>0</v>
      </c>
      <c r="R276" s="86">
        <f t="shared" si="80"/>
        <v>0</v>
      </c>
      <c r="S276" s="83">
        <f t="shared" si="80"/>
        <v>0</v>
      </c>
      <c r="T276" s="86">
        <f t="shared" si="80"/>
        <v>0</v>
      </c>
      <c r="U276" s="86">
        <f t="shared" si="80"/>
        <v>0</v>
      </c>
      <c r="V276" s="87">
        <f t="shared" si="80"/>
        <v>0</v>
      </c>
      <c r="W276" s="338">
        <f t="shared" si="80"/>
        <v>0</v>
      </c>
      <c r="X276" s="86">
        <f t="shared" si="80"/>
        <v>0</v>
      </c>
      <c r="Y276" s="86">
        <f t="shared" si="80"/>
        <v>0</v>
      </c>
      <c r="Z276" s="87">
        <f t="shared" si="80"/>
        <v>15000000</v>
      </c>
    </row>
    <row r="277" spans="1:26" ht="15.75" customHeight="1" x14ac:dyDescent="0.25">
      <c r="B277" s="108" t="s">
        <v>691</v>
      </c>
      <c r="C277" s="634" t="s">
        <v>286</v>
      </c>
      <c r="D277" s="635"/>
      <c r="E277" s="635"/>
      <c r="F277" s="157">
        <v>20500000</v>
      </c>
      <c r="G277" s="339">
        <v>15000000</v>
      </c>
      <c r="H277" s="309">
        <v>15000000</v>
      </c>
      <c r="I277" s="507">
        <v>15000000</v>
      </c>
      <c r="J277" s="231">
        <f>J278+J282+J289+J290+J291+J292+J293+J294+J295</f>
        <v>15000000</v>
      </c>
      <c r="K277" s="140">
        <f t="shared" ref="K277:Z277" si="81">K278+K282+K289+K290+K291+K292+K293+K294+K295</f>
        <v>0</v>
      </c>
      <c r="L277" s="157">
        <f t="shared" si="75"/>
        <v>15000000</v>
      </c>
      <c r="M277" s="109">
        <f>M278+M282+M289+M290+M291+M292+M293+M294+M295</f>
        <v>0</v>
      </c>
      <c r="N277" s="110">
        <f>N278+N282+N289+N290+N291+N292+N293+N294+N295</f>
        <v>15000000</v>
      </c>
      <c r="O277" s="109">
        <f t="shared" si="81"/>
        <v>0</v>
      </c>
      <c r="P277" s="110">
        <f t="shared" si="81"/>
        <v>0</v>
      </c>
      <c r="Q277" s="113">
        <f t="shared" si="81"/>
        <v>0</v>
      </c>
      <c r="R277" s="113">
        <f t="shared" si="81"/>
        <v>0</v>
      </c>
      <c r="S277" s="110">
        <f t="shared" si="81"/>
        <v>0</v>
      </c>
      <c r="T277" s="113">
        <f t="shared" si="81"/>
        <v>0</v>
      </c>
      <c r="U277" s="113">
        <f t="shared" si="81"/>
        <v>0</v>
      </c>
      <c r="V277" s="114">
        <f t="shared" si="81"/>
        <v>0</v>
      </c>
      <c r="W277" s="339">
        <f t="shared" si="81"/>
        <v>0</v>
      </c>
      <c r="X277" s="113">
        <f t="shared" si="81"/>
        <v>0</v>
      </c>
      <c r="Y277" s="113">
        <f t="shared" si="81"/>
        <v>0</v>
      </c>
      <c r="Z277" s="114">
        <f t="shared" si="81"/>
        <v>15000000</v>
      </c>
    </row>
    <row r="278" spans="1:26" s="18" customFormat="1" ht="15.75" customHeight="1" x14ac:dyDescent="0.25">
      <c r="A278" s="118"/>
      <c r="B278" s="53" t="s">
        <v>692</v>
      </c>
      <c r="C278" s="628" t="s">
        <v>287</v>
      </c>
      <c r="D278" s="629"/>
      <c r="E278" s="629"/>
      <c r="F278" s="160">
        <v>20500000</v>
      </c>
      <c r="G278" s="342">
        <v>15000000</v>
      </c>
      <c r="H278" s="312">
        <v>15000000</v>
      </c>
      <c r="I278" s="510">
        <v>15000000</v>
      </c>
      <c r="J278" s="239">
        <f>J279+J280+J281</f>
        <v>15000000</v>
      </c>
      <c r="K278" s="148">
        <f t="shared" ref="K278:Z278" si="82">K279+K280+K281</f>
        <v>0</v>
      </c>
      <c r="L278" s="160">
        <f t="shared" si="75"/>
        <v>15000000</v>
      </c>
      <c r="M278" s="74">
        <f>M279+M280+M281</f>
        <v>0</v>
      </c>
      <c r="N278" s="13">
        <f>N279+N280+N281</f>
        <v>15000000</v>
      </c>
      <c r="O278" s="74">
        <f t="shared" si="82"/>
        <v>0</v>
      </c>
      <c r="P278" s="13">
        <f t="shared" si="82"/>
        <v>0</v>
      </c>
      <c r="Q278" s="79">
        <f t="shared" si="82"/>
        <v>0</v>
      </c>
      <c r="R278" s="79">
        <f t="shared" si="82"/>
        <v>0</v>
      </c>
      <c r="S278" s="13">
        <f t="shared" si="82"/>
        <v>0</v>
      </c>
      <c r="T278" s="79">
        <f t="shared" si="82"/>
        <v>0</v>
      </c>
      <c r="U278" s="79">
        <f t="shared" si="82"/>
        <v>0</v>
      </c>
      <c r="V278" s="45">
        <f t="shared" si="82"/>
        <v>0</v>
      </c>
      <c r="W278" s="342">
        <f t="shared" si="82"/>
        <v>0</v>
      </c>
      <c r="X278" s="79">
        <f t="shared" si="82"/>
        <v>0</v>
      </c>
      <c r="Y278" s="79">
        <f t="shared" si="82"/>
        <v>0</v>
      </c>
      <c r="Z278" s="45">
        <f t="shared" si="82"/>
        <v>15000000</v>
      </c>
    </row>
    <row r="279" spans="1:26" s="199" customFormat="1" ht="15.75" hidden="1" customHeight="1" x14ac:dyDescent="0.25">
      <c r="A279" s="118" t="s">
        <v>288</v>
      </c>
      <c r="B279" s="181" t="s">
        <v>693</v>
      </c>
      <c r="C279" s="228"/>
      <c r="D279" s="724" t="s">
        <v>705</v>
      </c>
      <c r="E279" s="724"/>
      <c r="F279" s="183">
        <v>0</v>
      </c>
      <c r="G279" s="340">
        <v>0</v>
      </c>
      <c r="H279" s="310">
        <v>0</v>
      </c>
      <c r="I279" s="508">
        <v>0</v>
      </c>
      <c r="J279" s="268">
        <f>SUM(O279:Z279)</f>
        <v>0</v>
      </c>
      <c r="K279" s="269"/>
      <c r="L279" s="183">
        <f t="shared" si="75"/>
        <v>0</v>
      </c>
      <c r="M279" s="191"/>
      <c r="N279" s="185"/>
      <c r="O279" s="191"/>
      <c r="P279" s="185"/>
      <c r="Q279" s="186"/>
      <c r="R279" s="186"/>
      <c r="S279" s="185"/>
      <c r="T279" s="186"/>
      <c r="U279" s="186"/>
      <c r="V279" s="187"/>
      <c r="W279" s="340"/>
      <c r="X279" s="186"/>
      <c r="Y279" s="186"/>
      <c r="Z279" s="187"/>
    </row>
    <row r="280" spans="1:26" s="199" customFormat="1" ht="15.75" hidden="1" customHeight="1" x14ac:dyDescent="0.25">
      <c r="A280" s="118" t="s">
        <v>289</v>
      </c>
      <c r="B280" s="181" t="s">
        <v>694</v>
      </c>
      <c r="C280" s="190"/>
      <c r="D280" s="630" t="s">
        <v>706</v>
      </c>
      <c r="E280" s="630"/>
      <c r="F280" s="183">
        <v>0</v>
      </c>
      <c r="G280" s="340">
        <v>0</v>
      </c>
      <c r="H280" s="310">
        <v>0</v>
      </c>
      <c r="I280" s="508">
        <v>0</v>
      </c>
      <c r="J280" s="251">
        <f>SUM(O280:Z280)</f>
        <v>0</v>
      </c>
      <c r="K280" s="182"/>
      <c r="L280" s="183">
        <f t="shared" si="75"/>
        <v>0</v>
      </c>
      <c r="M280" s="191"/>
      <c r="N280" s="185"/>
      <c r="O280" s="191"/>
      <c r="P280" s="185"/>
      <c r="Q280" s="186"/>
      <c r="R280" s="186"/>
      <c r="S280" s="185"/>
      <c r="T280" s="186"/>
      <c r="U280" s="186"/>
      <c r="V280" s="187"/>
      <c r="W280" s="340"/>
      <c r="X280" s="186"/>
      <c r="Y280" s="186"/>
      <c r="Z280" s="187"/>
    </row>
    <row r="281" spans="1:26" s="199" customFormat="1" ht="15.75" customHeight="1" thickBot="1" x14ac:dyDescent="0.3">
      <c r="A281" s="118" t="s">
        <v>290</v>
      </c>
      <c r="B281" s="181" t="s">
        <v>695</v>
      </c>
      <c r="C281" s="190"/>
      <c r="D281" s="630" t="s">
        <v>707</v>
      </c>
      <c r="E281" s="630"/>
      <c r="F281" s="183">
        <v>20500000</v>
      </c>
      <c r="G281" s="340">
        <v>15000000</v>
      </c>
      <c r="H281" s="310">
        <v>15000000</v>
      </c>
      <c r="I281" s="508">
        <v>15000000</v>
      </c>
      <c r="J281" s="251">
        <f>SUM(O281:Z281)</f>
        <v>15000000</v>
      </c>
      <c r="K281" s="182"/>
      <c r="L281" s="183">
        <f t="shared" si="75"/>
        <v>15000000</v>
      </c>
      <c r="M281" s="191"/>
      <c r="N281" s="185">
        <f>L281</f>
        <v>15000000</v>
      </c>
      <c r="O281" s="191"/>
      <c r="P281" s="185"/>
      <c r="Q281" s="186"/>
      <c r="R281" s="186"/>
      <c r="S281" s="185"/>
      <c r="T281" s="186"/>
      <c r="U281" s="186"/>
      <c r="V281" s="187"/>
      <c r="W281" s="340"/>
      <c r="X281" s="186"/>
      <c r="Y281" s="186"/>
      <c r="Z281" s="187">
        <v>15000000</v>
      </c>
    </row>
    <row r="282" spans="1:26" s="18" customFormat="1" ht="15.75" hidden="1" customHeight="1" x14ac:dyDescent="0.25">
      <c r="A282" s="118"/>
      <c r="B282" s="53" t="s">
        <v>696</v>
      </c>
      <c r="C282" s="628" t="s">
        <v>291</v>
      </c>
      <c r="D282" s="629"/>
      <c r="E282" s="629"/>
      <c r="F282" s="160">
        <v>0</v>
      </c>
      <c r="G282" s="342">
        <v>0</v>
      </c>
      <c r="H282" s="312">
        <v>0</v>
      </c>
      <c r="I282" s="510">
        <v>0</v>
      </c>
      <c r="J282" s="239">
        <f>J283+J284+J285+J286+J287+J288</f>
        <v>0</v>
      </c>
      <c r="K282" s="148">
        <f t="shared" ref="K282:Z282" si="83">K283+K284+K285+K286+K287+K288</f>
        <v>0</v>
      </c>
      <c r="L282" s="160">
        <f t="shared" si="75"/>
        <v>0</v>
      </c>
      <c r="M282" s="74">
        <f>M283+M284+M285+M286+M287+M288</f>
        <v>0</v>
      </c>
      <c r="N282" s="13">
        <f>N283+N284+N285+N286+N287+N288</f>
        <v>0</v>
      </c>
      <c r="O282" s="74">
        <f t="shared" si="83"/>
        <v>0</v>
      </c>
      <c r="P282" s="13">
        <f t="shared" si="83"/>
        <v>0</v>
      </c>
      <c r="Q282" s="79">
        <f t="shared" si="83"/>
        <v>0</v>
      </c>
      <c r="R282" s="79">
        <f t="shared" si="83"/>
        <v>0</v>
      </c>
      <c r="S282" s="13">
        <f t="shared" si="83"/>
        <v>0</v>
      </c>
      <c r="T282" s="79">
        <f t="shared" si="83"/>
        <v>0</v>
      </c>
      <c r="U282" s="79">
        <f t="shared" si="83"/>
        <v>0</v>
      </c>
      <c r="V282" s="561">
        <f t="shared" si="83"/>
        <v>0</v>
      </c>
      <c r="W282" s="397">
        <f t="shared" si="83"/>
        <v>0</v>
      </c>
      <c r="X282" s="79">
        <f t="shared" si="83"/>
        <v>0</v>
      </c>
      <c r="Y282" s="79">
        <f t="shared" si="83"/>
        <v>0</v>
      </c>
      <c r="Z282" s="45">
        <f t="shared" si="83"/>
        <v>0</v>
      </c>
    </row>
    <row r="283" spans="1:26" s="199" customFormat="1" ht="15.75" hidden="1" customHeight="1" x14ac:dyDescent="0.25">
      <c r="A283" s="118" t="s">
        <v>292</v>
      </c>
      <c r="B283" s="181" t="s">
        <v>697</v>
      </c>
      <c r="C283" s="190"/>
      <c r="D283" s="630" t="s">
        <v>383</v>
      </c>
      <c r="E283" s="630"/>
      <c r="F283" s="183">
        <v>0</v>
      </c>
      <c r="G283" s="340">
        <v>0</v>
      </c>
      <c r="H283" s="310">
        <v>0</v>
      </c>
      <c r="I283" s="508">
        <v>0</v>
      </c>
      <c r="J283" s="251">
        <f t="shared" ref="J283:J294" si="84">SUM(O283:Z283)</f>
        <v>0</v>
      </c>
      <c r="K283" s="182"/>
      <c r="L283" s="183">
        <f t="shared" si="75"/>
        <v>0</v>
      </c>
      <c r="M283" s="191"/>
      <c r="N283" s="185"/>
      <c r="O283" s="191"/>
      <c r="P283" s="185"/>
      <c r="Q283" s="186"/>
      <c r="R283" s="186"/>
      <c r="S283" s="185"/>
      <c r="T283" s="186"/>
      <c r="U283" s="186"/>
      <c r="V283" s="560"/>
      <c r="W283" s="396"/>
      <c r="X283" s="186"/>
      <c r="Y283" s="186"/>
      <c r="Z283" s="187"/>
    </row>
    <row r="284" spans="1:26" s="199" customFormat="1" ht="15.75" hidden="1" customHeight="1" x14ac:dyDescent="0.25">
      <c r="A284" s="118" t="s">
        <v>293</v>
      </c>
      <c r="B284" s="181" t="s">
        <v>698</v>
      </c>
      <c r="C284" s="190"/>
      <c r="D284" s="630" t="s">
        <v>384</v>
      </c>
      <c r="E284" s="630"/>
      <c r="F284" s="183">
        <v>0</v>
      </c>
      <c r="G284" s="340">
        <v>0</v>
      </c>
      <c r="H284" s="310">
        <v>0</v>
      </c>
      <c r="I284" s="508">
        <v>0</v>
      </c>
      <c r="J284" s="251">
        <f t="shared" si="84"/>
        <v>0</v>
      </c>
      <c r="K284" s="182"/>
      <c r="L284" s="183">
        <f t="shared" si="75"/>
        <v>0</v>
      </c>
      <c r="M284" s="191"/>
      <c r="N284" s="185"/>
      <c r="O284" s="191"/>
      <c r="P284" s="185"/>
      <c r="Q284" s="186"/>
      <c r="R284" s="186"/>
      <c r="S284" s="185"/>
      <c r="T284" s="186"/>
      <c r="U284" s="186"/>
      <c r="V284" s="560"/>
      <c r="W284" s="396"/>
      <c r="X284" s="186"/>
      <c r="Y284" s="186"/>
      <c r="Z284" s="187"/>
    </row>
    <row r="285" spans="1:26" s="199" customFormat="1" ht="15.75" hidden="1" customHeight="1" x14ac:dyDescent="0.25">
      <c r="A285" s="118" t="s">
        <v>885</v>
      </c>
      <c r="B285" s="181" t="s">
        <v>886</v>
      </c>
      <c r="C285" s="190"/>
      <c r="D285" s="630" t="s">
        <v>887</v>
      </c>
      <c r="E285" s="630"/>
      <c r="F285" s="183">
        <v>0</v>
      </c>
      <c r="G285" s="340">
        <v>0</v>
      </c>
      <c r="H285" s="310">
        <v>0</v>
      </c>
      <c r="I285" s="508">
        <v>0</v>
      </c>
      <c r="J285" s="251">
        <f t="shared" si="84"/>
        <v>0</v>
      </c>
      <c r="K285" s="182"/>
      <c r="L285" s="183">
        <f t="shared" si="75"/>
        <v>0</v>
      </c>
      <c r="M285" s="191"/>
      <c r="N285" s="185"/>
      <c r="O285" s="191"/>
      <c r="P285" s="185"/>
      <c r="Q285" s="186"/>
      <c r="R285" s="186"/>
      <c r="S285" s="185"/>
      <c r="T285" s="186"/>
      <c r="U285" s="186"/>
      <c r="V285" s="560"/>
      <c r="W285" s="396"/>
      <c r="X285" s="186"/>
      <c r="Y285" s="186"/>
      <c r="Z285" s="187"/>
    </row>
    <row r="286" spans="1:26" s="199" customFormat="1" ht="15.75" hidden="1" customHeight="1" x14ac:dyDescent="0.25">
      <c r="A286" s="118" t="s">
        <v>294</v>
      </c>
      <c r="B286" s="181" t="s">
        <v>699</v>
      </c>
      <c r="C286" s="190"/>
      <c r="D286" s="630" t="s">
        <v>295</v>
      </c>
      <c r="E286" s="630"/>
      <c r="F286" s="183">
        <v>0</v>
      </c>
      <c r="G286" s="340">
        <v>0</v>
      </c>
      <c r="H286" s="310">
        <v>0</v>
      </c>
      <c r="I286" s="508">
        <v>0</v>
      </c>
      <c r="J286" s="251">
        <f t="shared" si="84"/>
        <v>0</v>
      </c>
      <c r="K286" s="182"/>
      <c r="L286" s="183">
        <f t="shared" si="75"/>
        <v>0</v>
      </c>
      <c r="M286" s="191"/>
      <c r="N286" s="185"/>
      <c r="O286" s="191"/>
      <c r="P286" s="185"/>
      <c r="Q286" s="186"/>
      <c r="R286" s="186"/>
      <c r="S286" s="185"/>
      <c r="T286" s="186"/>
      <c r="U286" s="186"/>
      <c r="V286" s="560"/>
      <c r="W286" s="396"/>
      <c r="X286" s="186"/>
      <c r="Y286" s="186"/>
      <c r="Z286" s="187"/>
    </row>
    <row r="287" spans="1:26" s="199" customFormat="1" ht="15.75" hidden="1" customHeight="1" x14ac:dyDescent="0.25">
      <c r="A287" s="118" t="s">
        <v>296</v>
      </c>
      <c r="B287" s="181" t="s">
        <v>700</v>
      </c>
      <c r="C287" s="190"/>
      <c r="D287" s="630" t="s">
        <v>297</v>
      </c>
      <c r="E287" s="630"/>
      <c r="F287" s="183">
        <v>0</v>
      </c>
      <c r="G287" s="340">
        <v>0</v>
      </c>
      <c r="H287" s="310">
        <v>0</v>
      </c>
      <c r="I287" s="508">
        <v>0</v>
      </c>
      <c r="J287" s="251">
        <f t="shared" si="84"/>
        <v>0</v>
      </c>
      <c r="K287" s="182"/>
      <c r="L287" s="183">
        <f t="shared" si="75"/>
        <v>0</v>
      </c>
      <c r="M287" s="191"/>
      <c r="N287" s="185"/>
      <c r="O287" s="191"/>
      <c r="P287" s="185"/>
      <c r="Q287" s="186"/>
      <c r="R287" s="186"/>
      <c r="S287" s="185"/>
      <c r="T287" s="186"/>
      <c r="U287" s="186"/>
      <c r="V287" s="560"/>
      <c r="W287" s="396"/>
      <c r="X287" s="186"/>
      <c r="Y287" s="186"/>
      <c r="Z287" s="187"/>
    </row>
    <row r="288" spans="1:26" s="199" customFormat="1" ht="15.75" hidden="1" customHeight="1" x14ac:dyDescent="0.25">
      <c r="A288" s="118" t="s">
        <v>888</v>
      </c>
      <c r="B288" s="181" t="s">
        <v>889</v>
      </c>
      <c r="C288" s="190"/>
      <c r="D288" s="630" t="s">
        <v>890</v>
      </c>
      <c r="E288" s="630"/>
      <c r="F288" s="183">
        <v>0</v>
      </c>
      <c r="G288" s="340">
        <v>0</v>
      </c>
      <c r="H288" s="310">
        <v>0</v>
      </c>
      <c r="I288" s="508">
        <v>0</v>
      </c>
      <c r="J288" s="251">
        <f t="shared" si="84"/>
        <v>0</v>
      </c>
      <c r="K288" s="182"/>
      <c r="L288" s="183">
        <f t="shared" si="75"/>
        <v>0</v>
      </c>
      <c r="M288" s="191"/>
      <c r="N288" s="185"/>
      <c r="O288" s="191"/>
      <c r="P288" s="185"/>
      <c r="Q288" s="186"/>
      <c r="R288" s="186"/>
      <c r="S288" s="185"/>
      <c r="T288" s="186"/>
      <c r="U288" s="186"/>
      <c r="V288" s="560"/>
      <c r="W288" s="396"/>
      <c r="X288" s="186"/>
      <c r="Y288" s="186"/>
      <c r="Z288" s="187"/>
    </row>
    <row r="289" spans="1:26" s="41" customFormat="1" ht="15.75" hidden="1" customHeight="1" x14ac:dyDescent="0.25">
      <c r="A289" s="118" t="s">
        <v>891</v>
      </c>
      <c r="B289" s="53" t="s">
        <v>892</v>
      </c>
      <c r="C289" s="628" t="s">
        <v>893</v>
      </c>
      <c r="D289" s="629"/>
      <c r="E289" s="629"/>
      <c r="F289" s="160">
        <v>0</v>
      </c>
      <c r="G289" s="342">
        <v>0</v>
      </c>
      <c r="H289" s="312">
        <v>0</v>
      </c>
      <c r="I289" s="510">
        <v>0</v>
      </c>
      <c r="J289" s="239">
        <f t="shared" si="84"/>
        <v>0</v>
      </c>
      <c r="K289" s="148"/>
      <c r="L289" s="160">
        <f t="shared" si="75"/>
        <v>0</v>
      </c>
      <c r="M289" s="74"/>
      <c r="N289" s="13"/>
      <c r="O289" s="74"/>
      <c r="P289" s="13"/>
      <c r="Q289" s="79"/>
      <c r="R289" s="79"/>
      <c r="S289" s="13"/>
      <c r="T289" s="79"/>
      <c r="U289" s="79"/>
      <c r="V289" s="561"/>
      <c r="W289" s="397"/>
      <c r="X289" s="79"/>
      <c r="Y289" s="79"/>
      <c r="Z289" s="45"/>
    </row>
    <row r="290" spans="1:26" s="41" customFormat="1" ht="15.75" hidden="1" customHeight="1" x14ac:dyDescent="0.25">
      <c r="A290" s="118" t="s">
        <v>298</v>
      </c>
      <c r="B290" s="53" t="s">
        <v>701</v>
      </c>
      <c r="C290" s="628" t="s">
        <v>299</v>
      </c>
      <c r="D290" s="629"/>
      <c r="E290" s="629"/>
      <c r="F290" s="160">
        <v>0</v>
      </c>
      <c r="G290" s="342">
        <v>0</v>
      </c>
      <c r="H290" s="312">
        <v>0</v>
      </c>
      <c r="I290" s="510">
        <v>0</v>
      </c>
      <c r="J290" s="239">
        <f t="shared" si="84"/>
        <v>0</v>
      </c>
      <c r="K290" s="148"/>
      <c r="L290" s="160">
        <f t="shared" si="75"/>
        <v>0</v>
      </c>
      <c r="M290" s="74"/>
      <c r="N290" s="13"/>
      <c r="O290" s="74"/>
      <c r="P290" s="13"/>
      <c r="Q290" s="79"/>
      <c r="R290" s="79"/>
      <c r="S290" s="13"/>
      <c r="T290" s="79"/>
      <c r="U290" s="79"/>
      <c r="V290" s="561"/>
      <c r="W290" s="397"/>
      <c r="X290" s="79"/>
      <c r="Y290" s="79"/>
      <c r="Z290" s="45"/>
    </row>
    <row r="291" spans="1:26" s="41" customFormat="1" ht="15.75" hidden="1" customHeight="1" x14ac:dyDescent="0.25">
      <c r="A291" s="118" t="s">
        <v>300</v>
      </c>
      <c r="B291" s="53" t="s">
        <v>702</v>
      </c>
      <c r="C291" s="628" t="s">
        <v>894</v>
      </c>
      <c r="D291" s="629"/>
      <c r="E291" s="629"/>
      <c r="F291" s="160">
        <v>0</v>
      </c>
      <c r="G291" s="342">
        <v>0</v>
      </c>
      <c r="H291" s="312">
        <v>0</v>
      </c>
      <c r="I291" s="510">
        <v>0</v>
      </c>
      <c r="J291" s="239">
        <f t="shared" si="84"/>
        <v>0</v>
      </c>
      <c r="K291" s="148"/>
      <c r="L291" s="160">
        <f t="shared" si="75"/>
        <v>0</v>
      </c>
      <c r="M291" s="74"/>
      <c r="N291" s="13"/>
      <c r="O291" s="74"/>
      <c r="P291" s="13"/>
      <c r="Q291" s="79"/>
      <c r="R291" s="79"/>
      <c r="S291" s="13"/>
      <c r="T291" s="79"/>
      <c r="U291" s="79"/>
      <c r="V291" s="561"/>
      <c r="W291" s="397"/>
      <c r="X291" s="79"/>
      <c r="Y291" s="79"/>
      <c r="Z291" s="45"/>
    </row>
    <row r="292" spans="1:26" s="41" customFormat="1" ht="15.75" hidden="1" customHeight="1" x14ac:dyDescent="0.25">
      <c r="A292" s="118" t="s">
        <v>301</v>
      </c>
      <c r="B292" s="53" t="s">
        <v>703</v>
      </c>
      <c r="C292" s="628" t="s">
        <v>895</v>
      </c>
      <c r="D292" s="629"/>
      <c r="E292" s="629"/>
      <c r="F292" s="160">
        <v>0</v>
      </c>
      <c r="G292" s="342">
        <v>0</v>
      </c>
      <c r="H292" s="312">
        <v>0</v>
      </c>
      <c r="I292" s="510">
        <v>0</v>
      </c>
      <c r="J292" s="239">
        <f t="shared" si="84"/>
        <v>0</v>
      </c>
      <c r="K292" s="148"/>
      <c r="L292" s="160">
        <f t="shared" si="75"/>
        <v>0</v>
      </c>
      <c r="M292" s="74"/>
      <c r="N292" s="13"/>
      <c r="O292" s="74"/>
      <c r="P292" s="13"/>
      <c r="Q292" s="79"/>
      <c r="R292" s="79"/>
      <c r="S292" s="13"/>
      <c r="T292" s="79"/>
      <c r="U292" s="79"/>
      <c r="V292" s="561"/>
      <c r="W292" s="397"/>
      <c r="X292" s="79"/>
      <c r="Y292" s="79"/>
      <c r="Z292" s="45"/>
    </row>
    <row r="293" spans="1:26" s="41" customFormat="1" ht="15.75" hidden="1" customHeight="1" x14ac:dyDescent="0.25">
      <c r="A293" s="118" t="s">
        <v>302</v>
      </c>
      <c r="B293" s="53" t="s">
        <v>704</v>
      </c>
      <c r="C293" s="628" t="s">
        <v>303</v>
      </c>
      <c r="D293" s="629"/>
      <c r="E293" s="629"/>
      <c r="F293" s="160">
        <v>0</v>
      </c>
      <c r="G293" s="342">
        <v>0</v>
      </c>
      <c r="H293" s="312">
        <v>0</v>
      </c>
      <c r="I293" s="510">
        <v>0</v>
      </c>
      <c r="J293" s="239">
        <f t="shared" si="84"/>
        <v>0</v>
      </c>
      <c r="K293" s="148"/>
      <c r="L293" s="160">
        <f t="shared" si="75"/>
        <v>0</v>
      </c>
      <c r="M293" s="74"/>
      <c r="N293" s="13"/>
      <c r="O293" s="74"/>
      <c r="P293" s="13"/>
      <c r="Q293" s="79"/>
      <c r="R293" s="79"/>
      <c r="S293" s="13"/>
      <c r="T293" s="79"/>
      <c r="U293" s="79"/>
      <c r="V293" s="561"/>
      <c r="W293" s="397"/>
      <c r="X293" s="79"/>
      <c r="Y293" s="79"/>
      <c r="Z293" s="45"/>
    </row>
    <row r="294" spans="1:26" s="41" customFormat="1" ht="15.75" hidden="1" customHeight="1" x14ac:dyDescent="0.25">
      <c r="A294" s="118" t="s">
        <v>896</v>
      </c>
      <c r="B294" s="53" t="s">
        <v>897</v>
      </c>
      <c r="C294" s="628" t="s">
        <v>899</v>
      </c>
      <c r="D294" s="629"/>
      <c r="E294" s="629"/>
      <c r="F294" s="160">
        <v>0</v>
      </c>
      <c r="G294" s="342">
        <v>0</v>
      </c>
      <c r="H294" s="312">
        <v>0</v>
      </c>
      <c r="I294" s="510">
        <v>0</v>
      </c>
      <c r="J294" s="239">
        <f t="shared" si="84"/>
        <v>0</v>
      </c>
      <c r="K294" s="148"/>
      <c r="L294" s="160">
        <f t="shared" si="75"/>
        <v>0</v>
      </c>
      <c r="M294" s="74"/>
      <c r="N294" s="13"/>
      <c r="O294" s="74"/>
      <c r="P294" s="13"/>
      <c r="Q294" s="79"/>
      <c r="R294" s="79"/>
      <c r="S294" s="13"/>
      <c r="T294" s="79"/>
      <c r="U294" s="79"/>
      <c r="V294" s="561"/>
      <c r="W294" s="397"/>
      <c r="X294" s="79"/>
      <c r="Y294" s="79"/>
      <c r="Z294" s="45"/>
    </row>
    <row r="295" spans="1:26" s="41" customFormat="1" ht="15.75" hidden="1" customHeight="1" x14ac:dyDescent="0.25">
      <c r="A295" s="118"/>
      <c r="B295" s="53" t="s">
        <v>898</v>
      </c>
      <c r="C295" s="628" t="s">
        <v>900</v>
      </c>
      <c r="D295" s="629"/>
      <c r="E295" s="629"/>
      <c r="F295" s="160">
        <v>0</v>
      </c>
      <c r="G295" s="342">
        <v>0</v>
      </c>
      <c r="H295" s="312">
        <v>0</v>
      </c>
      <c r="I295" s="510">
        <v>0</v>
      </c>
      <c r="J295" s="239">
        <f>J296+J297</f>
        <v>0</v>
      </c>
      <c r="K295" s="148">
        <f t="shared" ref="K295:Z295" si="85">K296+K297</f>
        <v>0</v>
      </c>
      <c r="L295" s="160">
        <f t="shared" si="75"/>
        <v>0</v>
      </c>
      <c r="M295" s="74">
        <f>M296+M297</f>
        <v>0</v>
      </c>
      <c r="N295" s="13">
        <f>N296+N297</f>
        <v>0</v>
      </c>
      <c r="O295" s="74">
        <f t="shared" si="85"/>
        <v>0</v>
      </c>
      <c r="P295" s="13">
        <f t="shared" si="85"/>
        <v>0</v>
      </c>
      <c r="Q295" s="79">
        <f t="shared" si="85"/>
        <v>0</v>
      </c>
      <c r="R295" s="79">
        <f t="shared" si="85"/>
        <v>0</v>
      </c>
      <c r="S295" s="13">
        <f t="shared" si="85"/>
        <v>0</v>
      </c>
      <c r="T295" s="79">
        <f t="shared" si="85"/>
        <v>0</v>
      </c>
      <c r="U295" s="79">
        <f t="shared" si="85"/>
        <v>0</v>
      </c>
      <c r="V295" s="561">
        <f t="shared" si="85"/>
        <v>0</v>
      </c>
      <c r="W295" s="397">
        <f t="shared" si="85"/>
        <v>0</v>
      </c>
      <c r="X295" s="79">
        <f t="shared" si="85"/>
        <v>0</v>
      </c>
      <c r="Y295" s="79">
        <f t="shared" si="85"/>
        <v>0</v>
      </c>
      <c r="Z295" s="45">
        <f t="shared" si="85"/>
        <v>0</v>
      </c>
    </row>
    <row r="296" spans="1:26" s="199" customFormat="1" ht="15.75" hidden="1" customHeight="1" x14ac:dyDescent="0.25">
      <c r="A296" s="118" t="s">
        <v>902</v>
      </c>
      <c r="B296" s="181" t="s">
        <v>901</v>
      </c>
      <c r="C296" s="190"/>
      <c r="D296" s="630" t="s">
        <v>905</v>
      </c>
      <c r="E296" s="630"/>
      <c r="F296" s="183">
        <v>0</v>
      </c>
      <c r="G296" s="340">
        <v>0</v>
      </c>
      <c r="H296" s="310">
        <v>0</v>
      </c>
      <c r="I296" s="508">
        <v>0</v>
      </c>
      <c r="J296" s="251">
        <f>SUM(O296:Z296)</f>
        <v>0</v>
      </c>
      <c r="K296" s="182"/>
      <c r="L296" s="183">
        <f t="shared" si="75"/>
        <v>0</v>
      </c>
      <c r="M296" s="191"/>
      <c r="N296" s="185"/>
      <c r="O296" s="191"/>
      <c r="P296" s="185"/>
      <c r="Q296" s="186"/>
      <c r="R296" s="186"/>
      <c r="S296" s="185"/>
      <c r="T296" s="186"/>
      <c r="U296" s="186"/>
      <c r="V296" s="560"/>
      <c r="W296" s="396"/>
      <c r="X296" s="186"/>
      <c r="Y296" s="186"/>
      <c r="Z296" s="187"/>
    </row>
    <row r="297" spans="1:26" s="199" customFormat="1" ht="15.75" hidden="1" customHeight="1" x14ac:dyDescent="0.25">
      <c r="A297" s="118" t="s">
        <v>903</v>
      </c>
      <c r="B297" s="181" t="s">
        <v>904</v>
      </c>
      <c r="C297" s="190"/>
      <c r="D297" s="630" t="s">
        <v>906</v>
      </c>
      <c r="E297" s="630"/>
      <c r="F297" s="183">
        <v>0</v>
      </c>
      <c r="G297" s="340">
        <v>0</v>
      </c>
      <c r="H297" s="310">
        <v>0</v>
      </c>
      <c r="I297" s="508">
        <v>0</v>
      </c>
      <c r="J297" s="251">
        <f>SUM(O297:Z297)</f>
        <v>0</v>
      </c>
      <c r="K297" s="182"/>
      <c r="L297" s="183">
        <f t="shared" si="75"/>
        <v>0</v>
      </c>
      <c r="M297" s="191"/>
      <c r="N297" s="185"/>
      <c r="O297" s="191"/>
      <c r="P297" s="185"/>
      <c r="Q297" s="186"/>
      <c r="R297" s="186"/>
      <c r="S297" s="185"/>
      <c r="T297" s="186"/>
      <c r="U297" s="186"/>
      <c r="V297" s="560"/>
      <c r="W297" s="396"/>
      <c r="X297" s="186"/>
      <c r="Y297" s="186"/>
      <c r="Z297" s="187"/>
    </row>
    <row r="298" spans="1:26" ht="15.75" hidden="1" customHeight="1" x14ac:dyDescent="0.25">
      <c r="B298" s="88" t="s">
        <v>708</v>
      </c>
      <c r="C298" s="626" t="s">
        <v>304</v>
      </c>
      <c r="D298" s="627"/>
      <c r="E298" s="627"/>
      <c r="F298" s="158">
        <v>0</v>
      </c>
      <c r="G298" s="341">
        <v>0</v>
      </c>
      <c r="H298" s="311">
        <v>0</v>
      </c>
      <c r="I298" s="509">
        <v>0</v>
      </c>
      <c r="J298" s="233">
        <f>J299+J300+J301+J302+J303</f>
        <v>0</v>
      </c>
      <c r="K298" s="142">
        <f t="shared" ref="K298:Z298" si="86">K299+K300+K301+K302+K303</f>
        <v>0</v>
      </c>
      <c r="L298" s="158">
        <f t="shared" si="75"/>
        <v>0</v>
      </c>
      <c r="M298" s="90">
        <f>M299+M300+M301+M302+M303</f>
        <v>0</v>
      </c>
      <c r="N298" s="91">
        <f>N299+N300+N301+N302+N303</f>
        <v>0</v>
      </c>
      <c r="O298" s="90">
        <f t="shared" si="86"/>
        <v>0</v>
      </c>
      <c r="P298" s="91">
        <f t="shared" si="86"/>
        <v>0</v>
      </c>
      <c r="Q298" s="94">
        <f t="shared" si="86"/>
        <v>0</v>
      </c>
      <c r="R298" s="94">
        <f t="shared" si="86"/>
        <v>0</v>
      </c>
      <c r="S298" s="91">
        <f t="shared" si="86"/>
        <v>0</v>
      </c>
      <c r="T298" s="94">
        <f t="shared" si="86"/>
        <v>0</v>
      </c>
      <c r="U298" s="94">
        <f t="shared" si="86"/>
        <v>0</v>
      </c>
      <c r="V298" s="556">
        <f t="shared" si="86"/>
        <v>0</v>
      </c>
      <c r="W298" s="393">
        <f t="shared" si="86"/>
        <v>0</v>
      </c>
      <c r="X298" s="94">
        <f t="shared" si="86"/>
        <v>0</v>
      </c>
      <c r="Y298" s="94">
        <f t="shared" si="86"/>
        <v>0</v>
      </c>
      <c r="Z298" s="95">
        <f t="shared" si="86"/>
        <v>0</v>
      </c>
    </row>
    <row r="299" spans="1:26" s="41" customFormat="1" ht="15.75" hidden="1" customHeight="1" x14ac:dyDescent="0.25">
      <c r="A299" s="118" t="s">
        <v>305</v>
      </c>
      <c r="B299" s="188" t="s">
        <v>709</v>
      </c>
      <c r="C299" s="706" t="s">
        <v>385</v>
      </c>
      <c r="D299" s="707"/>
      <c r="E299" s="707"/>
      <c r="F299" s="201">
        <v>0</v>
      </c>
      <c r="G299" s="347">
        <v>0</v>
      </c>
      <c r="H299" s="319">
        <v>0</v>
      </c>
      <c r="I299" s="511">
        <v>0</v>
      </c>
      <c r="J299" s="252">
        <f t="shared" ref="J299:J305" si="87">SUM(O299:Z299)</f>
        <v>0</v>
      </c>
      <c r="K299" s="189"/>
      <c r="L299" s="201">
        <f t="shared" si="75"/>
        <v>0</v>
      </c>
      <c r="M299" s="202"/>
      <c r="N299" s="203"/>
      <c r="O299" s="202"/>
      <c r="P299" s="203"/>
      <c r="Q299" s="206"/>
      <c r="R299" s="206"/>
      <c r="S299" s="203"/>
      <c r="T299" s="206"/>
      <c r="U299" s="206"/>
      <c r="V299" s="563"/>
      <c r="W299" s="399"/>
      <c r="X299" s="206"/>
      <c r="Y299" s="206"/>
      <c r="Z299" s="204"/>
    </row>
    <row r="300" spans="1:26" s="41" customFormat="1" ht="15.75" hidden="1" customHeight="1" x14ac:dyDescent="0.25">
      <c r="A300" s="118" t="s">
        <v>306</v>
      </c>
      <c r="B300" s="188" t="s">
        <v>710</v>
      </c>
      <c r="C300" s="706" t="s">
        <v>386</v>
      </c>
      <c r="D300" s="707"/>
      <c r="E300" s="707"/>
      <c r="F300" s="201">
        <v>0</v>
      </c>
      <c r="G300" s="347">
        <v>0</v>
      </c>
      <c r="H300" s="319">
        <v>0</v>
      </c>
      <c r="I300" s="511">
        <v>0</v>
      </c>
      <c r="J300" s="252">
        <f t="shared" si="87"/>
        <v>0</v>
      </c>
      <c r="K300" s="189"/>
      <c r="L300" s="201">
        <f t="shared" si="75"/>
        <v>0</v>
      </c>
      <c r="M300" s="202"/>
      <c r="N300" s="203"/>
      <c r="O300" s="202"/>
      <c r="P300" s="203"/>
      <c r="Q300" s="206"/>
      <c r="R300" s="206"/>
      <c r="S300" s="203"/>
      <c r="T300" s="206"/>
      <c r="U300" s="206"/>
      <c r="V300" s="563"/>
      <c r="W300" s="399"/>
      <c r="X300" s="206"/>
      <c r="Y300" s="206"/>
      <c r="Z300" s="204"/>
    </row>
    <row r="301" spans="1:26" s="41" customFormat="1" ht="15.75" hidden="1" customHeight="1" x14ac:dyDescent="0.25">
      <c r="A301" s="118" t="s">
        <v>307</v>
      </c>
      <c r="B301" s="188" t="s">
        <v>711</v>
      </c>
      <c r="C301" s="706" t="s">
        <v>308</v>
      </c>
      <c r="D301" s="707"/>
      <c r="E301" s="707"/>
      <c r="F301" s="201">
        <v>0</v>
      </c>
      <c r="G301" s="347">
        <v>0</v>
      </c>
      <c r="H301" s="319">
        <v>0</v>
      </c>
      <c r="I301" s="511">
        <v>0</v>
      </c>
      <c r="J301" s="252">
        <f t="shared" si="87"/>
        <v>0</v>
      </c>
      <c r="K301" s="189"/>
      <c r="L301" s="201">
        <f t="shared" si="75"/>
        <v>0</v>
      </c>
      <c r="M301" s="202"/>
      <c r="N301" s="203"/>
      <c r="O301" s="202"/>
      <c r="P301" s="203"/>
      <c r="Q301" s="206"/>
      <c r="R301" s="206"/>
      <c r="S301" s="203"/>
      <c r="T301" s="206"/>
      <c r="U301" s="206"/>
      <c r="V301" s="563"/>
      <c r="W301" s="399"/>
      <c r="X301" s="206"/>
      <c r="Y301" s="206"/>
      <c r="Z301" s="204"/>
    </row>
    <row r="302" spans="1:26" s="41" customFormat="1" ht="15.75" hidden="1" customHeight="1" x14ac:dyDescent="0.25">
      <c r="A302" s="118" t="s">
        <v>309</v>
      </c>
      <c r="B302" s="188" t="s">
        <v>712</v>
      </c>
      <c r="C302" s="706" t="s">
        <v>310</v>
      </c>
      <c r="D302" s="707"/>
      <c r="E302" s="707"/>
      <c r="F302" s="201">
        <v>0</v>
      </c>
      <c r="G302" s="347">
        <v>0</v>
      </c>
      <c r="H302" s="319">
        <v>0</v>
      </c>
      <c r="I302" s="511">
        <v>0</v>
      </c>
      <c r="J302" s="252">
        <f t="shared" si="87"/>
        <v>0</v>
      </c>
      <c r="K302" s="189"/>
      <c r="L302" s="201">
        <f t="shared" si="75"/>
        <v>0</v>
      </c>
      <c r="M302" s="202"/>
      <c r="N302" s="203"/>
      <c r="O302" s="202"/>
      <c r="P302" s="203"/>
      <c r="Q302" s="206"/>
      <c r="R302" s="206"/>
      <c r="S302" s="203"/>
      <c r="T302" s="206"/>
      <c r="U302" s="206"/>
      <c r="V302" s="563"/>
      <c r="W302" s="399"/>
      <c r="X302" s="206"/>
      <c r="Y302" s="206"/>
      <c r="Z302" s="204"/>
    </row>
    <row r="303" spans="1:26" s="41" customFormat="1" ht="15.75" hidden="1" customHeight="1" x14ac:dyDescent="0.25">
      <c r="A303" s="118" t="s">
        <v>311</v>
      </c>
      <c r="B303" s="188" t="s">
        <v>713</v>
      </c>
      <c r="C303" s="706" t="s">
        <v>387</v>
      </c>
      <c r="D303" s="707"/>
      <c r="E303" s="707"/>
      <c r="F303" s="201">
        <v>0</v>
      </c>
      <c r="G303" s="347">
        <v>0</v>
      </c>
      <c r="H303" s="319">
        <v>0</v>
      </c>
      <c r="I303" s="511">
        <v>0</v>
      </c>
      <c r="J303" s="252">
        <f t="shared" si="87"/>
        <v>0</v>
      </c>
      <c r="K303" s="189"/>
      <c r="L303" s="201">
        <f t="shared" si="75"/>
        <v>0</v>
      </c>
      <c r="M303" s="202"/>
      <c r="N303" s="203"/>
      <c r="O303" s="202"/>
      <c r="P303" s="203"/>
      <c r="Q303" s="206"/>
      <c r="R303" s="206"/>
      <c r="S303" s="203"/>
      <c r="T303" s="206"/>
      <c r="U303" s="206"/>
      <c r="V303" s="563"/>
      <c r="W303" s="399"/>
      <c r="X303" s="206"/>
      <c r="Y303" s="206"/>
      <c r="Z303" s="204"/>
    </row>
    <row r="304" spans="1:26" ht="15.75" hidden="1" customHeight="1" x14ac:dyDescent="0.25">
      <c r="A304" s="118" t="s">
        <v>313</v>
      </c>
      <c r="B304" s="88" t="s">
        <v>714</v>
      </c>
      <c r="C304" s="626" t="s">
        <v>312</v>
      </c>
      <c r="D304" s="627"/>
      <c r="E304" s="627"/>
      <c r="F304" s="158">
        <v>0</v>
      </c>
      <c r="G304" s="341">
        <v>0</v>
      </c>
      <c r="H304" s="311">
        <v>0</v>
      </c>
      <c r="I304" s="509">
        <v>0</v>
      </c>
      <c r="J304" s="233">
        <f t="shared" si="87"/>
        <v>0</v>
      </c>
      <c r="K304" s="142"/>
      <c r="L304" s="158">
        <f t="shared" si="75"/>
        <v>0</v>
      </c>
      <c r="M304" s="90"/>
      <c r="N304" s="91"/>
      <c r="O304" s="90"/>
      <c r="P304" s="91"/>
      <c r="Q304" s="94"/>
      <c r="R304" s="94"/>
      <c r="S304" s="91"/>
      <c r="T304" s="94"/>
      <c r="U304" s="94"/>
      <c r="V304" s="556"/>
      <c r="W304" s="393"/>
      <c r="X304" s="94"/>
      <c r="Y304" s="94"/>
      <c r="Z304" s="95"/>
    </row>
    <row r="305" spans="1:26" ht="15.75" hidden="1" customHeight="1" thickBot="1" x14ac:dyDescent="0.3">
      <c r="A305" s="118" t="s">
        <v>907</v>
      </c>
      <c r="B305" s="88" t="s">
        <v>908</v>
      </c>
      <c r="C305" s="626" t="s">
        <v>909</v>
      </c>
      <c r="D305" s="627"/>
      <c r="E305" s="627"/>
      <c r="F305" s="158">
        <v>0</v>
      </c>
      <c r="G305" s="341">
        <v>0</v>
      </c>
      <c r="H305" s="311">
        <v>0</v>
      </c>
      <c r="I305" s="509">
        <v>0</v>
      </c>
      <c r="J305" s="233">
        <f t="shared" si="87"/>
        <v>0</v>
      </c>
      <c r="K305" s="142"/>
      <c r="L305" s="158">
        <f t="shared" si="75"/>
        <v>0</v>
      </c>
      <c r="M305" s="90"/>
      <c r="N305" s="91"/>
      <c r="O305" s="90"/>
      <c r="P305" s="91"/>
      <c r="Q305" s="94"/>
      <c r="R305" s="94"/>
      <c r="S305" s="91"/>
      <c r="T305" s="94"/>
      <c r="U305" s="94"/>
      <c r="V305" s="556"/>
      <c r="W305" s="393"/>
      <c r="X305" s="94"/>
      <c r="Y305" s="94"/>
      <c r="Z305" s="95"/>
    </row>
    <row r="306" spans="1:26" ht="15.75" thickBot="1" x14ac:dyDescent="0.3">
      <c r="B306" s="722" t="s">
        <v>314</v>
      </c>
      <c r="C306" s="723"/>
      <c r="D306" s="723"/>
      <c r="E306" s="723"/>
      <c r="F306" s="156">
        <v>56460219</v>
      </c>
      <c r="G306" s="338">
        <v>52302448.024999999</v>
      </c>
      <c r="H306" s="308">
        <v>53131108.024999999</v>
      </c>
      <c r="I306" s="506">
        <v>53427064.274999999</v>
      </c>
      <c r="J306" s="230">
        <f>J5+J36+J50+J100+J116+J188+J202+J213+J276</f>
        <v>54643156.350000001</v>
      </c>
      <c r="K306" s="139">
        <f>K5+K36+K50+K100+K116+K188+K202+K213+K276</f>
        <v>0</v>
      </c>
      <c r="L306" s="156">
        <f t="shared" si="75"/>
        <v>54643156.350000001</v>
      </c>
      <c r="M306" s="82">
        <f t="shared" ref="M306:Z306" si="88">M5+M36+M50+M100+M116+M188+M202+M213+M276</f>
        <v>1409307.5</v>
      </c>
      <c r="N306" s="83">
        <f t="shared" si="88"/>
        <v>53233848.850000001</v>
      </c>
      <c r="O306" s="82">
        <f t="shared" si="88"/>
        <v>4045242</v>
      </c>
      <c r="P306" s="83">
        <f t="shared" si="88"/>
        <v>188622.15</v>
      </c>
      <c r="Q306" s="86">
        <f t="shared" si="88"/>
        <v>337589</v>
      </c>
      <c r="R306" s="86">
        <f t="shared" si="88"/>
        <v>12573690.15</v>
      </c>
      <c r="S306" s="83">
        <f t="shared" si="88"/>
        <v>1158952.1499999999</v>
      </c>
      <c r="T306" s="86">
        <f t="shared" si="88"/>
        <v>671556.15</v>
      </c>
      <c r="U306" s="86">
        <f t="shared" si="88"/>
        <v>15595449.15</v>
      </c>
      <c r="V306" s="87">
        <f t="shared" si="88"/>
        <v>715711</v>
      </c>
      <c r="W306" s="338">
        <f t="shared" si="88"/>
        <v>741149.52500000002</v>
      </c>
      <c r="X306" s="86">
        <f t="shared" si="88"/>
        <v>1492918.5249999999</v>
      </c>
      <c r="Y306" s="86">
        <f t="shared" si="88"/>
        <v>1411347.5249999999</v>
      </c>
      <c r="Z306" s="87">
        <f t="shared" si="88"/>
        <v>15610929.025</v>
      </c>
    </row>
    <row r="307" spans="1:26" x14ac:dyDescent="0.25">
      <c r="B307" s="22"/>
      <c r="C307" s="23"/>
      <c r="D307" s="23"/>
      <c r="E307" s="24"/>
      <c r="F307" s="24"/>
      <c r="G307" s="24"/>
      <c r="H307" s="24"/>
      <c r="I307" s="24"/>
      <c r="J307" s="24"/>
      <c r="K307" s="24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B308" s="25"/>
      <c r="C308" s="26"/>
      <c r="D308" s="26"/>
      <c r="E308" s="24"/>
      <c r="F308" s="24"/>
      <c r="G308" s="24"/>
      <c r="H308" s="24"/>
      <c r="I308" s="24"/>
      <c r="J308" s="24"/>
      <c r="K308" s="24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20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20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20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20"/>
      <c r="B350" s="29"/>
      <c r="C350" s="23"/>
      <c r="D350" s="23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20"/>
      <c r="B352" s="27"/>
      <c r="C352" s="28"/>
      <c r="D352" s="28"/>
      <c r="E352" s="24"/>
      <c r="F352" s="24"/>
      <c r="G352" s="24"/>
      <c r="H352" s="24"/>
      <c r="I352" s="24"/>
      <c r="J352" s="24"/>
      <c r="K352" s="24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20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</row>
    <row r="369" spans="1:26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1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s="12" customFormat="1" x14ac:dyDescent="0.25">
      <c r="A370" s="121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49"/>
    </row>
    <row r="371" spans="1:26" s="12" customFormat="1" x14ac:dyDescent="0.25">
      <c r="A371" s="121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49"/>
    </row>
    <row r="372" spans="1:26" s="12" customFormat="1" x14ac:dyDescent="0.25">
      <c r="A372" s="121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49"/>
    </row>
    <row r="373" spans="1:26" s="12" customFormat="1" x14ac:dyDescent="0.25">
      <c r="A373" s="121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49"/>
    </row>
    <row r="374" spans="1:26" s="12" customFormat="1" x14ac:dyDescent="0.25">
      <c r="A374" s="121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49"/>
    </row>
    <row r="375" spans="1:26" s="12" customFormat="1" x14ac:dyDescent="0.25">
      <c r="A375" s="121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49"/>
    </row>
    <row r="376" spans="1:26" s="12" customFormat="1" x14ac:dyDescent="0.25">
      <c r="A376" s="121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49"/>
    </row>
    <row r="377" spans="1:26" s="12" customFormat="1" x14ac:dyDescent="0.25">
      <c r="A377" s="121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49"/>
    </row>
    <row r="378" spans="1:26" s="12" customFormat="1" x14ac:dyDescent="0.25">
      <c r="A378" s="121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49"/>
    </row>
    <row r="379" spans="1:26" s="12" customFormat="1" x14ac:dyDescent="0.25">
      <c r="A379" s="121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49"/>
    </row>
    <row r="380" spans="1:26" s="12" customFormat="1" x14ac:dyDescent="0.25">
      <c r="A380" s="121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49"/>
    </row>
    <row r="381" spans="1:26" s="12" customFormat="1" x14ac:dyDescent="0.25">
      <c r="A381" s="121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49"/>
    </row>
    <row r="382" spans="1:26" s="12" customFormat="1" x14ac:dyDescent="0.25">
      <c r="A382" s="121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49"/>
    </row>
    <row r="383" spans="1:26" s="12" customFormat="1" x14ac:dyDescent="0.25">
      <c r="A383" s="121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49"/>
    </row>
    <row r="384" spans="1:26" s="12" customFormat="1" x14ac:dyDescent="0.25">
      <c r="A384" s="121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49"/>
    </row>
    <row r="385" spans="1:26" s="12" customFormat="1" x14ac:dyDescent="0.25">
      <c r="A385" s="121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49"/>
    </row>
    <row r="386" spans="1:26" x14ac:dyDescent="0.25">
      <c r="B386" s="29"/>
      <c r="C386" s="23"/>
      <c r="D386" s="23"/>
      <c r="E386" s="28"/>
      <c r="F386" s="28"/>
      <c r="G386" s="28"/>
      <c r="H386" s="28"/>
      <c r="I386" s="28"/>
      <c r="J386" s="28"/>
      <c r="K386" s="28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x14ac:dyDescent="0.25">
      <c r="B387" s="30"/>
      <c r="C387" s="26"/>
      <c r="D387" s="26"/>
      <c r="E387" s="24"/>
      <c r="F387" s="24"/>
      <c r="G387" s="24"/>
      <c r="H387" s="24"/>
      <c r="I387" s="24"/>
      <c r="J387" s="24"/>
      <c r="K387" s="24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x14ac:dyDescent="0.25"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x14ac:dyDescent="0.25">
      <c r="B389" s="27"/>
      <c r="C389" s="28"/>
      <c r="D389" s="28"/>
      <c r="E389" s="24"/>
      <c r="F389" s="24"/>
      <c r="G389" s="24"/>
      <c r="H389" s="24"/>
      <c r="I389" s="24"/>
      <c r="J389" s="24"/>
      <c r="K389" s="24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x14ac:dyDescent="0.25"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x14ac:dyDescent="0.25"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x14ac:dyDescent="0.25"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x14ac:dyDescent="0.25"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x14ac:dyDescent="0.25"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2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0"/>
      <c r="B430" s="27"/>
      <c r="C430" s="28"/>
      <c r="D430" s="28"/>
      <c r="E430" s="24"/>
      <c r="F430" s="24"/>
      <c r="G430" s="24"/>
      <c r="H430" s="24"/>
      <c r="I430" s="24"/>
      <c r="J430" s="24"/>
      <c r="K430" s="24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0"/>
      <c r="B431" s="27"/>
      <c r="C431" s="28"/>
      <c r="D431" s="28"/>
      <c r="E431" s="24"/>
      <c r="F431" s="24"/>
      <c r="G431" s="24"/>
      <c r="H431" s="24"/>
      <c r="I431" s="24"/>
      <c r="J431" s="24"/>
      <c r="K431" s="24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0"/>
      <c r="B444" s="27"/>
      <c r="C444" s="28"/>
      <c r="D444" s="28"/>
      <c r="E444" s="24"/>
      <c r="F444" s="24"/>
      <c r="G444" s="24"/>
      <c r="H444" s="24"/>
      <c r="I444" s="24"/>
      <c r="J444" s="24"/>
      <c r="K444" s="24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0"/>
      <c r="B445" s="27"/>
      <c r="C445" s="28"/>
      <c r="D445" s="28"/>
      <c r="E445" s="24"/>
      <c r="F445" s="24"/>
      <c r="G445" s="24"/>
      <c r="H445" s="24"/>
      <c r="I445" s="24"/>
      <c r="J445" s="24"/>
      <c r="K445" s="24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0"/>
      <c r="B454" s="27"/>
      <c r="C454" s="28"/>
      <c r="D454" s="28"/>
      <c r="E454" s="24"/>
      <c r="F454" s="24"/>
      <c r="G454" s="24"/>
      <c r="H454" s="24"/>
      <c r="I454" s="24"/>
      <c r="J454" s="24"/>
      <c r="K454" s="24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0"/>
      <c r="B455" s="27"/>
      <c r="C455" s="28"/>
      <c r="D455" s="28"/>
      <c r="E455" s="24"/>
      <c r="F455" s="24"/>
      <c r="G455" s="24"/>
      <c r="H455" s="24"/>
      <c r="I455" s="24"/>
      <c r="J455" s="24"/>
      <c r="K455" s="24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0"/>
      <c r="B458" s="27"/>
      <c r="C458" s="28"/>
      <c r="D458" s="28"/>
      <c r="E458" s="24"/>
      <c r="F458" s="24"/>
      <c r="G458" s="24"/>
      <c r="H458" s="24"/>
      <c r="I458" s="24"/>
      <c r="J458" s="24"/>
      <c r="K458" s="24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0"/>
      <c r="B459" s="29"/>
      <c r="C459" s="23"/>
      <c r="D459" s="23"/>
      <c r="E459" s="24"/>
      <c r="F459" s="24"/>
      <c r="G459" s="24"/>
      <c r="H459" s="24"/>
      <c r="I459" s="24"/>
      <c r="J459" s="24"/>
      <c r="K459" s="24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0"/>
      <c r="B460" s="27"/>
      <c r="C460" s="28"/>
      <c r="D460" s="28"/>
      <c r="E460" s="24"/>
      <c r="F460" s="24"/>
      <c r="G460" s="24"/>
      <c r="H460" s="24"/>
      <c r="I460" s="24"/>
      <c r="J460" s="24"/>
      <c r="K460" s="24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0"/>
      <c r="B461" s="27"/>
      <c r="C461" s="28"/>
      <c r="D461" s="28"/>
      <c r="E461" s="24"/>
      <c r="F461" s="24"/>
      <c r="G461" s="24"/>
      <c r="H461" s="24"/>
      <c r="I461" s="24"/>
      <c r="J461" s="24"/>
      <c r="K461" s="24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0"/>
      <c r="B462" s="27"/>
      <c r="C462" s="28"/>
      <c r="D462" s="28"/>
      <c r="E462" s="24"/>
      <c r="F462" s="24"/>
      <c r="G462" s="24"/>
      <c r="H462" s="24"/>
      <c r="I462" s="24"/>
      <c r="J462" s="24"/>
      <c r="K462" s="24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0"/>
      <c r="B473" s="27"/>
      <c r="C473" s="28"/>
      <c r="D473" s="28"/>
      <c r="E473" s="24"/>
      <c r="F473" s="24"/>
      <c r="G473" s="24"/>
      <c r="H473" s="24"/>
      <c r="I473" s="24"/>
      <c r="J473" s="24"/>
      <c r="K473" s="24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0"/>
      <c r="B477" s="27"/>
      <c r="C477" s="24"/>
      <c r="D477" s="24"/>
      <c r="E477" s="28"/>
      <c r="F477" s="28"/>
      <c r="G477" s="28"/>
      <c r="H477" s="28"/>
      <c r="I477" s="28"/>
      <c r="J477" s="28"/>
      <c r="K477" s="28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20"/>
      <c r="B485" s="29"/>
      <c r="C485" s="23"/>
      <c r="D485" s="23"/>
      <c r="E485" s="24"/>
      <c r="F485" s="24"/>
      <c r="G485" s="24"/>
      <c r="H485" s="24"/>
      <c r="I485" s="24"/>
      <c r="J485" s="24"/>
      <c r="K485" s="24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20"/>
      <c r="B486" s="27"/>
      <c r="C486" s="28"/>
      <c r="D486" s="28"/>
      <c r="E486" s="24"/>
      <c r="F486" s="24"/>
      <c r="G486" s="24"/>
      <c r="H486" s="24"/>
      <c r="I486" s="24"/>
      <c r="J486" s="24"/>
      <c r="K486" s="24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20"/>
      <c r="B487" s="27"/>
      <c r="C487" s="28"/>
      <c r="D487" s="28"/>
      <c r="E487" s="24"/>
      <c r="F487" s="24"/>
      <c r="G487" s="24"/>
      <c r="H487" s="24"/>
      <c r="I487" s="24"/>
      <c r="J487" s="24"/>
      <c r="K487" s="24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20"/>
      <c r="B488" s="27"/>
      <c r="C488" s="28"/>
      <c r="D488" s="28"/>
      <c r="E488" s="24"/>
      <c r="F488" s="24"/>
      <c r="G488" s="24"/>
      <c r="H488" s="24"/>
      <c r="I488" s="24"/>
      <c r="J488" s="24"/>
      <c r="K488" s="24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20"/>
      <c r="B489" s="27"/>
      <c r="C489" s="28"/>
      <c r="D489" s="28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20"/>
      <c r="B490" s="27"/>
      <c r="C490" s="24"/>
      <c r="D490" s="24"/>
      <c r="E490" s="28"/>
      <c r="F490" s="28"/>
      <c r="G490" s="28"/>
      <c r="H490" s="28"/>
      <c r="I490" s="28"/>
      <c r="J490" s="28"/>
      <c r="K490" s="28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20"/>
      <c r="B491" s="27"/>
      <c r="C491" s="24"/>
      <c r="D491" s="24"/>
      <c r="E491" s="28"/>
      <c r="F491" s="28"/>
      <c r="G491" s="28"/>
      <c r="H491" s="28"/>
      <c r="I491" s="28"/>
      <c r="J491" s="28"/>
      <c r="K491" s="28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20"/>
      <c r="B492" s="27"/>
      <c r="C492" s="24"/>
      <c r="D492" s="24"/>
      <c r="E492" s="28"/>
      <c r="F492" s="28"/>
      <c r="G492" s="28"/>
      <c r="H492" s="28"/>
      <c r="I492" s="28"/>
      <c r="J492" s="28"/>
      <c r="K492" s="28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20"/>
      <c r="B493" s="27"/>
      <c r="C493" s="24"/>
      <c r="D493" s="24"/>
      <c r="E493" s="28"/>
      <c r="F493" s="28"/>
      <c r="G493" s="28"/>
      <c r="H493" s="28"/>
      <c r="I493" s="28"/>
      <c r="J493" s="28"/>
      <c r="K493" s="28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20"/>
      <c r="B494" s="27"/>
      <c r="C494" s="24"/>
      <c r="D494" s="24"/>
      <c r="E494" s="28"/>
      <c r="F494" s="28"/>
      <c r="G494" s="28"/>
      <c r="H494" s="28"/>
      <c r="I494" s="28"/>
      <c r="J494" s="28"/>
      <c r="K494" s="28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20"/>
      <c r="B495" s="27"/>
      <c r="C495" s="24"/>
      <c r="D495" s="24"/>
      <c r="E495" s="28"/>
      <c r="F495" s="28"/>
      <c r="G495" s="28"/>
      <c r="H495" s="28"/>
      <c r="I495" s="28"/>
      <c r="J495" s="28"/>
      <c r="K495" s="28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20"/>
      <c r="B496" s="27"/>
      <c r="C496" s="24"/>
      <c r="D496" s="24"/>
      <c r="E496" s="28"/>
      <c r="F496" s="28"/>
      <c r="G496" s="28"/>
      <c r="H496" s="28"/>
      <c r="I496" s="28"/>
      <c r="J496" s="28"/>
      <c r="K496" s="28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20"/>
      <c r="B497" s="27"/>
      <c r="C497" s="24"/>
      <c r="D497" s="24"/>
      <c r="E497" s="28"/>
      <c r="F497" s="28"/>
      <c r="G497" s="28"/>
      <c r="H497" s="28"/>
      <c r="I497" s="28"/>
      <c r="J497" s="28"/>
      <c r="K497" s="28"/>
      <c r="L497" s="58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20"/>
      <c r="B498" s="27"/>
      <c r="C498" s="24"/>
      <c r="D498" s="24"/>
      <c r="E498" s="28"/>
      <c r="F498" s="28"/>
      <c r="G498" s="28"/>
      <c r="H498" s="28"/>
      <c r="I498" s="28"/>
      <c r="J498" s="28"/>
      <c r="K498" s="28"/>
      <c r="L498" s="58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20"/>
      <c r="B499" s="27"/>
      <c r="C499" s="28"/>
      <c r="D499" s="28"/>
      <c r="E499" s="24"/>
      <c r="F499" s="24"/>
      <c r="G499" s="24"/>
      <c r="H499" s="24"/>
      <c r="I499" s="24"/>
      <c r="J499" s="24"/>
      <c r="K499" s="24"/>
      <c r="L499" s="58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20"/>
      <c r="B500" s="27"/>
      <c r="C500" s="24"/>
      <c r="D500" s="24"/>
      <c r="E500" s="28"/>
      <c r="F500" s="28"/>
      <c r="G500" s="28"/>
      <c r="H500" s="28"/>
      <c r="I500" s="28"/>
      <c r="J500" s="28"/>
      <c r="K500" s="28"/>
      <c r="L500" s="58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20"/>
      <c r="B501" s="27"/>
      <c r="C501" s="24"/>
      <c r="D501" s="24"/>
      <c r="E501" s="28"/>
      <c r="F501" s="28"/>
      <c r="G501" s="28"/>
      <c r="H501" s="28"/>
      <c r="I501" s="28"/>
      <c r="J501" s="28"/>
      <c r="K501" s="28"/>
      <c r="L501" s="58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x14ac:dyDescent="0.25">
      <c r="A502" s="120"/>
      <c r="B502" s="27"/>
      <c r="C502" s="24"/>
      <c r="D502" s="24"/>
      <c r="E502" s="28"/>
      <c r="F502" s="28"/>
      <c r="G502" s="28"/>
      <c r="H502" s="28"/>
      <c r="I502" s="28"/>
      <c r="J502" s="28"/>
      <c r="K502" s="28"/>
      <c r="L502" s="58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x14ac:dyDescent="0.25">
      <c r="A503" s="120"/>
      <c r="B503" s="27"/>
      <c r="C503" s="24"/>
      <c r="D503" s="24"/>
      <c r="E503" s="28"/>
      <c r="F503" s="28"/>
      <c r="G503" s="28"/>
      <c r="H503" s="28"/>
      <c r="I503" s="28"/>
      <c r="J503" s="28"/>
      <c r="K503" s="28"/>
      <c r="L503" s="58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x14ac:dyDescent="0.25">
      <c r="A504" s="120"/>
      <c r="B504" s="27"/>
      <c r="C504" s="24"/>
      <c r="D504" s="24"/>
      <c r="E504" s="28"/>
      <c r="F504" s="28"/>
      <c r="G504" s="28"/>
      <c r="H504" s="28"/>
      <c r="I504" s="28"/>
      <c r="J504" s="28"/>
      <c r="K504" s="28"/>
      <c r="L504" s="58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x14ac:dyDescent="0.25">
      <c r="A505" s="120"/>
      <c r="B505" s="27"/>
      <c r="C505" s="24"/>
      <c r="D505" s="24"/>
      <c r="E505" s="28"/>
      <c r="F505" s="28"/>
      <c r="G505" s="28"/>
      <c r="H505" s="28"/>
      <c r="I505" s="28"/>
      <c r="J505" s="28"/>
      <c r="K505" s="28"/>
      <c r="L505" s="58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x14ac:dyDescent="0.25">
      <c r="A506" s="120"/>
      <c r="B506" s="27"/>
      <c r="C506" s="24"/>
      <c r="D506" s="24"/>
      <c r="E506" s="28"/>
      <c r="F506" s="28"/>
      <c r="G506" s="28"/>
      <c r="H506" s="28"/>
      <c r="I506" s="28"/>
      <c r="J506" s="28"/>
      <c r="K506" s="28"/>
      <c r="L506" s="58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x14ac:dyDescent="0.25">
      <c r="A507" s="120"/>
      <c r="B507" s="27"/>
      <c r="C507" s="24"/>
      <c r="D507" s="24"/>
      <c r="E507" s="28"/>
      <c r="F507" s="28"/>
      <c r="G507" s="28"/>
      <c r="H507" s="28"/>
      <c r="I507" s="28"/>
      <c r="J507" s="28"/>
      <c r="K507" s="28"/>
      <c r="L507" s="58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x14ac:dyDescent="0.25">
      <c r="A508" s="120"/>
      <c r="B508" s="27"/>
      <c r="C508" s="24"/>
      <c r="D508" s="24"/>
      <c r="E508" s="28"/>
      <c r="F508" s="28"/>
      <c r="G508" s="28"/>
      <c r="H508" s="28"/>
      <c r="I508" s="28"/>
      <c r="J508" s="28"/>
      <c r="K508" s="28"/>
      <c r="L508" s="58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x14ac:dyDescent="0.25">
      <c r="A509" s="120"/>
      <c r="B509" s="27"/>
      <c r="C509" s="24"/>
      <c r="D509" s="24"/>
      <c r="E509" s="28"/>
      <c r="F509" s="28"/>
      <c r="G509" s="28"/>
      <c r="H509" s="28"/>
      <c r="I509" s="28"/>
      <c r="J509" s="28"/>
      <c r="K509" s="28"/>
      <c r="L509" s="58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x14ac:dyDescent="0.25">
      <c r="A510" s="120"/>
      <c r="B510" s="27"/>
      <c r="C510" s="24"/>
      <c r="D510" s="24"/>
      <c r="E510" s="28"/>
      <c r="F510" s="28"/>
      <c r="G510" s="28"/>
      <c r="H510" s="28"/>
      <c r="I510" s="28"/>
      <c r="J510" s="28"/>
      <c r="K510" s="28"/>
      <c r="L510" s="58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x14ac:dyDescent="0.25">
      <c r="A511" s="120"/>
      <c r="B511" s="29"/>
      <c r="C511" s="23"/>
      <c r="D511" s="23"/>
      <c r="E511" s="24"/>
      <c r="F511" s="24"/>
      <c r="G511" s="24"/>
      <c r="H511" s="24"/>
      <c r="I511" s="24"/>
      <c r="J511" s="24"/>
      <c r="K511" s="24"/>
      <c r="L511" s="58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x14ac:dyDescent="0.25">
      <c r="A512" s="120"/>
      <c r="B512" s="32"/>
      <c r="C512" s="33"/>
      <c r="D512" s="33"/>
      <c r="E512" s="24"/>
      <c r="F512" s="24"/>
      <c r="G512" s="24"/>
      <c r="H512" s="24"/>
      <c r="I512" s="24"/>
      <c r="J512" s="24"/>
      <c r="K512" s="24"/>
      <c r="L512" s="58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x14ac:dyDescent="0.25">
      <c r="A513" s="120"/>
      <c r="B513" s="34"/>
      <c r="C513" s="35"/>
      <c r="D513" s="35"/>
      <c r="E513" s="36"/>
      <c r="F513" s="36"/>
      <c r="G513" s="36"/>
      <c r="H513" s="36"/>
      <c r="I513" s="36"/>
      <c r="J513" s="36"/>
      <c r="K513" s="36"/>
      <c r="L513" s="58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x14ac:dyDescent="0.25">
      <c r="A514" s="120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58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x14ac:dyDescent="0.25">
      <c r="A515" s="120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58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x14ac:dyDescent="0.25">
      <c r="A516" s="120"/>
      <c r="B516" s="19"/>
      <c r="C516" s="37"/>
      <c r="D516" s="37"/>
      <c r="E516" s="24"/>
      <c r="F516" s="24"/>
      <c r="G516" s="24"/>
      <c r="H516" s="24"/>
      <c r="I516" s="24"/>
      <c r="J516" s="24"/>
      <c r="K516" s="24"/>
      <c r="L516" s="58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x14ac:dyDescent="0.25">
      <c r="A517" s="120"/>
      <c r="B517" s="34"/>
      <c r="C517" s="35"/>
      <c r="D517" s="35"/>
      <c r="E517" s="36"/>
      <c r="F517" s="36"/>
      <c r="G517" s="36"/>
      <c r="H517" s="36"/>
      <c r="I517" s="36"/>
      <c r="J517" s="36"/>
      <c r="K517" s="36"/>
      <c r="L517" s="58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x14ac:dyDescent="0.25">
      <c r="A518" s="120"/>
      <c r="B518" s="19"/>
      <c r="C518" s="37"/>
      <c r="D518" s="37"/>
      <c r="E518" s="24"/>
      <c r="F518" s="24"/>
      <c r="G518" s="24"/>
      <c r="H518" s="24"/>
      <c r="I518" s="24"/>
      <c r="J518" s="24"/>
      <c r="K518" s="24"/>
      <c r="L518" s="58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x14ac:dyDescent="0.25">
      <c r="A519" s="120"/>
      <c r="B519" s="19"/>
      <c r="C519" s="24"/>
      <c r="D519" s="24"/>
      <c r="E519" s="37"/>
      <c r="F519" s="37"/>
      <c r="G519" s="37"/>
      <c r="H519" s="37"/>
      <c r="I519" s="37"/>
      <c r="J519" s="37"/>
      <c r="K519" s="37"/>
    </row>
    <row r="520" spans="1:26" x14ac:dyDescent="0.25">
      <c r="A520" s="120"/>
      <c r="B520" s="19"/>
      <c r="C520" s="24"/>
      <c r="D520" s="24"/>
      <c r="E520" s="37"/>
      <c r="F520" s="37"/>
      <c r="G520" s="37"/>
      <c r="H520" s="37"/>
      <c r="I520" s="37"/>
      <c r="J520" s="37"/>
      <c r="K520" s="37"/>
    </row>
    <row r="521" spans="1:26" x14ac:dyDescent="0.25">
      <c r="A521" s="120"/>
      <c r="B521" s="19"/>
      <c r="C521" s="24"/>
      <c r="D521" s="24"/>
      <c r="E521" s="37"/>
      <c r="F521" s="37"/>
      <c r="G521" s="37"/>
      <c r="H521" s="37"/>
      <c r="I521" s="37"/>
      <c r="J521" s="37"/>
      <c r="K521" s="37"/>
    </row>
    <row r="522" spans="1:26" x14ac:dyDescent="0.25">
      <c r="A522" s="120"/>
      <c r="B522" s="19"/>
      <c r="C522" s="24"/>
      <c r="D522" s="24"/>
      <c r="E522" s="37"/>
      <c r="F522" s="37"/>
      <c r="G522" s="37"/>
      <c r="H522" s="37"/>
      <c r="I522" s="37"/>
      <c r="J522" s="37"/>
      <c r="K522" s="37"/>
    </row>
    <row r="523" spans="1:26" x14ac:dyDescent="0.25">
      <c r="A523" s="120"/>
      <c r="B523" s="19"/>
      <c r="C523" s="24"/>
      <c r="D523" s="24"/>
      <c r="E523" s="37"/>
      <c r="F523" s="37"/>
      <c r="G523" s="37"/>
      <c r="H523" s="37"/>
      <c r="I523" s="37"/>
      <c r="J523" s="37"/>
      <c r="K523" s="37"/>
    </row>
    <row r="524" spans="1:26" x14ac:dyDescent="0.25">
      <c r="A524" s="120"/>
      <c r="B524" s="19"/>
      <c r="C524" s="24"/>
      <c r="D524" s="24"/>
      <c r="E524" s="37"/>
      <c r="F524" s="37"/>
      <c r="G524" s="37"/>
      <c r="H524" s="37"/>
      <c r="I524" s="37"/>
      <c r="J524" s="37"/>
      <c r="K524" s="37"/>
    </row>
    <row r="525" spans="1:26" x14ac:dyDescent="0.25">
      <c r="A525" s="120"/>
      <c r="B525" s="34"/>
      <c r="C525" s="35"/>
      <c r="D525" s="35"/>
      <c r="E525" s="36"/>
      <c r="F525" s="36"/>
      <c r="G525" s="36"/>
      <c r="H525" s="36"/>
      <c r="I525" s="36"/>
      <c r="J525" s="36"/>
      <c r="K525" s="36"/>
    </row>
    <row r="526" spans="1:26" x14ac:dyDescent="0.25">
      <c r="A526" s="120"/>
      <c r="B526" s="19"/>
      <c r="C526" s="37"/>
      <c r="D526" s="37"/>
      <c r="E526" s="24"/>
      <c r="F526" s="24"/>
      <c r="G526" s="24"/>
      <c r="H526" s="24"/>
      <c r="I526" s="24"/>
      <c r="J526" s="24"/>
      <c r="K526" s="24"/>
    </row>
    <row r="527" spans="1:26" x14ac:dyDescent="0.25">
      <c r="A527" s="120"/>
      <c r="B527" s="19"/>
      <c r="C527" s="37"/>
      <c r="D527" s="37"/>
      <c r="E527" s="24"/>
      <c r="F527" s="24"/>
      <c r="G527" s="24"/>
      <c r="H527" s="24"/>
      <c r="I527" s="24"/>
      <c r="J527" s="24"/>
      <c r="K527" s="24"/>
    </row>
    <row r="528" spans="1:26" x14ac:dyDescent="0.25">
      <c r="A528" s="120"/>
      <c r="B528" s="19"/>
      <c r="C528" s="37"/>
      <c r="D528" s="37"/>
      <c r="E528" s="24"/>
      <c r="F528" s="24"/>
      <c r="G528" s="24"/>
      <c r="H528" s="24"/>
      <c r="I528" s="24"/>
      <c r="J528" s="24"/>
      <c r="K528" s="24"/>
    </row>
    <row r="529" spans="1:26" x14ac:dyDescent="0.25">
      <c r="B529" s="19"/>
      <c r="C529" s="37"/>
      <c r="D529" s="37"/>
      <c r="E529" s="24"/>
      <c r="F529" s="24"/>
      <c r="G529" s="24"/>
      <c r="H529" s="24"/>
      <c r="I529" s="24"/>
      <c r="J529" s="24"/>
      <c r="K529" s="24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s="12" customFormat="1" x14ac:dyDescent="0.25">
      <c r="A530" s="121"/>
      <c r="B530" s="19"/>
      <c r="C530" s="37"/>
      <c r="D530" s="37"/>
      <c r="E530" s="24"/>
      <c r="F530" s="24"/>
      <c r="G530" s="24"/>
      <c r="H530" s="24"/>
      <c r="I530" s="24"/>
      <c r="J530" s="24"/>
      <c r="K530" s="24"/>
      <c r="L530" s="49"/>
    </row>
    <row r="531" spans="1:26" s="12" customFormat="1" x14ac:dyDescent="0.25">
      <c r="A531" s="121"/>
      <c r="B531" s="32"/>
      <c r="C531" s="33"/>
      <c r="D531" s="33"/>
      <c r="E531" s="24"/>
      <c r="F531" s="24"/>
      <c r="G531" s="24"/>
      <c r="H531" s="24"/>
      <c r="I531" s="24"/>
      <c r="J531" s="24"/>
      <c r="K531" s="24"/>
      <c r="L531" s="49"/>
    </row>
    <row r="532" spans="1:26" s="12" customFormat="1" x14ac:dyDescent="0.25">
      <c r="A532" s="121"/>
      <c r="B532" s="19"/>
      <c r="C532" s="37"/>
      <c r="D532" s="37"/>
      <c r="E532" s="24"/>
      <c r="F532" s="24"/>
      <c r="G532" s="24"/>
      <c r="H532" s="24"/>
      <c r="I532" s="24"/>
      <c r="J532" s="24"/>
      <c r="K532" s="24"/>
      <c r="L532" s="49"/>
    </row>
    <row r="533" spans="1:26" s="12" customFormat="1" x14ac:dyDescent="0.25">
      <c r="A533" s="121"/>
      <c r="B533" s="19"/>
      <c r="C533" s="37"/>
      <c r="D533" s="37"/>
      <c r="E533" s="24"/>
      <c r="F533" s="24"/>
      <c r="G533" s="24"/>
      <c r="H533" s="24"/>
      <c r="I533" s="24"/>
      <c r="J533" s="24"/>
      <c r="K533" s="24"/>
      <c r="L533" s="49"/>
    </row>
    <row r="534" spans="1:26" s="12" customFormat="1" x14ac:dyDescent="0.25">
      <c r="A534" s="121"/>
      <c r="B534" s="19"/>
      <c r="C534" s="37"/>
      <c r="D534" s="37"/>
      <c r="E534" s="24"/>
      <c r="F534" s="24"/>
      <c r="G534" s="24"/>
      <c r="H534" s="24"/>
      <c r="I534" s="24"/>
      <c r="J534" s="24"/>
      <c r="K534" s="24"/>
      <c r="L534" s="49"/>
    </row>
    <row r="535" spans="1:26" s="12" customFormat="1" x14ac:dyDescent="0.25">
      <c r="A535" s="121"/>
      <c r="B535" s="19"/>
      <c r="C535" s="37"/>
      <c r="D535" s="37"/>
      <c r="E535" s="24"/>
      <c r="F535" s="24"/>
      <c r="G535" s="24"/>
      <c r="H535" s="24"/>
      <c r="I535" s="24"/>
      <c r="J535" s="24"/>
      <c r="K535" s="24"/>
      <c r="L535" s="49"/>
    </row>
    <row r="536" spans="1:26" s="12" customFormat="1" x14ac:dyDescent="0.25">
      <c r="A536" s="121"/>
      <c r="B536" s="19"/>
      <c r="C536" s="37"/>
      <c r="D536" s="37"/>
      <c r="E536" s="24"/>
      <c r="F536" s="24"/>
      <c r="G536" s="24"/>
      <c r="H536" s="24"/>
      <c r="I536" s="24"/>
      <c r="J536" s="24"/>
      <c r="K536" s="24"/>
      <c r="L536" s="49"/>
    </row>
    <row r="537" spans="1:26" s="12" customFormat="1" x14ac:dyDescent="0.25">
      <c r="A537" s="121"/>
      <c r="B537" s="19"/>
      <c r="C537" s="37"/>
      <c r="D537" s="37"/>
      <c r="E537" s="24"/>
      <c r="F537" s="24"/>
      <c r="G537" s="24"/>
      <c r="H537" s="24"/>
      <c r="I537" s="24"/>
      <c r="J537" s="24"/>
      <c r="K537" s="24"/>
      <c r="L537" s="49"/>
    </row>
    <row r="538" spans="1:26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x14ac:dyDescent="0.25">
      <c r="A749" s="120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8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x14ac:dyDescent="0.25">
      <c r="A750" s="120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8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x14ac:dyDescent="0.25">
      <c r="A751" s="120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8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x14ac:dyDescent="0.25">
      <c r="A752" s="120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8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x14ac:dyDescent="0.25">
      <c r="A753" s="120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8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x14ac:dyDescent="0.25">
      <c r="A754" s="120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8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x14ac:dyDescent="0.25">
      <c r="A755" s="120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8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x14ac:dyDescent="0.25">
      <c r="A756" s="120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8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x14ac:dyDescent="0.25">
      <c r="A757" s="120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8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x14ac:dyDescent="0.25">
      <c r="A758" s="120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8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x14ac:dyDescent="0.25">
      <c r="A759" s="120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8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x14ac:dyDescent="0.25">
      <c r="A760" s="120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8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x14ac:dyDescent="0.25">
      <c r="A761" s="120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8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x14ac:dyDescent="0.25">
      <c r="A762" s="120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8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x14ac:dyDescent="0.25">
      <c r="A763" s="120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8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x14ac:dyDescent="0.25">
      <c r="A764" s="120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8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x14ac:dyDescent="0.25">
      <c r="A765" s="120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8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x14ac:dyDescent="0.25">
      <c r="A766" s="120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8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x14ac:dyDescent="0.25">
      <c r="A767" s="120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8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x14ac:dyDescent="0.25">
      <c r="A768" s="120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8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x14ac:dyDescent="0.25">
      <c r="A769" s="120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8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x14ac:dyDescent="0.25">
      <c r="A770" s="120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8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</sheetData>
  <mergeCells count="247">
    <mergeCell ref="B306:E306"/>
    <mergeCell ref="M2:N3"/>
    <mergeCell ref="C300:E300"/>
    <mergeCell ref="C301:E301"/>
    <mergeCell ref="C302:E302"/>
    <mergeCell ref="C303:E303"/>
    <mergeCell ref="C304:E304"/>
    <mergeCell ref="C305:E305"/>
    <mergeCell ref="C294:E294"/>
    <mergeCell ref="C295:E295"/>
    <mergeCell ref="D296:E296"/>
    <mergeCell ref="D297:E297"/>
    <mergeCell ref="C298:E298"/>
    <mergeCell ref="C299:E299"/>
    <mergeCell ref="D288:E288"/>
    <mergeCell ref="C289:E289"/>
    <mergeCell ref="C290:E290"/>
    <mergeCell ref="C291:E291"/>
    <mergeCell ref="C292:E292"/>
    <mergeCell ref="C293:E293"/>
    <mergeCell ref="C282:E282"/>
    <mergeCell ref="D283:E283"/>
    <mergeCell ref="D284:E284"/>
    <mergeCell ref="D285:E285"/>
    <mergeCell ref="D286:E286"/>
    <mergeCell ref="D287:E287"/>
    <mergeCell ref="C276:E276"/>
    <mergeCell ref="C277:E277"/>
    <mergeCell ref="C278:E278"/>
    <mergeCell ref="D279:E279"/>
    <mergeCell ref="D280:E280"/>
    <mergeCell ref="D281:E281"/>
    <mergeCell ref="D270:E270"/>
    <mergeCell ref="D271:E271"/>
    <mergeCell ref="D272:E272"/>
    <mergeCell ref="D273:E273"/>
    <mergeCell ref="D274:E274"/>
    <mergeCell ref="D275:E275"/>
    <mergeCell ref="C264:E264"/>
    <mergeCell ref="C265:E265"/>
    <mergeCell ref="D266:E266"/>
    <mergeCell ref="D267:E267"/>
    <mergeCell ref="D268:E268"/>
    <mergeCell ref="D269:E269"/>
    <mergeCell ref="D258:E258"/>
    <mergeCell ref="D259:E259"/>
    <mergeCell ref="D260:E260"/>
    <mergeCell ref="D261:E261"/>
    <mergeCell ref="D262:E262"/>
    <mergeCell ref="C263:E263"/>
    <mergeCell ref="D252:E252"/>
    <mergeCell ref="D253:E253"/>
    <mergeCell ref="D254:E254"/>
    <mergeCell ref="D255:E255"/>
    <mergeCell ref="D256:E256"/>
    <mergeCell ref="D257:E257"/>
    <mergeCell ref="D246:E246"/>
    <mergeCell ref="D247:E247"/>
    <mergeCell ref="C248:E248"/>
    <mergeCell ref="D249:E249"/>
    <mergeCell ref="D250:E250"/>
    <mergeCell ref="C251:E251"/>
    <mergeCell ref="D240:E240"/>
    <mergeCell ref="D241:E241"/>
    <mergeCell ref="D242:E242"/>
    <mergeCell ref="D243:E243"/>
    <mergeCell ref="D244:E244"/>
    <mergeCell ref="D245:E245"/>
    <mergeCell ref="D234:E234"/>
    <mergeCell ref="D235:E235"/>
    <mergeCell ref="D236:E236"/>
    <mergeCell ref="C237:E237"/>
    <mergeCell ref="D238:E238"/>
    <mergeCell ref="D239:E239"/>
    <mergeCell ref="D228:E228"/>
    <mergeCell ref="D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C226:E226"/>
    <mergeCell ref="D227:E227"/>
    <mergeCell ref="D216:E216"/>
    <mergeCell ref="D217:E217"/>
    <mergeCell ref="D218:E218"/>
    <mergeCell ref="D219:E219"/>
    <mergeCell ref="D220:E220"/>
    <mergeCell ref="D221:E221"/>
    <mergeCell ref="C206:E206"/>
    <mergeCell ref="C207:E207"/>
    <mergeCell ref="C209:E209"/>
    <mergeCell ref="C213:E213"/>
    <mergeCell ref="C214:E214"/>
    <mergeCell ref="C215:E215"/>
    <mergeCell ref="C194:E194"/>
    <mergeCell ref="C197:E197"/>
    <mergeCell ref="C198:E198"/>
    <mergeCell ref="C199:E199"/>
    <mergeCell ref="C202:E202"/>
    <mergeCell ref="C203:E203"/>
    <mergeCell ref="C188:E188"/>
    <mergeCell ref="C189:E189"/>
    <mergeCell ref="C190:E190"/>
    <mergeCell ref="D191:E191"/>
    <mergeCell ref="D192:E192"/>
    <mergeCell ref="C193:E193"/>
    <mergeCell ref="D182:E182"/>
    <mergeCell ref="D183:E183"/>
    <mergeCell ref="D184:E184"/>
    <mergeCell ref="D185:E185"/>
    <mergeCell ref="D186:E186"/>
    <mergeCell ref="C187:E187"/>
    <mergeCell ref="C176:E176"/>
    <mergeCell ref="D177:E177"/>
    <mergeCell ref="D178:E178"/>
    <mergeCell ref="D179:E179"/>
    <mergeCell ref="D180:E180"/>
    <mergeCell ref="D181:E181"/>
    <mergeCell ref="D170:E170"/>
    <mergeCell ref="D171:E171"/>
    <mergeCell ref="D172:E172"/>
    <mergeCell ref="C173:E173"/>
    <mergeCell ref="C174:E174"/>
    <mergeCell ref="C175:E175"/>
    <mergeCell ref="D164:E164"/>
    <mergeCell ref="D165:E165"/>
    <mergeCell ref="D166:E166"/>
    <mergeCell ref="D167:E167"/>
    <mergeCell ref="D168:E168"/>
    <mergeCell ref="D169:E169"/>
    <mergeCell ref="C158:E158"/>
    <mergeCell ref="D159:E159"/>
    <mergeCell ref="D160:E160"/>
    <mergeCell ref="C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C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C136:E136"/>
    <mergeCell ref="D137:E137"/>
    <mergeCell ref="D138:E138"/>
    <mergeCell ref="D139:E139"/>
    <mergeCell ref="D128:E128"/>
    <mergeCell ref="D129:E129"/>
    <mergeCell ref="D130:E130"/>
    <mergeCell ref="D131:E131"/>
    <mergeCell ref="D132:E132"/>
    <mergeCell ref="D133:E133"/>
    <mergeCell ref="D119:E119"/>
    <mergeCell ref="C120:E120"/>
    <mergeCell ref="C124:E124"/>
    <mergeCell ref="C125:E125"/>
    <mergeCell ref="D126:E126"/>
    <mergeCell ref="D127:E127"/>
    <mergeCell ref="D113:E113"/>
    <mergeCell ref="D114:E114"/>
    <mergeCell ref="D115:E115"/>
    <mergeCell ref="C116:E116"/>
    <mergeCell ref="C117:E117"/>
    <mergeCell ref="D118:E118"/>
    <mergeCell ref="C107:E107"/>
    <mergeCell ref="D108:E108"/>
    <mergeCell ref="D109:E109"/>
    <mergeCell ref="D110:E110"/>
    <mergeCell ref="C111:E111"/>
    <mergeCell ref="D112:E112"/>
    <mergeCell ref="C101:E101"/>
    <mergeCell ref="C102:E102"/>
    <mergeCell ref="C103:E103"/>
    <mergeCell ref="C104:E104"/>
    <mergeCell ref="C105:E105"/>
    <mergeCell ref="C106:E106"/>
    <mergeCell ref="C94:E94"/>
    <mergeCell ref="C95:E95"/>
    <mergeCell ref="C96:E96"/>
    <mergeCell ref="C97:E97"/>
    <mergeCell ref="C100:E100"/>
    <mergeCell ref="C80:E80"/>
    <mergeCell ref="C82:E82"/>
    <mergeCell ref="C85:E85"/>
    <mergeCell ref="C86:E86"/>
    <mergeCell ref="C87:E87"/>
    <mergeCell ref="C90:E90"/>
    <mergeCell ref="D78:E78"/>
    <mergeCell ref="D79:E79"/>
    <mergeCell ref="C57:E57"/>
    <mergeCell ref="C58:E58"/>
    <mergeCell ref="C59:E59"/>
    <mergeCell ref="C60:E60"/>
    <mergeCell ref="C61:E61"/>
    <mergeCell ref="C62:E62"/>
    <mergeCell ref="C91:E91"/>
    <mergeCell ref="C72:E72"/>
    <mergeCell ref="C73:E73"/>
    <mergeCell ref="C74:E74"/>
    <mergeCell ref="C77:E77"/>
    <mergeCell ref="C52:E52"/>
    <mergeCell ref="C54:E54"/>
    <mergeCell ref="C36:E36"/>
    <mergeCell ref="C37:E37"/>
    <mergeCell ref="C40:E40"/>
    <mergeCell ref="C41:E41"/>
    <mergeCell ref="C42:E42"/>
    <mergeCell ref="C45:E45"/>
    <mergeCell ref="C35:E35"/>
    <mergeCell ref="C50:E50"/>
    <mergeCell ref="C51:E51"/>
    <mergeCell ref="J2:L2"/>
    <mergeCell ref="J3:J4"/>
    <mergeCell ref="K3:K4"/>
    <mergeCell ref="L3:L4"/>
    <mergeCell ref="C46:E46"/>
    <mergeCell ref="W2:Z3"/>
    <mergeCell ref="O2:V3"/>
    <mergeCell ref="C47:E47"/>
    <mergeCell ref="F2:F4"/>
    <mergeCell ref="G2:G4"/>
    <mergeCell ref="H2:H4"/>
    <mergeCell ref="I2:I4"/>
    <mergeCell ref="C5:E5"/>
    <mergeCell ref="C6:E6"/>
    <mergeCell ref="C32:E32"/>
    <mergeCell ref="C33:E33"/>
    <mergeCell ref="C34:E34"/>
    <mergeCell ref="B2:E4"/>
  </mergeCells>
  <pageMargins left="0.25" right="0.25" top="0.75" bottom="0.75" header="0.3" footer="0.3"/>
  <pageSetup paperSize="9" scale="35" orientation="landscape" horizontalDpi="4294967293" r:id="rId1"/>
  <headerFooter>
    <oddHeader>&amp;C&amp;"Times New Roman,Félkövér"&amp;12KözművelődésKiadások - 2018. év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34"/>
  <sheetViews>
    <sheetView view="pageLayout" topLeftCell="H161" zoomScale="80" zoomScaleNormal="82" zoomScalePageLayoutView="80" workbookViewId="0">
      <selection activeCell="AB161" sqref="AB161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1.42578125" style="12" customWidth="1"/>
    <col min="10" max="10" width="11" style="12" customWidth="1"/>
    <col min="11" max="11" width="9.28515625" style="12" customWidth="1"/>
    <col min="12" max="12" width="11.7109375" style="49" customWidth="1"/>
    <col min="13" max="14" width="10.42578125" style="12" customWidth="1"/>
    <col min="15" max="15" width="9" style="12" customWidth="1"/>
    <col min="16" max="16" width="9.5703125" style="12" customWidth="1"/>
    <col min="17" max="17" width="8.85546875" style="12" customWidth="1"/>
    <col min="18" max="18" width="11" style="12" customWidth="1"/>
    <col min="19" max="26" width="10.140625" style="12" bestFit="1" customWidth="1"/>
    <col min="27" max="27" width="12" style="12" customWidth="1"/>
    <col min="28" max="28" width="10.7109375" style="12" bestFit="1" customWidth="1"/>
    <col min="29" max="29" width="10.140625" style="12" bestFit="1" customWidth="1"/>
    <col min="30" max="30" width="11.28515625" style="12" bestFit="1" customWidth="1"/>
    <col min="31" max="16384" width="9.140625" style="17"/>
  </cols>
  <sheetData>
    <row r="1" spans="1:30" ht="15.75" thickBot="1" x14ac:dyDescent="0.3">
      <c r="AD1" s="11" t="s">
        <v>827</v>
      </c>
    </row>
    <row r="2" spans="1:30" ht="15" customHeight="1" x14ac:dyDescent="0.25">
      <c r="B2" s="677" t="s">
        <v>0</v>
      </c>
      <c r="C2" s="668"/>
      <c r="D2" s="668"/>
      <c r="E2" s="668"/>
      <c r="F2" s="669" t="s">
        <v>1049</v>
      </c>
      <c r="G2" s="669" t="s">
        <v>1052</v>
      </c>
      <c r="H2" s="669" t="s">
        <v>1054</v>
      </c>
      <c r="I2" s="669" t="s">
        <v>1055</v>
      </c>
      <c r="J2" s="691" t="s">
        <v>1041</v>
      </c>
      <c r="K2" s="683"/>
      <c r="L2" s="684"/>
      <c r="M2" s="683" t="s">
        <v>1046</v>
      </c>
      <c r="N2" s="683"/>
      <c r="O2" s="683"/>
      <c r="P2" s="683"/>
      <c r="Q2" s="683"/>
      <c r="R2" s="684"/>
      <c r="S2" s="661" t="s">
        <v>1053</v>
      </c>
      <c r="T2" s="668"/>
      <c r="U2" s="668"/>
      <c r="V2" s="668"/>
      <c r="W2" s="668"/>
      <c r="X2" s="668"/>
      <c r="Y2" s="668"/>
      <c r="Z2" s="669"/>
      <c r="AA2" s="668" t="s">
        <v>1042</v>
      </c>
      <c r="AB2" s="668"/>
      <c r="AC2" s="668"/>
      <c r="AD2" s="669"/>
    </row>
    <row r="3" spans="1:30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742" t="s">
        <v>974</v>
      </c>
      <c r="N3" s="732" t="s">
        <v>856</v>
      </c>
      <c r="O3" s="732" t="s">
        <v>973</v>
      </c>
      <c r="P3" s="732" t="s">
        <v>975</v>
      </c>
      <c r="Q3" s="732" t="s">
        <v>1031</v>
      </c>
      <c r="R3" s="733" t="s">
        <v>976</v>
      </c>
      <c r="S3" s="672"/>
      <c r="T3" s="670"/>
      <c r="U3" s="670"/>
      <c r="V3" s="670"/>
      <c r="W3" s="670"/>
      <c r="X3" s="670"/>
      <c r="Y3" s="670"/>
      <c r="Z3" s="671"/>
      <c r="AA3" s="670"/>
      <c r="AB3" s="670"/>
      <c r="AC3" s="670"/>
      <c r="AD3" s="671"/>
    </row>
    <row r="4" spans="1:30" ht="58.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743"/>
      <c r="N4" s="667"/>
      <c r="O4" s="667"/>
      <c r="P4" s="667"/>
      <c r="Q4" s="667"/>
      <c r="R4" s="734"/>
      <c r="S4" s="122" t="s">
        <v>592</v>
      </c>
      <c r="T4" s="63" t="s">
        <v>593</v>
      </c>
      <c r="U4" s="408" t="s">
        <v>594</v>
      </c>
      <c r="V4" s="408" t="s">
        <v>595</v>
      </c>
      <c r="W4" s="80" t="s">
        <v>596</v>
      </c>
      <c r="X4" s="408" t="s">
        <v>597</v>
      </c>
      <c r="Y4" s="408" t="s">
        <v>598</v>
      </c>
      <c r="Z4" s="390" t="s">
        <v>599</v>
      </c>
      <c r="AA4" s="389" t="s">
        <v>600</v>
      </c>
      <c r="AB4" s="408" t="s">
        <v>601</v>
      </c>
      <c r="AC4" s="408" t="s">
        <v>602</v>
      </c>
      <c r="AD4" s="390" t="s">
        <v>603</v>
      </c>
    </row>
    <row r="5" spans="1:30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AD5" si="0">K6+K20</f>
        <v>0</v>
      </c>
      <c r="L5" s="156">
        <f>SUM(J5:K5)</f>
        <v>0</v>
      </c>
      <c r="M5" s="85">
        <f t="shared" ref="M5:R5" si="1">M6+M20</f>
        <v>0</v>
      </c>
      <c r="N5" s="83">
        <f t="shared" si="1"/>
        <v>0</v>
      </c>
      <c r="O5" s="83">
        <f t="shared" si="1"/>
        <v>0</v>
      </c>
      <c r="P5" s="83">
        <f t="shared" si="1"/>
        <v>0</v>
      </c>
      <c r="Q5" s="83"/>
      <c r="R5" s="83">
        <f t="shared" si="1"/>
        <v>0</v>
      </c>
      <c r="S5" s="82">
        <f t="shared" si="0"/>
        <v>0</v>
      </c>
      <c r="T5" s="83">
        <f t="shared" si="0"/>
        <v>0</v>
      </c>
      <c r="U5" s="86">
        <f t="shared" si="0"/>
        <v>0</v>
      </c>
      <c r="V5" s="86">
        <f t="shared" si="0"/>
        <v>0</v>
      </c>
      <c r="W5" s="83">
        <f t="shared" si="0"/>
        <v>0</v>
      </c>
      <c r="X5" s="86">
        <f t="shared" si="0"/>
        <v>0</v>
      </c>
      <c r="Y5" s="86">
        <f t="shared" si="0"/>
        <v>0</v>
      </c>
      <c r="Z5" s="87">
        <f t="shared" si="0"/>
        <v>0</v>
      </c>
      <c r="AA5" s="338">
        <f t="shared" si="0"/>
        <v>0</v>
      </c>
      <c r="AB5" s="86">
        <f t="shared" si="0"/>
        <v>0</v>
      </c>
      <c r="AC5" s="86">
        <f t="shared" si="0"/>
        <v>0</v>
      </c>
      <c r="AD5" s="87">
        <f t="shared" si="0"/>
        <v>0</v>
      </c>
    </row>
    <row r="6" spans="1:30" ht="15.75" hidden="1" customHeight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AD6" si="2">K7+K8+K9+K10+K11+K12+K13+K14+K15+K16+K17+K18+K19</f>
        <v>0</v>
      </c>
      <c r="L6" s="157">
        <f t="shared" ref="L6:L69" si="3">SUM(J6:K6)</f>
        <v>0</v>
      </c>
      <c r="M6" s="112">
        <f t="shared" ref="M6:R6" si="4">M7+M8+M9+M10+M11+M12+M13+M14+M15+M16+M17+M18+M19</f>
        <v>0</v>
      </c>
      <c r="N6" s="110">
        <f t="shared" si="4"/>
        <v>0</v>
      </c>
      <c r="O6" s="110">
        <f t="shared" si="4"/>
        <v>0</v>
      </c>
      <c r="P6" s="110">
        <f t="shared" si="4"/>
        <v>0</v>
      </c>
      <c r="Q6" s="110"/>
      <c r="R6" s="110">
        <f t="shared" si="4"/>
        <v>0</v>
      </c>
      <c r="S6" s="109">
        <f t="shared" si="2"/>
        <v>0</v>
      </c>
      <c r="T6" s="110">
        <f t="shared" si="2"/>
        <v>0</v>
      </c>
      <c r="U6" s="113">
        <f t="shared" si="2"/>
        <v>0</v>
      </c>
      <c r="V6" s="113">
        <f t="shared" si="2"/>
        <v>0</v>
      </c>
      <c r="W6" s="110">
        <f t="shared" si="2"/>
        <v>0</v>
      </c>
      <c r="X6" s="113">
        <f t="shared" si="2"/>
        <v>0</v>
      </c>
      <c r="Y6" s="113">
        <f t="shared" si="2"/>
        <v>0</v>
      </c>
      <c r="Z6" s="114">
        <f t="shared" si="2"/>
        <v>0</v>
      </c>
      <c r="AA6" s="339">
        <f t="shared" si="2"/>
        <v>0</v>
      </c>
      <c r="AB6" s="113">
        <f t="shared" si="2"/>
        <v>0</v>
      </c>
      <c r="AC6" s="113">
        <f t="shared" si="2"/>
        <v>0</v>
      </c>
      <c r="AD6" s="114">
        <f t="shared" si="2"/>
        <v>0</v>
      </c>
    </row>
    <row r="7" spans="1:30" s="199" customFormat="1" ht="15.75" hidden="1" customHeight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SUM(S7:AD7)</f>
        <v>0</v>
      </c>
      <c r="K7" s="182"/>
      <c r="L7" s="183">
        <f t="shared" si="3"/>
        <v>0</v>
      </c>
      <c r="M7" s="184"/>
      <c r="N7" s="185"/>
      <c r="O7" s="185"/>
      <c r="P7" s="185"/>
      <c r="Q7" s="185"/>
      <c r="R7" s="185"/>
      <c r="S7" s="191"/>
      <c r="T7" s="185"/>
      <c r="U7" s="186"/>
      <c r="V7" s="186"/>
      <c r="W7" s="185"/>
      <c r="X7" s="186"/>
      <c r="Y7" s="186"/>
      <c r="Z7" s="187"/>
      <c r="AA7" s="340"/>
      <c r="AB7" s="186"/>
      <c r="AC7" s="186"/>
      <c r="AD7" s="187"/>
    </row>
    <row r="8" spans="1:30" s="199" customFormat="1" ht="15.75" hidden="1" customHeight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5">SUM(S8:AD8)</f>
        <v>0</v>
      </c>
      <c r="K8" s="182"/>
      <c r="L8" s="183">
        <f t="shared" si="3"/>
        <v>0</v>
      </c>
      <c r="M8" s="184"/>
      <c r="N8" s="185"/>
      <c r="O8" s="185"/>
      <c r="P8" s="185"/>
      <c r="Q8" s="185"/>
      <c r="R8" s="185"/>
      <c r="S8" s="191"/>
      <c r="T8" s="185"/>
      <c r="U8" s="186"/>
      <c r="V8" s="186"/>
      <c r="W8" s="185"/>
      <c r="X8" s="186"/>
      <c r="Y8" s="186"/>
      <c r="Z8" s="187"/>
      <c r="AA8" s="340"/>
      <c r="AB8" s="186"/>
      <c r="AC8" s="186"/>
      <c r="AD8" s="187"/>
    </row>
    <row r="9" spans="1:30" s="199" customFormat="1" ht="15.75" hidden="1" customHeight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5"/>
        <v>0</v>
      </c>
      <c r="K9" s="182"/>
      <c r="L9" s="183">
        <f t="shared" si="3"/>
        <v>0</v>
      </c>
      <c r="M9" s="184"/>
      <c r="N9" s="185"/>
      <c r="O9" s="185"/>
      <c r="P9" s="185"/>
      <c r="Q9" s="185"/>
      <c r="R9" s="185"/>
      <c r="S9" s="191"/>
      <c r="T9" s="185"/>
      <c r="U9" s="186"/>
      <c r="V9" s="186"/>
      <c r="W9" s="185"/>
      <c r="X9" s="186"/>
      <c r="Y9" s="186"/>
      <c r="Z9" s="187"/>
      <c r="AA9" s="340"/>
      <c r="AB9" s="186"/>
      <c r="AC9" s="186"/>
      <c r="AD9" s="187"/>
    </row>
    <row r="10" spans="1:30" s="199" customFormat="1" ht="15.75" hidden="1" customHeight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5"/>
        <v>0</v>
      </c>
      <c r="K10" s="182"/>
      <c r="L10" s="183">
        <f t="shared" si="3"/>
        <v>0</v>
      </c>
      <c r="M10" s="184"/>
      <c r="N10" s="185"/>
      <c r="O10" s="185"/>
      <c r="P10" s="185"/>
      <c r="Q10" s="185"/>
      <c r="R10" s="185"/>
      <c r="S10" s="191"/>
      <c r="T10" s="185"/>
      <c r="U10" s="186"/>
      <c r="V10" s="186"/>
      <c r="W10" s="185"/>
      <c r="X10" s="186"/>
      <c r="Y10" s="186"/>
      <c r="Z10" s="187"/>
      <c r="AA10" s="340"/>
      <c r="AB10" s="186"/>
      <c r="AC10" s="186"/>
      <c r="AD10" s="187"/>
    </row>
    <row r="11" spans="1:30" s="199" customFormat="1" ht="15.75" hidden="1" customHeight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5"/>
        <v>0</v>
      </c>
      <c r="K11" s="182"/>
      <c r="L11" s="183">
        <f t="shared" si="3"/>
        <v>0</v>
      </c>
      <c r="M11" s="184"/>
      <c r="N11" s="185"/>
      <c r="O11" s="185"/>
      <c r="P11" s="185"/>
      <c r="Q11" s="185"/>
      <c r="R11" s="185"/>
      <c r="S11" s="191"/>
      <c r="T11" s="185"/>
      <c r="U11" s="186"/>
      <c r="V11" s="186"/>
      <c r="W11" s="185"/>
      <c r="X11" s="186"/>
      <c r="Y11" s="186"/>
      <c r="Z11" s="187"/>
      <c r="AA11" s="340"/>
      <c r="AB11" s="186"/>
      <c r="AC11" s="186"/>
      <c r="AD11" s="187"/>
    </row>
    <row r="12" spans="1:30" s="199" customFormat="1" ht="15.75" hidden="1" customHeight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5"/>
        <v>0</v>
      </c>
      <c r="K12" s="182"/>
      <c r="L12" s="183">
        <f t="shared" si="3"/>
        <v>0</v>
      </c>
      <c r="M12" s="184"/>
      <c r="N12" s="185"/>
      <c r="O12" s="185"/>
      <c r="P12" s="185"/>
      <c r="Q12" s="185"/>
      <c r="R12" s="185"/>
      <c r="S12" s="191"/>
      <c r="T12" s="185"/>
      <c r="U12" s="186"/>
      <c r="V12" s="186"/>
      <c r="W12" s="185"/>
      <c r="X12" s="186"/>
      <c r="Y12" s="186"/>
      <c r="Z12" s="187"/>
      <c r="AA12" s="340"/>
      <c r="AB12" s="186"/>
      <c r="AC12" s="186"/>
      <c r="AD12" s="187"/>
    </row>
    <row r="13" spans="1:30" s="199" customFormat="1" ht="15.75" hidden="1" customHeight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5"/>
        <v>0</v>
      </c>
      <c r="K13" s="182"/>
      <c r="L13" s="183">
        <f t="shared" si="3"/>
        <v>0</v>
      </c>
      <c r="M13" s="184"/>
      <c r="N13" s="185"/>
      <c r="O13" s="185"/>
      <c r="P13" s="185"/>
      <c r="Q13" s="185"/>
      <c r="R13" s="185"/>
      <c r="S13" s="191"/>
      <c r="T13" s="185"/>
      <c r="U13" s="186"/>
      <c r="V13" s="186"/>
      <c r="W13" s="185"/>
      <c r="X13" s="186"/>
      <c r="Y13" s="186"/>
      <c r="Z13" s="187"/>
      <c r="AA13" s="340"/>
      <c r="AB13" s="186"/>
      <c r="AC13" s="186"/>
      <c r="AD13" s="187"/>
    </row>
    <row r="14" spans="1:30" s="199" customFormat="1" ht="15.75" hidden="1" customHeight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5"/>
        <v>0</v>
      </c>
      <c r="K14" s="182"/>
      <c r="L14" s="183">
        <f t="shared" si="3"/>
        <v>0</v>
      </c>
      <c r="M14" s="184"/>
      <c r="N14" s="185"/>
      <c r="O14" s="185"/>
      <c r="P14" s="185"/>
      <c r="Q14" s="185"/>
      <c r="R14" s="185"/>
      <c r="S14" s="191"/>
      <c r="T14" s="185"/>
      <c r="U14" s="186"/>
      <c r="V14" s="186"/>
      <c r="W14" s="185"/>
      <c r="X14" s="186"/>
      <c r="Y14" s="186"/>
      <c r="Z14" s="187"/>
      <c r="AA14" s="340"/>
      <c r="AB14" s="186"/>
      <c r="AC14" s="186"/>
      <c r="AD14" s="187"/>
    </row>
    <row r="15" spans="1:30" s="199" customFormat="1" ht="15.75" hidden="1" customHeight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5"/>
        <v>0</v>
      </c>
      <c r="K15" s="182"/>
      <c r="L15" s="183">
        <f t="shared" si="3"/>
        <v>0</v>
      </c>
      <c r="M15" s="184"/>
      <c r="N15" s="185"/>
      <c r="O15" s="185"/>
      <c r="P15" s="185"/>
      <c r="Q15" s="185"/>
      <c r="R15" s="185"/>
      <c r="S15" s="191"/>
      <c r="T15" s="185"/>
      <c r="U15" s="186"/>
      <c r="V15" s="186"/>
      <c r="W15" s="185"/>
      <c r="X15" s="186"/>
      <c r="Y15" s="186"/>
      <c r="Z15" s="187"/>
      <c r="AA15" s="340"/>
      <c r="AB15" s="186"/>
      <c r="AC15" s="186"/>
      <c r="AD15" s="187"/>
    </row>
    <row r="16" spans="1:30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5"/>
        <v>0</v>
      </c>
      <c r="K16" s="182"/>
      <c r="L16" s="183">
        <f t="shared" si="3"/>
        <v>0</v>
      </c>
      <c r="M16" s="184"/>
      <c r="N16" s="185"/>
      <c r="O16" s="185"/>
      <c r="P16" s="185"/>
      <c r="Q16" s="185"/>
      <c r="R16" s="185"/>
      <c r="S16" s="191"/>
      <c r="T16" s="185"/>
      <c r="U16" s="186"/>
      <c r="V16" s="186"/>
      <c r="W16" s="185"/>
      <c r="X16" s="186"/>
      <c r="Y16" s="186"/>
      <c r="Z16" s="187"/>
      <c r="AA16" s="340"/>
      <c r="AB16" s="186"/>
      <c r="AC16" s="186"/>
      <c r="AD16" s="187"/>
    </row>
    <row r="17" spans="1:30" s="199" customFormat="1" ht="15.75" hidden="1" customHeight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5"/>
        <v>0</v>
      </c>
      <c r="K17" s="182"/>
      <c r="L17" s="183">
        <f t="shared" si="3"/>
        <v>0</v>
      </c>
      <c r="M17" s="184"/>
      <c r="N17" s="185"/>
      <c r="O17" s="185"/>
      <c r="P17" s="185"/>
      <c r="Q17" s="185"/>
      <c r="R17" s="185"/>
      <c r="S17" s="191"/>
      <c r="T17" s="185"/>
      <c r="U17" s="186"/>
      <c r="V17" s="186"/>
      <c r="W17" s="185"/>
      <c r="X17" s="186"/>
      <c r="Y17" s="186"/>
      <c r="Z17" s="187"/>
      <c r="AA17" s="340"/>
      <c r="AB17" s="186"/>
      <c r="AC17" s="186"/>
      <c r="AD17" s="187"/>
    </row>
    <row r="18" spans="1:30" s="199" customFormat="1" ht="15.75" hidden="1" customHeight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5"/>
        <v>0</v>
      </c>
      <c r="K18" s="182"/>
      <c r="L18" s="183">
        <f t="shared" si="3"/>
        <v>0</v>
      </c>
      <c r="M18" s="184"/>
      <c r="N18" s="185"/>
      <c r="O18" s="185"/>
      <c r="P18" s="185"/>
      <c r="Q18" s="185"/>
      <c r="R18" s="185"/>
      <c r="S18" s="191"/>
      <c r="T18" s="185"/>
      <c r="U18" s="186"/>
      <c r="V18" s="186"/>
      <c r="W18" s="185"/>
      <c r="X18" s="186"/>
      <c r="Y18" s="186"/>
      <c r="Z18" s="187"/>
      <c r="AA18" s="340"/>
      <c r="AB18" s="186"/>
      <c r="AC18" s="186"/>
      <c r="AD18" s="187"/>
    </row>
    <row r="19" spans="1:30" s="199" customFormat="1" ht="15.75" hidden="1" customHeight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5"/>
        <v>0</v>
      </c>
      <c r="K19" s="182"/>
      <c r="L19" s="183">
        <f t="shared" si="3"/>
        <v>0</v>
      </c>
      <c r="M19" s="184"/>
      <c r="N19" s="185"/>
      <c r="O19" s="185"/>
      <c r="P19" s="185"/>
      <c r="Q19" s="185"/>
      <c r="R19" s="185"/>
      <c r="S19" s="191"/>
      <c r="T19" s="185"/>
      <c r="U19" s="186"/>
      <c r="V19" s="186"/>
      <c r="W19" s="185"/>
      <c r="X19" s="186"/>
      <c r="Y19" s="186"/>
      <c r="Z19" s="187"/>
      <c r="AA19" s="340"/>
      <c r="AB19" s="186"/>
      <c r="AC19" s="186"/>
      <c r="AD19" s="187"/>
    </row>
    <row r="20" spans="1:30" ht="15.75" hidden="1" customHeight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AD20" si="6">K21+K22+K23</f>
        <v>0</v>
      </c>
      <c r="L20" s="158">
        <f t="shared" si="3"/>
        <v>0</v>
      </c>
      <c r="M20" s="93">
        <f t="shared" ref="M20:R20" si="7">M21+M22+M23</f>
        <v>0</v>
      </c>
      <c r="N20" s="91">
        <f t="shared" si="7"/>
        <v>0</v>
      </c>
      <c r="O20" s="91">
        <f t="shared" si="7"/>
        <v>0</v>
      </c>
      <c r="P20" s="91">
        <f t="shared" si="7"/>
        <v>0</v>
      </c>
      <c r="Q20" s="91"/>
      <c r="R20" s="91">
        <f t="shared" si="7"/>
        <v>0</v>
      </c>
      <c r="S20" s="90">
        <f t="shared" si="6"/>
        <v>0</v>
      </c>
      <c r="T20" s="91">
        <f t="shared" si="6"/>
        <v>0</v>
      </c>
      <c r="U20" s="94">
        <f t="shared" si="6"/>
        <v>0</v>
      </c>
      <c r="V20" s="94">
        <f t="shared" si="6"/>
        <v>0</v>
      </c>
      <c r="W20" s="91">
        <f t="shared" si="6"/>
        <v>0</v>
      </c>
      <c r="X20" s="94">
        <f t="shared" si="6"/>
        <v>0</v>
      </c>
      <c r="Y20" s="94">
        <f t="shared" si="6"/>
        <v>0</v>
      </c>
      <c r="Z20" s="95">
        <f t="shared" si="6"/>
        <v>0</v>
      </c>
      <c r="AA20" s="341">
        <f t="shared" si="6"/>
        <v>0</v>
      </c>
      <c r="AB20" s="94">
        <f t="shared" si="6"/>
        <v>0</v>
      </c>
      <c r="AC20" s="94">
        <f t="shared" si="6"/>
        <v>0</v>
      </c>
      <c r="AD20" s="95">
        <f t="shared" si="6"/>
        <v>0</v>
      </c>
    </row>
    <row r="21" spans="1:30" s="41" customFormat="1" ht="15.75" hidden="1" customHeight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SUM(S21:AD21)</f>
        <v>0</v>
      </c>
      <c r="K21" s="148"/>
      <c r="L21" s="160">
        <f t="shared" si="3"/>
        <v>0</v>
      </c>
      <c r="M21" s="43"/>
      <c r="N21" s="13"/>
      <c r="O21" s="13"/>
      <c r="P21" s="13"/>
      <c r="Q21" s="13"/>
      <c r="R21" s="13"/>
      <c r="S21" s="74"/>
      <c r="T21" s="13"/>
      <c r="U21" s="79"/>
      <c r="V21" s="79"/>
      <c r="W21" s="13"/>
      <c r="X21" s="79"/>
      <c r="Y21" s="79"/>
      <c r="Z21" s="45"/>
      <c r="AA21" s="342"/>
      <c r="AB21" s="79"/>
      <c r="AC21" s="79"/>
      <c r="AD21" s="45"/>
    </row>
    <row r="22" spans="1:30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SUM(S22:AD22)</f>
        <v>0</v>
      </c>
      <c r="K22" s="148"/>
      <c r="L22" s="160">
        <f t="shared" si="3"/>
        <v>0</v>
      </c>
      <c r="M22" s="43"/>
      <c r="N22" s="13"/>
      <c r="O22" s="13"/>
      <c r="P22" s="13"/>
      <c r="Q22" s="13"/>
      <c r="R22" s="13"/>
      <c r="S22" s="74"/>
      <c r="T22" s="13"/>
      <c r="U22" s="79"/>
      <c r="V22" s="79"/>
      <c r="W22" s="13"/>
      <c r="X22" s="79"/>
      <c r="Y22" s="79"/>
      <c r="Z22" s="45"/>
      <c r="AA22" s="342"/>
      <c r="AB22" s="79"/>
      <c r="AC22" s="79"/>
      <c r="AD22" s="45"/>
    </row>
    <row r="23" spans="1:30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SUM(S23:AD23)</f>
        <v>0</v>
      </c>
      <c r="K23" s="189"/>
      <c r="L23" s="160">
        <f t="shared" si="3"/>
        <v>0</v>
      </c>
      <c r="M23" s="43"/>
      <c r="N23" s="13"/>
      <c r="O23" s="13"/>
      <c r="P23" s="13"/>
      <c r="Q23" s="13"/>
      <c r="R23" s="13"/>
      <c r="S23" s="74"/>
      <c r="T23" s="13"/>
      <c r="U23" s="79"/>
      <c r="V23" s="79"/>
      <c r="W23" s="13"/>
      <c r="X23" s="79"/>
      <c r="Y23" s="79"/>
      <c r="Z23" s="45"/>
      <c r="AA23" s="342"/>
      <c r="AB23" s="79"/>
      <c r="AC23" s="79"/>
      <c r="AD23" s="45"/>
    </row>
    <row r="24" spans="1:30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AD24" si="8">K25+K26+K27+K28+K29+K30+K31</f>
        <v>0</v>
      </c>
      <c r="L24" s="156">
        <f t="shared" si="3"/>
        <v>0</v>
      </c>
      <c r="M24" s="85">
        <f t="shared" ref="M24:R24" si="9">M25+M26+M27+M28+M29+M30+M31</f>
        <v>0</v>
      </c>
      <c r="N24" s="83">
        <f t="shared" si="9"/>
        <v>0</v>
      </c>
      <c r="O24" s="83">
        <f t="shared" si="9"/>
        <v>0</v>
      </c>
      <c r="P24" s="83">
        <f t="shared" si="9"/>
        <v>0</v>
      </c>
      <c r="Q24" s="83"/>
      <c r="R24" s="83">
        <f t="shared" si="9"/>
        <v>0</v>
      </c>
      <c r="S24" s="82">
        <f t="shared" si="8"/>
        <v>0</v>
      </c>
      <c r="T24" s="83">
        <f t="shared" si="8"/>
        <v>0</v>
      </c>
      <c r="U24" s="86">
        <f t="shared" si="8"/>
        <v>0</v>
      </c>
      <c r="V24" s="86">
        <f t="shared" si="8"/>
        <v>0</v>
      </c>
      <c r="W24" s="83">
        <f t="shared" si="8"/>
        <v>0</v>
      </c>
      <c r="X24" s="86">
        <f t="shared" si="8"/>
        <v>0</v>
      </c>
      <c r="Y24" s="86">
        <f t="shared" si="8"/>
        <v>0</v>
      </c>
      <c r="Z24" s="87">
        <f t="shared" si="8"/>
        <v>0</v>
      </c>
      <c r="AA24" s="338">
        <f t="shared" si="8"/>
        <v>0</v>
      </c>
      <c r="AB24" s="86">
        <f t="shared" si="8"/>
        <v>0</v>
      </c>
      <c r="AC24" s="86">
        <f t="shared" si="8"/>
        <v>0</v>
      </c>
      <c r="AD24" s="87">
        <f t="shared" si="8"/>
        <v>0</v>
      </c>
    </row>
    <row r="25" spans="1:30" ht="15.75" hidden="1" customHeight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10">SUM(S25:AD25)</f>
        <v>0</v>
      </c>
      <c r="K25" s="145"/>
      <c r="L25" s="159">
        <f t="shared" si="3"/>
        <v>0</v>
      </c>
      <c r="M25" s="42"/>
      <c r="N25" s="1"/>
      <c r="O25" s="1"/>
      <c r="P25" s="1"/>
      <c r="Q25" s="1"/>
      <c r="R25" s="1"/>
      <c r="S25" s="72"/>
      <c r="T25" s="1"/>
      <c r="U25" s="78"/>
      <c r="V25" s="78"/>
      <c r="W25" s="1"/>
      <c r="X25" s="78"/>
      <c r="Y25" s="78"/>
      <c r="Z25" s="44"/>
      <c r="AA25" s="343"/>
      <c r="AB25" s="78"/>
      <c r="AC25" s="78"/>
      <c r="AD25" s="44"/>
    </row>
    <row r="26" spans="1:30" ht="15.75" hidden="1" customHeight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10"/>
        <v>0</v>
      </c>
      <c r="K26" s="146"/>
      <c r="L26" s="159">
        <f t="shared" si="3"/>
        <v>0</v>
      </c>
      <c r="M26" s="42"/>
      <c r="N26" s="1"/>
      <c r="O26" s="1"/>
      <c r="P26" s="1"/>
      <c r="Q26" s="1"/>
      <c r="R26" s="1"/>
      <c r="S26" s="72"/>
      <c r="T26" s="1"/>
      <c r="U26" s="78"/>
      <c r="V26" s="78"/>
      <c r="W26" s="1"/>
      <c r="X26" s="78"/>
      <c r="Y26" s="78"/>
      <c r="Z26" s="44"/>
      <c r="AA26" s="343"/>
      <c r="AB26" s="78"/>
      <c r="AC26" s="78"/>
      <c r="AD26" s="44"/>
    </row>
    <row r="27" spans="1:30" ht="15.75" hidden="1" customHeight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10"/>
        <v>0</v>
      </c>
      <c r="K27" s="146"/>
      <c r="L27" s="159">
        <f t="shared" si="3"/>
        <v>0</v>
      </c>
      <c r="M27" s="42"/>
      <c r="N27" s="1"/>
      <c r="O27" s="1"/>
      <c r="P27" s="1"/>
      <c r="Q27" s="1"/>
      <c r="R27" s="1"/>
      <c r="S27" s="72"/>
      <c r="T27" s="1"/>
      <c r="U27" s="78"/>
      <c r="V27" s="78"/>
      <c r="W27" s="1"/>
      <c r="X27" s="78"/>
      <c r="Y27" s="78"/>
      <c r="Z27" s="44"/>
      <c r="AA27" s="343"/>
      <c r="AB27" s="78"/>
      <c r="AC27" s="78"/>
      <c r="AD27" s="44"/>
    </row>
    <row r="28" spans="1:30" ht="15.75" hidden="1" customHeight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10"/>
        <v>0</v>
      </c>
      <c r="K28" s="146"/>
      <c r="L28" s="159">
        <f t="shared" si="3"/>
        <v>0</v>
      </c>
      <c r="M28" s="42"/>
      <c r="N28" s="1"/>
      <c r="O28" s="1"/>
      <c r="P28" s="1"/>
      <c r="Q28" s="1"/>
      <c r="R28" s="1"/>
      <c r="S28" s="72"/>
      <c r="T28" s="1"/>
      <c r="U28" s="78"/>
      <c r="V28" s="78"/>
      <c r="W28" s="1"/>
      <c r="X28" s="78"/>
      <c r="Y28" s="78"/>
      <c r="Z28" s="44"/>
      <c r="AA28" s="343"/>
      <c r="AB28" s="78"/>
      <c r="AC28" s="78"/>
      <c r="AD28" s="44"/>
    </row>
    <row r="29" spans="1:30" ht="15.75" hidden="1" customHeight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10"/>
        <v>0</v>
      </c>
      <c r="K29" s="146"/>
      <c r="L29" s="159">
        <f t="shared" si="3"/>
        <v>0</v>
      </c>
      <c r="M29" s="42"/>
      <c r="N29" s="1"/>
      <c r="O29" s="1"/>
      <c r="P29" s="1"/>
      <c r="Q29" s="1"/>
      <c r="R29" s="1"/>
      <c r="S29" s="72"/>
      <c r="T29" s="1"/>
      <c r="U29" s="78"/>
      <c r="V29" s="78"/>
      <c r="W29" s="1"/>
      <c r="X29" s="78"/>
      <c r="Y29" s="78"/>
      <c r="Z29" s="44"/>
      <c r="AA29" s="343"/>
      <c r="AB29" s="78"/>
      <c r="AC29" s="78"/>
      <c r="AD29" s="44"/>
    </row>
    <row r="30" spans="1:30" ht="15.75" hidden="1" customHeight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10"/>
        <v>0</v>
      </c>
      <c r="K30" s="146"/>
      <c r="L30" s="159">
        <f t="shared" si="3"/>
        <v>0</v>
      </c>
      <c r="M30" s="42"/>
      <c r="N30" s="1"/>
      <c r="O30" s="1"/>
      <c r="P30" s="1"/>
      <c r="Q30" s="1"/>
      <c r="R30" s="1"/>
      <c r="S30" s="72"/>
      <c r="T30" s="1"/>
      <c r="U30" s="78"/>
      <c r="V30" s="78"/>
      <c r="W30" s="1"/>
      <c r="X30" s="78"/>
      <c r="Y30" s="78"/>
      <c r="Z30" s="44"/>
      <c r="AA30" s="343"/>
      <c r="AB30" s="78"/>
      <c r="AC30" s="78"/>
      <c r="AD30" s="44"/>
    </row>
    <row r="31" spans="1:30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10"/>
        <v>0</v>
      </c>
      <c r="K31" s="147"/>
      <c r="L31" s="159">
        <f t="shared" si="3"/>
        <v>0</v>
      </c>
      <c r="M31" s="42"/>
      <c r="N31" s="1"/>
      <c r="O31" s="1"/>
      <c r="P31" s="1"/>
      <c r="Q31" s="1"/>
      <c r="R31" s="1"/>
      <c r="S31" s="72"/>
      <c r="T31" s="1"/>
      <c r="U31" s="78"/>
      <c r="V31" s="78"/>
      <c r="W31" s="1"/>
      <c r="X31" s="78"/>
      <c r="Y31" s="78"/>
      <c r="Z31" s="44"/>
      <c r="AA31" s="343"/>
      <c r="AB31" s="78"/>
      <c r="AC31" s="78"/>
      <c r="AD31" s="44"/>
    </row>
    <row r="32" spans="1:30" ht="15.75" thickBot="1" x14ac:dyDescent="0.3">
      <c r="B32" s="81" t="s">
        <v>161</v>
      </c>
      <c r="C32" s="648" t="s">
        <v>162</v>
      </c>
      <c r="D32" s="649"/>
      <c r="E32" s="649"/>
      <c r="F32" s="156">
        <v>288248</v>
      </c>
      <c r="G32" s="338">
        <v>288248</v>
      </c>
      <c r="H32" s="308">
        <v>288248</v>
      </c>
      <c r="I32" s="506">
        <v>288248</v>
      </c>
      <c r="J32" s="235">
        <f>J33+J37+J40+J50+J53</f>
        <v>526061</v>
      </c>
      <c r="K32" s="144">
        <f t="shared" ref="K32:AD32" si="11">K33+K37+K40+K50+K53</f>
        <v>0</v>
      </c>
      <c r="L32" s="156">
        <f t="shared" si="3"/>
        <v>526061</v>
      </c>
      <c r="M32" s="85">
        <f t="shared" ref="M32:R32" si="12">M33+M37+M40+M50+M53</f>
        <v>0</v>
      </c>
      <c r="N32" s="83">
        <f t="shared" si="12"/>
        <v>0</v>
      </c>
      <c r="O32" s="83">
        <f t="shared" si="12"/>
        <v>0</v>
      </c>
      <c r="P32" s="83">
        <f t="shared" si="12"/>
        <v>526061</v>
      </c>
      <c r="Q32" s="83"/>
      <c r="R32" s="83">
        <f t="shared" si="12"/>
        <v>0</v>
      </c>
      <c r="S32" s="82">
        <f t="shared" si="11"/>
        <v>0</v>
      </c>
      <c r="T32" s="83">
        <f t="shared" si="11"/>
        <v>0</v>
      </c>
      <c r="U32" s="86">
        <f t="shared" si="11"/>
        <v>0</v>
      </c>
      <c r="V32" s="86">
        <f t="shared" si="11"/>
        <v>0</v>
      </c>
      <c r="W32" s="83">
        <f t="shared" si="11"/>
        <v>0</v>
      </c>
      <c r="X32" s="86">
        <f t="shared" si="11"/>
        <v>0</v>
      </c>
      <c r="Y32" s="86">
        <f t="shared" si="11"/>
        <v>0</v>
      </c>
      <c r="Z32" s="87">
        <f t="shared" si="11"/>
        <v>0</v>
      </c>
      <c r="AA32" s="338">
        <f t="shared" si="11"/>
        <v>526061</v>
      </c>
      <c r="AB32" s="86">
        <f t="shared" si="11"/>
        <v>0</v>
      </c>
      <c r="AC32" s="86">
        <f t="shared" si="11"/>
        <v>0</v>
      </c>
      <c r="AD32" s="87">
        <f t="shared" si="11"/>
        <v>0</v>
      </c>
    </row>
    <row r="33" spans="1:30" ht="15" hidden="1" customHeight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 t="shared" ref="K33:AD33" si="13">K34+K35+K36</f>
        <v>0</v>
      </c>
      <c r="L33" s="157">
        <f t="shared" si="3"/>
        <v>0</v>
      </c>
      <c r="M33" s="112">
        <f t="shared" ref="M33:R33" si="14">M34+M35+M36</f>
        <v>0</v>
      </c>
      <c r="N33" s="110">
        <f t="shared" si="14"/>
        <v>0</v>
      </c>
      <c r="O33" s="110">
        <f t="shared" si="14"/>
        <v>0</v>
      </c>
      <c r="P33" s="110">
        <f t="shared" si="14"/>
        <v>0</v>
      </c>
      <c r="Q33" s="110"/>
      <c r="R33" s="110">
        <f t="shared" si="14"/>
        <v>0</v>
      </c>
      <c r="S33" s="109">
        <f t="shared" si="13"/>
        <v>0</v>
      </c>
      <c r="T33" s="110">
        <f t="shared" si="13"/>
        <v>0</v>
      </c>
      <c r="U33" s="113">
        <f t="shared" si="13"/>
        <v>0</v>
      </c>
      <c r="V33" s="113">
        <f t="shared" si="13"/>
        <v>0</v>
      </c>
      <c r="W33" s="110">
        <f t="shared" si="13"/>
        <v>0</v>
      </c>
      <c r="X33" s="113">
        <f t="shared" si="13"/>
        <v>0</v>
      </c>
      <c r="Y33" s="113">
        <f t="shared" si="13"/>
        <v>0</v>
      </c>
      <c r="Z33" s="114">
        <f t="shared" si="13"/>
        <v>0</v>
      </c>
      <c r="AA33" s="339">
        <f t="shared" si="13"/>
        <v>0</v>
      </c>
      <c r="AB33" s="113">
        <f t="shared" si="13"/>
        <v>0</v>
      </c>
      <c r="AC33" s="113">
        <f t="shared" si="13"/>
        <v>0</v>
      </c>
      <c r="AD33" s="114">
        <f t="shared" si="13"/>
        <v>0</v>
      </c>
    </row>
    <row r="34" spans="1:30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SUM(S34:AD34)</f>
        <v>0</v>
      </c>
      <c r="K34" s="148"/>
      <c r="L34" s="160">
        <f t="shared" si="3"/>
        <v>0</v>
      </c>
      <c r="M34" s="43"/>
      <c r="N34" s="13"/>
      <c r="O34" s="13"/>
      <c r="P34" s="13"/>
      <c r="Q34" s="13"/>
      <c r="R34" s="13"/>
      <c r="S34" s="74"/>
      <c r="T34" s="13"/>
      <c r="U34" s="79"/>
      <c r="V34" s="79"/>
      <c r="W34" s="13"/>
      <c r="X34" s="79"/>
      <c r="Y34" s="79"/>
      <c r="Z34" s="45"/>
      <c r="AA34" s="342"/>
      <c r="AB34" s="79"/>
      <c r="AC34" s="79"/>
      <c r="AD34" s="45"/>
    </row>
    <row r="35" spans="1:30" s="41" customFormat="1" ht="15" hidden="1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SUM(S35:AD35)</f>
        <v>0</v>
      </c>
      <c r="K35" s="148"/>
      <c r="L35" s="160">
        <f t="shared" si="3"/>
        <v>0</v>
      </c>
      <c r="M35" s="43"/>
      <c r="N35" s="13"/>
      <c r="O35" s="13"/>
      <c r="P35" s="13"/>
      <c r="Q35" s="13"/>
      <c r="R35" s="13"/>
      <c r="S35" s="74"/>
      <c r="T35" s="13"/>
      <c r="U35" s="79"/>
      <c r="V35" s="79"/>
      <c r="W35" s="13"/>
      <c r="X35" s="79"/>
      <c r="Y35" s="79"/>
      <c r="Z35" s="45"/>
      <c r="AA35" s="342"/>
      <c r="AB35" s="79"/>
      <c r="AC35" s="79"/>
      <c r="AD35" s="45"/>
    </row>
    <row r="36" spans="1:30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SUM(S36:AD36)</f>
        <v>0</v>
      </c>
      <c r="K36" s="148"/>
      <c r="L36" s="160">
        <f t="shared" si="3"/>
        <v>0</v>
      </c>
      <c r="M36" s="43"/>
      <c r="N36" s="13"/>
      <c r="O36" s="13"/>
      <c r="P36" s="13"/>
      <c r="Q36" s="13"/>
      <c r="R36" s="13"/>
      <c r="S36" s="74"/>
      <c r="T36" s="13"/>
      <c r="U36" s="79"/>
      <c r="V36" s="79"/>
      <c r="W36" s="13"/>
      <c r="X36" s="79"/>
      <c r="Y36" s="79"/>
      <c r="Z36" s="45"/>
      <c r="AA36" s="342"/>
      <c r="AB36" s="79"/>
      <c r="AC36" s="79"/>
      <c r="AD36" s="45"/>
    </row>
    <row r="37" spans="1:30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AD37" si="15">K38+K39</f>
        <v>0</v>
      </c>
      <c r="L37" s="158">
        <f t="shared" si="3"/>
        <v>0</v>
      </c>
      <c r="M37" s="93">
        <f t="shared" ref="M37:R37" si="16">M38+M39</f>
        <v>0</v>
      </c>
      <c r="N37" s="91">
        <f t="shared" si="16"/>
        <v>0</v>
      </c>
      <c r="O37" s="91">
        <f t="shared" si="16"/>
        <v>0</v>
      </c>
      <c r="P37" s="91">
        <f t="shared" si="16"/>
        <v>0</v>
      </c>
      <c r="Q37" s="91"/>
      <c r="R37" s="91">
        <f t="shared" si="16"/>
        <v>0</v>
      </c>
      <c r="S37" s="90">
        <f t="shared" si="15"/>
        <v>0</v>
      </c>
      <c r="T37" s="91">
        <f t="shared" si="15"/>
        <v>0</v>
      </c>
      <c r="U37" s="94">
        <f t="shared" si="15"/>
        <v>0</v>
      </c>
      <c r="V37" s="94">
        <f t="shared" si="15"/>
        <v>0</v>
      </c>
      <c r="W37" s="91">
        <f t="shared" si="15"/>
        <v>0</v>
      </c>
      <c r="X37" s="94">
        <f t="shared" si="15"/>
        <v>0</v>
      </c>
      <c r="Y37" s="94">
        <f t="shared" si="15"/>
        <v>0</v>
      </c>
      <c r="Z37" s="95">
        <f t="shared" si="15"/>
        <v>0</v>
      </c>
      <c r="AA37" s="341">
        <f t="shared" si="15"/>
        <v>0</v>
      </c>
      <c r="AB37" s="94">
        <f t="shared" si="15"/>
        <v>0</v>
      </c>
      <c r="AC37" s="94">
        <f t="shared" si="15"/>
        <v>0</v>
      </c>
      <c r="AD37" s="95">
        <f t="shared" si="15"/>
        <v>0</v>
      </c>
    </row>
    <row r="38" spans="1:30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SUM(S38:AD38)</f>
        <v>0</v>
      </c>
      <c r="K38" s="148"/>
      <c r="L38" s="160">
        <f t="shared" si="3"/>
        <v>0</v>
      </c>
      <c r="M38" s="43"/>
      <c r="N38" s="13"/>
      <c r="O38" s="13"/>
      <c r="P38" s="13"/>
      <c r="Q38" s="13"/>
      <c r="R38" s="13"/>
      <c r="S38" s="74"/>
      <c r="T38" s="13"/>
      <c r="U38" s="79"/>
      <c r="V38" s="79"/>
      <c r="W38" s="13"/>
      <c r="X38" s="79"/>
      <c r="Y38" s="79"/>
      <c r="Z38" s="45"/>
      <c r="AA38" s="342"/>
      <c r="AB38" s="79"/>
      <c r="AC38" s="79"/>
      <c r="AD38" s="45"/>
    </row>
    <row r="39" spans="1:30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SUM(S39:AD39)</f>
        <v>0</v>
      </c>
      <c r="K39" s="148"/>
      <c r="L39" s="160">
        <f t="shared" si="3"/>
        <v>0</v>
      </c>
      <c r="M39" s="43"/>
      <c r="N39" s="13"/>
      <c r="O39" s="13"/>
      <c r="P39" s="13"/>
      <c r="Q39" s="13"/>
      <c r="R39" s="13"/>
      <c r="S39" s="74"/>
      <c r="T39" s="13"/>
      <c r="U39" s="79"/>
      <c r="V39" s="79"/>
      <c r="W39" s="13"/>
      <c r="X39" s="79"/>
      <c r="Y39" s="79"/>
      <c r="Z39" s="45"/>
      <c r="AA39" s="342"/>
      <c r="AB39" s="79"/>
      <c r="AC39" s="79"/>
      <c r="AD39" s="45"/>
    </row>
    <row r="40" spans="1:30" ht="15" hidden="1" customHeight="1" x14ac:dyDescent="0.25">
      <c r="B40" s="88" t="s">
        <v>633</v>
      </c>
      <c r="C40" s="640" t="s">
        <v>175</v>
      </c>
      <c r="D40" s="641"/>
      <c r="E40" s="641"/>
      <c r="F40" s="158">
        <v>288248</v>
      </c>
      <c r="G40" s="341">
        <v>288248</v>
      </c>
      <c r="H40" s="311">
        <v>288248</v>
      </c>
      <c r="I40" s="509">
        <v>288248</v>
      </c>
      <c r="J40" s="233">
        <f>J41+J42+J43+J44+J45+J48+J49</f>
        <v>526061</v>
      </c>
      <c r="K40" s="142">
        <f t="shared" ref="K40:AD40" si="17">K41+K42+K43+K44+K45+K48+K49</f>
        <v>0</v>
      </c>
      <c r="L40" s="158">
        <f t="shared" si="3"/>
        <v>526061</v>
      </c>
      <c r="M40" s="93">
        <f t="shared" ref="M40:R40" si="18">M41+M42+M43+M44+M45+M48+M49</f>
        <v>0</v>
      </c>
      <c r="N40" s="91">
        <f t="shared" si="18"/>
        <v>0</v>
      </c>
      <c r="O40" s="91">
        <f t="shared" si="18"/>
        <v>0</v>
      </c>
      <c r="P40" s="91">
        <f t="shared" si="18"/>
        <v>526061</v>
      </c>
      <c r="Q40" s="91"/>
      <c r="R40" s="91">
        <f t="shared" si="18"/>
        <v>0</v>
      </c>
      <c r="S40" s="90">
        <f t="shared" si="17"/>
        <v>0</v>
      </c>
      <c r="T40" s="91">
        <f t="shared" si="17"/>
        <v>0</v>
      </c>
      <c r="U40" s="94">
        <f t="shared" si="17"/>
        <v>0</v>
      </c>
      <c r="V40" s="94">
        <f t="shared" si="17"/>
        <v>0</v>
      </c>
      <c r="W40" s="91">
        <f t="shared" si="17"/>
        <v>0</v>
      </c>
      <c r="X40" s="94">
        <f t="shared" si="17"/>
        <v>0</v>
      </c>
      <c r="Y40" s="94">
        <f t="shared" si="17"/>
        <v>0</v>
      </c>
      <c r="Z40" s="95">
        <f t="shared" si="17"/>
        <v>0</v>
      </c>
      <c r="AA40" s="341">
        <f t="shared" si="17"/>
        <v>526061</v>
      </c>
      <c r="AB40" s="94">
        <f t="shared" si="17"/>
        <v>0</v>
      </c>
      <c r="AC40" s="94">
        <f t="shared" si="17"/>
        <v>0</v>
      </c>
      <c r="AD40" s="95">
        <f t="shared" si="17"/>
        <v>0</v>
      </c>
    </row>
    <row r="41" spans="1:30" s="41" customFormat="1" ht="15" hidden="1" customHeigh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SUM(S41:AD41)</f>
        <v>0</v>
      </c>
      <c r="K41" s="148"/>
      <c r="L41" s="160">
        <f t="shared" si="3"/>
        <v>0</v>
      </c>
      <c r="M41" s="43"/>
      <c r="N41" s="13"/>
      <c r="O41" s="13"/>
      <c r="P41" s="13"/>
      <c r="Q41" s="13"/>
      <c r="R41" s="13"/>
      <c r="S41" s="74"/>
      <c r="T41" s="13"/>
      <c r="U41" s="79"/>
      <c r="V41" s="79"/>
      <c r="W41" s="13"/>
      <c r="X41" s="79"/>
      <c r="Y41" s="79"/>
      <c r="Z41" s="45"/>
      <c r="AA41" s="342"/>
      <c r="AB41" s="79"/>
      <c r="AC41" s="79"/>
      <c r="AD41" s="45"/>
    </row>
    <row r="42" spans="1:30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SUM(S42:AD42)</f>
        <v>0</v>
      </c>
      <c r="K42" s="148"/>
      <c r="L42" s="160">
        <f t="shared" si="3"/>
        <v>0</v>
      </c>
      <c r="M42" s="43"/>
      <c r="N42" s="13"/>
      <c r="O42" s="13"/>
      <c r="P42" s="13"/>
      <c r="Q42" s="13"/>
      <c r="R42" s="13"/>
      <c r="S42" s="74"/>
      <c r="T42" s="13"/>
      <c r="U42" s="79"/>
      <c r="V42" s="79"/>
      <c r="W42" s="13"/>
      <c r="X42" s="79"/>
      <c r="Y42" s="79"/>
      <c r="Z42" s="45"/>
      <c r="AA42" s="342"/>
      <c r="AB42" s="79"/>
      <c r="AC42" s="79"/>
      <c r="AD42" s="45"/>
    </row>
    <row r="43" spans="1:30" s="41" customFormat="1" ht="15" hidden="1" customHeigh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SUM(S43:AD43)</f>
        <v>0</v>
      </c>
      <c r="K43" s="148"/>
      <c r="L43" s="160">
        <f t="shared" si="3"/>
        <v>0</v>
      </c>
      <c r="M43" s="43"/>
      <c r="N43" s="13"/>
      <c r="O43" s="13"/>
      <c r="P43" s="13"/>
      <c r="Q43" s="13"/>
      <c r="R43" s="13"/>
      <c r="S43" s="74"/>
      <c r="T43" s="13"/>
      <c r="U43" s="79"/>
      <c r="V43" s="79"/>
      <c r="W43" s="13"/>
      <c r="X43" s="79"/>
      <c r="Y43" s="79"/>
      <c r="Z43" s="45"/>
      <c r="AA43" s="342"/>
      <c r="AB43" s="79"/>
      <c r="AC43" s="79"/>
      <c r="AD43" s="45"/>
    </row>
    <row r="44" spans="1:30" s="41" customFormat="1" ht="15" hidden="1" customHeigh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0</v>
      </c>
      <c r="G44" s="342">
        <v>0</v>
      </c>
      <c r="H44" s="312">
        <v>0</v>
      </c>
      <c r="I44" s="510">
        <v>0</v>
      </c>
      <c r="J44" s="239">
        <f>SUM(S44:AD44)</f>
        <v>0</v>
      </c>
      <c r="K44" s="148"/>
      <c r="L44" s="160">
        <f t="shared" si="3"/>
        <v>0</v>
      </c>
      <c r="M44" s="43"/>
      <c r="N44" s="13"/>
      <c r="O44" s="13"/>
      <c r="P44" s="13"/>
      <c r="Q44" s="13"/>
      <c r="R44" s="13"/>
      <c r="S44" s="74"/>
      <c r="T44" s="13"/>
      <c r="U44" s="79"/>
      <c r="V44" s="79"/>
      <c r="W44" s="13"/>
      <c r="X44" s="79"/>
      <c r="Y44" s="79"/>
      <c r="Z44" s="45"/>
      <c r="AA44" s="342"/>
      <c r="AB44" s="79"/>
      <c r="AC44" s="79"/>
      <c r="AD44" s="45"/>
    </row>
    <row r="45" spans="1:30" s="18" customForma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288248</v>
      </c>
      <c r="G45" s="342">
        <v>288248</v>
      </c>
      <c r="H45" s="312">
        <v>288248</v>
      </c>
      <c r="I45" s="510">
        <v>288248</v>
      </c>
      <c r="J45" s="239">
        <f>J46+J47</f>
        <v>526061</v>
      </c>
      <c r="K45" s="148">
        <f t="shared" ref="K45:AD45" si="19">K46+K47</f>
        <v>0</v>
      </c>
      <c r="L45" s="160">
        <f t="shared" si="3"/>
        <v>526061</v>
      </c>
      <c r="M45" s="43">
        <f t="shared" ref="M45:R45" si="20">M46+M47</f>
        <v>0</v>
      </c>
      <c r="N45" s="13">
        <f t="shared" si="20"/>
        <v>0</v>
      </c>
      <c r="O45" s="13">
        <f t="shared" si="20"/>
        <v>0</v>
      </c>
      <c r="P45" s="13">
        <f t="shared" si="20"/>
        <v>526061</v>
      </c>
      <c r="Q45" s="13"/>
      <c r="R45" s="13">
        <f t="shared" si="20"/>
        <v>0</v>
      </c>
      <c r="S45" s="74">
        <f t="shared" si="19"/>
        <v>0</v>
      </c>
      <c r="T45" s="13">
        <f t="shared" si="19"/>
        <v>0</v>
      </c>
      <c r="U45" s="79">
        <f t="shared" si="19"/>
        <v>0</v>
      </c>
      <c r="V45" s="79">
        <f t="shared" si="19"/>
        <v>0</v>
      </c>
      <c r="W45" s="13">
        <f t="shared" si="19"/>
        <v>0</v>
      </c>
      <c r="X45" s="79">
        <f t="shared" si="19"/>
        <v>0</v>
      </c>
      <c r="Y45" s="79">
        <f t="shared" si="19"/>
        <v>0</v>
      </c>
      <c r="Z45" s="45">
        <f t="shared" si="19"/>
        <v>0</v>
      </c>
      <c r="AA45" s="342">
        <f t="shared" si="19"/>
        <v>526061</v>
      </c>
      <c r="AB45" s="79">
        <f t="shared" si="19"/>
        <v>0</v>
      </c>
      <c r="AC45" s="79">
        <f t="shared" si="19"/>
        <v>0</v>
      </c>
      <c r="AD45" s="45">
        <f t="shared" si="19"/>
        <v>0</v>
      </c>
    </row>
    <row r="46" spans="1:30" ht="15.75" thickBot="1" x14ac:dyDescent="0.3">
      <c r="B46" s="54"/>
      <c r="C46" s="250"/>
      <c r="D46" s="624" t="s">
        <v>1019</v>
      </c>
      <c r="E46" s="624"/>
      <c r="F46" s="159">
        <v>288248</v>
      </c>
      <c r="G46" s="343">
        <v>288248</v>
      </c>
      <c r="H46" s="313">
        <v>288248</v>
      </c>
      <c r="I46" s="513">
        <v>288248</v>
      </c>
      <c r="J46" s="232">
        <f>SUM(S46:AD46)</f>
        <v>526061</v>
      </c>
      <c r="K46" s="141"/>
      <c r="L46" s="159">
        <f t="shared" si="3"/>
        <v>526061</v>
      </c>
      <c r="M46" s="42"/>
      <c r="N46" s="1"/>
      <c r="O46" s="1"/>
      <c r="P46" s="1">
        <f>L46</f>
        <v>526061</v>
      </c>
      <c r="Q46" s="1"/>
      <c r="R46" s="1"/>
      <c r="S46" s="72"/>
      <c r="T46" s="1"/>
      <c r="U46" s="78"/>
      <c r="V46" s="78"/>
      <c r="W46" s="1"/>
      <c r="X46" s="78"/>
      <c r="Y46" s="78"/>
      <c r="Z46" s="44"/>
      <c r="AA46" s="343">
        <v>526061</v>
      </c>
      <c r="AB46" s="78"/>
      <c r="AC46" s="78"/>
      <c r="AD46" s="44"/>
    </row>
    <row r="47" spans="1:30" ht="15.75" hidden="1" customHeight="1" thickBot="1" x14ac:dyDescent="0.3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2">
        <f>SUM(S47:AD47)</f>
        <v>0</v>
      </c>
      <c r="K47" s="141"/>
      <c r="L47" s="159">
        <f t="shared" si="3"/>
        <v>0</v>
      </c>
      <c r="M47" s="42"/>
      <c r="N47" s="1"/>
      <c r="O47" s="1"/>
      <c r="P47" s="1"/>
      <c r="Q47" s="1"/>
      <c r="R47" s="1"/>
      <c r="S47" s="72"/>
      <c r="T47" s="1"/>
      <c r="U47" s="78"/>
      <c r="V47" s="78"/>
      <c r="W47" s="1"/>
      <c r="X47" s="78"/>
      <c r="Y47" s="78"/>
      <c r="Z47" s="44"/>
      <c r="AA47" s="343"/>
      <c r="AB47" s="78"/>
      <c r="AC47" s="78"/>
      <c r="AD47" s="44"/>
    </row>
    <row r="48" spans="1:30" s="41" customFormat="1" ht="15.75" hidden="1" customHeight="1" thickBot="1" x14ac:dyDescent="0.3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>SUM(S48:AD48)</f>
        <v>0</v>
      </c>
      <c r="K48" s="148"/>
      <c r="L48" s="160">
        <f t="shared" si="3"/>
        <v>0</v>
      </c>
      <c r="M48" s="43"/>
      <c r="N48" s="13"/>
      <c r="O48" s="13"/>
      <c r="P48" s="13"/>
      <c r="Q48" s="13"/>
      <c r="R48" s="13"/>
      <c r="S48" s="74"/>
      <c r="T48" s="13"/>
      <c r="U48" s="79"/>
      <c r="V48" s="79"/>
      <c r="W48" s="13"/>
      <c r="X48" s="79"/>
      <c r="Y48" s="79"/>
      <c r="Z48" s="45"/>
      <c r="AA48" s="342"/>
      <c r="AB48" s="79"/>
      <c r="AC48" s="79"/>
      <c r="AD48" s="45"/>
    </row>
    <row r="49" spans="1:30" s="41" customFormat="1" ht="15.75" hidden="1" customHeight="1" thickBot="1" x14ac:dyDescent="0.3">
      <c r="A49" s="118" t="s">
        <v>190</v>
      </c>
      <c r="B49" s="53" t="s">
        <v>640</v>
      </c>
      <c r="C49" s="628" t="s">
        <v>191</v>
      </c>
      <c r="D49" s="629"/>
      <c r="E49" s="629"/>
      <c r="F49" s="160">
        <v>0</v>
      </c>
      <c r="G49" s="342">
        <v>0</v>
      </c>
      <c r="H49" s="312">
        <v>0</v>
      </c>
      <c r="I49" s="510">
        <v>0</v>
      </c>
      <c r="J49" s="239">
        <f>SUM(S49:AD49)</f>
        <v>0</v>
      </c>
      <c r="K49" s="148"/>
      <c r="L49" s="160">
        <f t="shared" si="3"/>
        <v>0</v>
      </c>
      <c r="M49" s="43"/>
      <c r="N49" s="13"/>
      <c r="O49" s="13"/>
      <c r="P49" s="13"/>
      <c r="Q49" s="13"/>
      <c r="R49" s="13"/>
      <c r="S49" s="74"/>
      <c r="T49" s="13"/>
      <c r="U49" s="79"/>
      <c r="V49" s="79"/>
      <c r="W49" s="13"/>
      <c r="X49" s="79"/>
      <c r="Y49" s="79"/>
      <c r="Z49" s="45"/>
      <c r="AA49" s="342"/>
      <c r="AB49" s="79"/>
      <c r="AC49" s="79"/>
      <c r="AD49" s="45"/>
    </row>
    <row r="50" spans="1:30" ht="15.75" hidden="1" customHeight="1" thickBot="1" x14ac:dyDescent="0.3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AD50" si="21">K51+K52</f>
        <v>0</v>
      </c>
      <c r="L50" s="158">
        <f t="shared" si="3"/>
        <v>0</v>
      </c>
      <c r="M50" s="93">
        <f t="shared" ref="M50:R50" si="22">M51+M52</f>
        <v>0</v>
      </c>
      <c r="N50" s="91">
        <f t="shared" si="22"/>
        <v>0</v>
      </c>
      <c r="O50" s="91">
        <f t="shared" si="22"/>
        <v>0</v>
      </c>
      <c r="P50" s="91">
        <f t="shared" si="22"/>
        <v>0</v>
      </c>
      <c r="Q50" s="91"/>
      <c r="R50" s="91">
        <f t="shared" si="22"/>
        <v>0</v>
      </c>
      <c r="S50" s="90">
        <f t="shared" si="21"/>
        <v>0</v>
      </c>
      <c r="T50" s="91">
        <f t="shared" si="21"/>
        <v>0</v>
      </c>
      <c r="U50" s="94">
        <f t="shared" si="21"/>
        <v>0</v>
      </c>
      <c r="V50" s="94">
        <f t="shared" si="21"/>
        <v>0</v>
      </c>
      <c r="W50" s="91">
        <f t="shared" si="21"/>
        <v>0</v>
      </c>
      <c r="X50" s="94">
        <f t="shared" si="21"/>
        <v>0</v>
      </c>
      <c r="Y50" s="94">
        <f t="shared" si="21"/>
        <v>0</v>
      </c>
      <c r="Z50" s="95">
        <f t="shared" si="21"/>
        <v>0</v>
      </c>
      <c r="AA50" s="341">
        <f t="shared" si="21"/>
        <v>0</v>
      </c>
      <c r="AB50" s="94">
        <f t="shared" si="21"/>
        <v>0</v>
      </c>
      <c r="AC50" s="94">
        <f t="shared" si="21"/>
        <v>0</v>
      </c>
      <c r="AD50" s="95">
        <f t="shared" si="21"/>
        <v>0</v>
      </c>
    </row>
    <row r="51" spans="1:30" s="41" customFormat="1" ht="15.75" hidden="1" customHeight="1" thickBot="1" x14ac:dyDescent="0.3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>SUM(S51:AD51)</f>
        <v>0</v>
      </c>
      <c r="K51" s="148"/>
      <c r="L51" s="160">
        <f t="shared" si="3"/>
        <v>0</v>
      </c>
      <c r="M51" s="43"/>
      <c r="N51" s="13"/>
      <c r="O51" s="13"/>
      <c r="P51" s="13"/>
      <c r="Q51" s="13"/>
      <c r="R51" s="13"/>
      <c r="S51" s="74"/>
      <c r="T51" s="13"/>
      <c r="U51" s="79"/>
      <c r="V51" s="79"/>
      <c r="W51" s="13"/>
      <c r="X51" s="79"/>
      <c r="Y51" s="79"/>
      <c r="Z51" s="45"/>
      <c r="AA51" s="342"/>
      <c r="AB51" s="79"/>
      <c r="AC51" s="79"/>
      <c r="AD51" s="45"/>
    </row>
    <row r="52" spans="1:30" s="41" customFormat="1" ht="15.75" hidden="1" customHeight="1" thickBot="1" x14ac:dyDescent="0.3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>SUM(S52:AD52)</f>
        <v>0</v>
      </c>
      <c r="K52" s="148"/>
      <c r="L52" s="160">
        <f t="shared" si="3"/>
        <v>0</v>
      </c>
      <c r="M52" s="43"/>
      <c r="N52" s="13"/>
      <c r="O52" s="13"/>
      <c r="P52" s="13"/>
      <c r="Q52" s="13"/>
      <c r="R52" s="13"/>
      <c r="S52" s="74"/>
      <c r="T52" s="13"/>
      <c r="U52" s="79"/>
      <c r="V52" s="79"/>
      <c r="W52" s="13"/>
      <c r="X52" s="79"/>
      <c r="Y52" s="79"/>
      <c r="Z52" s="45"/>
      <c r="AA52" s="342"/>
      <c r="AB52" s="79"/>
      <c r="AC52" s="79"/>
      <c r="AD52" s="45"/>
    </row>
    <row r="53" spans="1:30" ht="15.75" hidden="1" customHeight="1" thickBot="1" x14ac:dyDescent="0.3">
      <c r="B53" s="88" t="s">
        <v>644</v>
      </c>
      <c r="C53" s="626" t="s">
        <v>197</v>
      </c>
      <c r="D53" s="627"/>
      <c r="E53" s="627"/>
      <c r="F53" s="158">
        <v>0</v>
      </c>
      <c r="G53" s="341">
        <v>0</v>
      </c>
      <c r="H53" s="311">
        <v>0</v>
      </c>
      <c r="I53" s="509">
        <v>0</v>
      </c>
      <c r="J53" s="233">
        <f>J54+J55+J56+J57+J58</f>
        <v>0</v>
      </c>
      <c r="K53" s="142">
        <f t="shared" ref="K53:AD53" si="23">K54+K55+K56+K57+K58</f>
        <v>0</v>
      </c>
      <c r="L53" s="158">
        <f t="shared" si="3"/>
        <v>0</v>
      </c>
      <c r="M53" s="93">
        <f t="shared" ref="M53:R53" si="24">M54+M55+M56+M57+M58</f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/>
      <c r="R53" s="91">
        <f t="shared" si="24"/>
        <v>0</v>
      </c>
      <c r="S53" s="90">
        <f t="shared" si="23"/>
        <v>0</v>
      </c>
      <c r="T53" s="91">
        <f t="shared" si="23"/>
        <v>0</v>
      </c>
      <c r="U53" s="94">
        <f t="shared" si="23"/>
        <v>0</v>
      </c>
      <c r="V53" s="94">
        <f t="shared" si="23"/>
        <v>0</v>
      </c>
      <c r="W53" s="91">
        <f t="shared" si="23"/>
        <v>0</v>
      </c>
      <c r="X53" s="94">
        <f t="shared" si="23"/>
        <v>0</v>
      </c>
      <c r="Y53" s="94">
        <f t="shared" si="23"/>
        <v>0</v>
      </c>
      <c r="Z53" s="95">
        <f t="shared" si="23"/>
        <v>0</v>
      </c>
      <c r="AA53" s="341">
        <f t="shared" si="23"/>
        <v>0</v>
      </c>
      <c r="AB53" s="94">
        <f t="shared" si="23"/>
        <v>0</v>
      </c>
      <c r="AC53" s="94">
        <f t="shared" si="23"/>
        <v>0</v>
      </c>
      <c r="AD53" s="95">
        <f t="shared" si="23"/>
        <v>0</v>
      </c>
    </row>
    <row r="54" spans="1:30" s="41" customFormat="1" ht="15.75" hidden="1" customHeight="1" thickBot="1" x14ac:dyDescent="0.3">
      <c r="A54" s="118" t="s">
        <v>198</v>
      </c>
      <c r="B54" s="53" t="s">
        <v>645</v>
      </c>
      <c r="C54" s="628" t="s">
        <v>876</v>
      </c>
      <c r="D54" s="629"/>
      <c r="E54" s="629"/>
      <c r="F54" s="160">
        <v>0</v>
      </c>
      <c r="G54" s="342">
        <v>0</v>
      </c>
      <c r="H54" s="312">
        <v>0</v>
      </c>
      <c r="I54" s="510">
        <v>0</v>
      </c>
      <c r="J54" s="239">
        <f>SUM(S54:AD54)</f>
        <v>0</v>
      </c>
      <c r="K54" s="148"/>
      <c r="L54" s="160">
        <f t="shared" si="3"/>
        <v>0</v>
      </c>
      <c r="M54" s="43"/>
      <c r="N54" s="13"/>
      <c r="O54" s="13"/>
      <c r="P54" s="13"/>
      <c r="Q54" s="13"/>
      <c r="R54" s="13"/>
      <c r="S54" s="74"/>
      <c r="T54" s="13"/>
      <c r="U54" s="79"/>
      <c r="V54" s="79"/>
      <c r="W54" s="13"/>
      <c r="X54" s="79"/>
      <c r="Y54" s="79"/>
      <c r="Z54" s="45"/>
      <c r="AA54" s="342"/>
      <c r="AB54" s="79"/>
      <c r="AC54" s="79"/>
      <c r="AD54" s="45"/>
    </row>
    <row r="55" spans="1:30" s="41" customFormat="1" ht="15.75" hidden="1" customHeight="1" thickBot="1" x14ac:dyDescent="0.3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>SUM(S55:AD55)</f>
        <v>0</v>
      </c>
      <c r="K55" s="148"/>
      <c r="L55" s="160">
        <f t="shared" si="3"/>
        <v>0</v>
      </c>
      <c r="M55" s="43"/>
      <c r="N55" s="13"/>
      <c r="O55" s="13"/>
      <c r="P55" s="13"/>
      <c r="Q55" s="13"/>
      <c r="R55" s="13"/>
      <c r="S55" s="74"/>
      <c r="T55" s="13"/>
      <c r="U55" s="79"/>
      <c r="V55" s="79"/>
      <c r="W55" s="13"/>
      <c r="X55" s="79"/>
      <c r="Y55" s="79"/>
      <c r="Z55" s="45"/>
      <c r="AA55" s="342"/>
      <c r="AB55" s="79"/>
      <c r="AC55" s="79"/>
      <c r="AD55" s="45"/>
    </row>
    <row r="56" spans="1:30" s="41" customFormat="1" ht="15.75" hidden="1" customHeight="1" thickBot="1" x14ac:dyDescent="0.3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SUM(S56:AD56)</f>
        <v>0</v>
      </c>
      <c r="K56" s="148"/>
      <c r="L56" s="160">
        <f t="shared" si="3"/>
        <v>0</v>
      </c>
      <c r="M56" s="43"/>
      <c r="N56" s="13"/>
      <c r="O56" s="13"/>
      <c r="P56" s="13"/>
      <c r="Q56" s="13"/>
      <c r="R56" s="13"/>
      <c r="S56" s="74"/>
      <c r="T56" s="13"/>
      <c r="U56" s="79"/>
      <c r="V56" s="79"/>
      <c r="W56" s="13"/>
      <c r="X56" s="79"/>
      <c r="Y56" s="79"/>
      <c r="Z56" s="45"/>
      <c r="AA56" s="342"/>
      <c r="AB56" s="79"/>
      <c r="AC56" s="79"/>
      <c r="AD56" s="45"/>
    </row>
    <row r="57" spans="1:30" s="41" customFormat="1" ht="15.75" hidden="1" customHeight="1" thickBot="1" x14ac:dyDescent="0.3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SUM(S57:AD57)</f>
        <v>0</v>
      </c>
      <c r="K57" s="148"/>
      <c r="L57" s="160">
        <f t="shared" si="3"/>
        <v>0</v>
      </c>
      <c r="M57" s="43"/>
      <c r="N57" s="13"/>
      <c r="O57" s="13"/>
      <c r="P57" s="13"/>
      <c r="Q57" s="13"/>
      <c r="R57" s="13"/>
      <c r="S57" s="74"/>
      <c r="T57" s="13"/>
      <c r="U57" s="79"/>
      <c r="V57" s="79"/>
      <c r="W57" s="13"/>
      <c r="X57" s="79"/>
      <c r="Y57" s="79"/>
      <c r="Z57" s="45"/>
      <c r="AA57" s="342"/>
      <c r="AB57" s="79"/>
      <c r="AC57" s="79"/>
      <c r="AD57" s="45"/>
    </row>
    <row r="58" spans="1:30" s="41" customFormat="1" ht="15.75" hidden="1" customHeight="1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0</v>
      </c>
      <c r="G58" s="347">
        <v>0</v>
      </c>
      <c r="H58" s="319">
        <v>0</v>
      </c>
      <c r="I58" s="511">
        <v>0</v>
      </c>
      <c r="J58" s="252">
        <f>SUM(S58:AD58)</f>
        <v>0</v>
      </c>
      <c r="K58" s="189"/>
      <c r="L58" s="160">
        <f t="shared" si="3"/>
        <v>0</v>
      </c>
      <c r="M58" s="43"/>
      <c r="N58" s="13"/>
      <c r="O58" s="13"/>
      <c r="P58" s="13"/>
      <c r="Q58" s="13"/>
      <c r="R58" s="13"/>
      <c r="S58" s="74"/>
      <c r="T58" s="13"/>
      <c r="U58" s="79"/>
      <c r="V58" s="79"/>
      <c r="W58" s="13"/>
      <c r="X58" s="79"/>
      <c r="Y58" s="79"/>
      <c r="Z58" s="45"/>
      <c r="AA58" s="342"/>
      <c r="AB58" s="79"/>
      <c r="AC58" s="79"/>
      <c r="AD58" s="45"/>
    </row>
    <row r="59" spans="1:30" ht="15.75" thickBot="1" x14ac:dyDescent="0.3">
      <c r="B59" s="81" t="s">
        <v>207</v>
      </c>
      <c r="C59" s="632" t="s">
        <v>208</v>
      </c>
      <c r="D59" s="633"/>
      <c r="E59" s="633"/>
      <c r="F59" s="156">
        <v>1800000</v>
      </c>
      <c r="G59" s="338">
        <v>1800000</v>
      </c>
      <c r="H59" s="308">
        <v>1794970</v>
      </c>
      <c r="I59" s="506">
        <v>1794970</v>
      </c>
      <c r="J59" s="235">
        <f>J60+J61+J62+J63+J64+J65+J66+J70</f>
        <v>2034970</v>
      </c>
      <c r="K59" s="144">
        <f t="shared" ref="K59:AD59" si="25">K60+K61+K62+K63+K64+K65+K66+K70</f>
        <v>0</v>
      </c>
      <c r="L59" s="156">
        <f t="shared" si="3"/>
        <v>2034970</v>
      </c>
      <c r="M59" s="85">
        <f t="shared" ref="M59:R59" si="26">M60+M61+M62+M63+M64+M65+M66+M70</f>
        <v>0</v>
      </c>
      <c r="N59" s="83">
        <f t="shared" si="26"/>
        <v>0</v>
      </c>
      <c r="O59" s="83">
        <f t="shared" si="26"/>
        <v>0</v>
      </c>
      <c r="P59" s="83">
        <f t="shared" si="26"/>
        <v>0</v>
      </c>
      <c r="Q59" s="83"/>
      <c r="R59" s="83">
        <f t="shared" si="26"/>
        <v>2034970</v>
      </c>
      <c r="S59" s="82">
        <f t="shared" si="25"/>
        <v>46000</v>
      </c>
      <c r="T59" s="83">
        <f t="shared" si="25"/>
        <v>92000</v>
      </c>
      <c r="U59" s="86">
        <f t="shared" si="25"/>
        <v>63000</v>
      </c>
      <c r="V59" s="86">
        <f t="shared" si="25"/>
        <v>73000</v>
      </c>
      <c r="W59" s="83">
        <f t="shared" si="25"/>
        <v>78000</v>
      </c>
      <c r="X59" s="86">
        <f t="shared" si="25"/>
        <v>92000</v>
      </c>
      <c r="Y59" s="86">
        <f t="shared" si="25"/>
        <v>85000</v>
      </c>
      <c r="Z59" s="87">
        <f t="shared" si="25"/>
        <v>79000</v>
      </c>
      <c r="AA59" s="338">
        <f t="shared" si="25"/>
        <v>137000</v>
      </c>
      <c r="AB59" s="86">
        <f t="shared" si="25"/>
        <v>164575</v>
      </c>
      <c r="AC59" s="86">
        <f t="shared" si="25"/>
        <v>93000</v>
      </c>
      <c r="AD59" s="87">
        <f t="shared" si="25"/>
        <v>1032395</v>
      </c>
    </row>
    <row r="60" spans="1:30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27">SUM(S60:AD60)</f>
        <v>0</v>
      </c>
      <c r="K60" s="140"/>
      <c r="L60" s="158">
        <f t="shared" si="3"/>
        <v>0</v>
      </c>
      <c r="M60" s="93"/>
      <c r="N60" s="91"/>
      <c r="O60" s="91"/>
      <c r="P60" s="91"/>
      <c r="Q60" s="91"/>
      <c r="R60" s="91"/>
      <c r="S60" s="90"/>
      <c r="T60" s="91"/>
      <c r="U60" s="94"/>
      <c r="V60" s="94"/>
      <c r="W60" s="91"/>
      <c r="X60" s="94"/>
      <c r="Y60" s="94"/>
      <c r="Z60" s="95"/>
      <c r="AA60" s="341"/>
      <c r="AB60" s="94"/>
      <c r="AC60" s="94"/>
      <c r="AD60" s="95"/>
    </row>
    <row r="61" spans="1:30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27"/>
        <v>0</v>
      </c>
      <c r="K61" s="140"/>
      <c r="L61" s="158">
        <f t="shared" si="3"/>
        <v>0</v>
      </c>
      <c r="M61" s="93"/>
      <c r="N61" s="91"/>
      <c r="O61" s="91"/>
      <c r="P61" s="91"/>
      <c r="Q61" s="91"/>
      <c r="R61" s="91"/>
      <c r="S61" s="90"/>
      <c r="T61" s="91"/>
      <c r="U61" s="94"/>
      <c r="V61" s="94"/>
      <c r="W61" s="91"/>
      <c r="X61" s="94"/>
      <c r="Y61" s="94"/>
      <c r="Z61" s="95"/>
      <c r="AA61" s="341"/>
      <c r="AB61" s="94"/>
      <c r="AC61" s="94"/>
      <c r="AD61" s="95"/>
    </row>
    <row r="62" spans="1:30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27"/>
        <v>0</v>
      </c>
      <c r="K62" s="142"/>
      <c r="L62" s="158">
        <f t="shared" si="3"/>
        <v>0</v>
      </c>
      <c r="M62" s="93"/>
      <c r="N62" s="91"/>
      <c r="O62" s="91"/>
      <c r="P62" s="91"/>
      <c r="Q62" s="91"/>
      <c r="R62" s="91"/>
      <c r="S62" s="90"/>
      <c r="T62" s="91"/>
      <c r="U62" s="94"/>
      <c r="V62" s="94"/>
      <c r="W62" s="91"/>
      <c r="X62" s="94"/>
      <c r="Y62" s="94"/>
      <c r="Z62" s="95"/>
      <c r="AA62" s="341"/>
      <c r="AB62" s="94"/>
      <c r="AC62" s="94"/>
      <c r="AD62" s="95"/>
    </row>
    <row r="63" spans="1:30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27"/>
        <v>0</v>
      </c>
      <c r="K63" s="142"/>
      <c r="L63" s="158">
        <f t="shared" si="3"/>
        <v>0</v>
      </c>
      <c r="M63" s="93"/>
      <c r="N63" s="91"/>
      <c r="O63" s="91"/>
      <c r="P63" s="91"/>
      <c r="Q63" s="91"/>
      <c r="R63" s="91"/>
      <c r="S63" s="90"/>
      <c r="T63" s="91"/>
      <c r="U63" s="94"/>
      <c r="V63" s="94"/>
      <c r="W63" s="91"/>
      <c r="X63" s="94"/>
      <c r="Y63" s="94"/>
      <c r="Z63" s="95"/>
      <c r="AA63" s="341"/>
      <c r="AB63" s="94"/>
      <c r="AC63" s="94"/>
      <c r="AD63" s="95"/>
    </row>
    <row r="64" spans="1:30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27"/>
        <v>0</v>
      </c>
      <c r="K64" s="142"/>
      <c r="L64" s="158">
        <f t="shared" si="3"/>
        <v>0</v>
      </c>
      <c r="M64" s="93"/>
      <c r="N64" s="91"/>
      <c r="O64" s="91"/>
      <c r="P64" s="91"/>
      <c r="Q64" s="91"/>
      <c r="R64" s="91"/>
      <c r="S64" s="90"/>
      <c r="T64" s="91"/>
      <c r="U64" s="94"/>
      <c r="V64" s="94"/>
      <c r="W64" s="91"/>
      <c r="X64" s="94"/>
      <c r="Y64" s="94"/>
      <c r="Z64" s="95"/>
      <c r="AA64" s="341"/>
      <c r="AB64" s="94"/>
      <c r="AC64" s="94"/>
      <c r="AD64" s="95"/>
    </row>
    <row r="65" spans="1:31" s="18" customForma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27"/>
        <v>0</v>
      </c>
      <c r="K65" s="142"/>
      <c r="L65" s="158">
        <f t="shared" si="3"/>
        <v>0</v>
      </c>
      <c r="M65" s="93"/>
      <c r="N65" s="91"/>
      <c r="O65" s="91"/>
      <c r="P65" s="91"/>
      <c r="Q65" s="91"/>
      <c r="R65" s="91"/>
      <c r="S65" s="90"/>
      <c r="T65" s="91"/>
      <c r="U65" s="94"/>
      <c r="V65" s="94"/>
      <c r="W65" s="91"/>
      <c r="X65" s="94"/>
      <c r="Y65" s="94"/>
      <c r="Z65" s="95"/>
      <c r="AA65" s="341"/>
      <c r="AB65" s="94"/>
      <c r="AC65" s="94"/>
      <c r="AD65" s="95"/>
    </row>
    <row r="66" spans="1:31" s="18" customForma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100000</v>
      </c>
      <c r="G66" s="341">
        <v>100000</v>
      </c>
      <c r="H66" s="311">
        <v>0</v>
      </c>
      <c r="I66" s="509">
        <v>0</v>
      </c>
      <c r="J66" s="233">
        <f>J67+J68+J69</f>
        <v>100000</v>
      </c>
      <c r="K66" s="142">
        <f t="shared" ref="K66:AD66" si="28">K67+K68+K69</f>
        <v>0</v>
      </c>
      <c r="L66" s="158">
        <f t="shared" si="3"/>
        <v>100000</v>
      </c>
      <c r="M66" s="93">
        <f t="shared" ref="M66:R66" si="29">M67+M68+M69</f>
        <v>0</v>
      </c>
      <c r="N66" s="91">
        <f t="shared" si="29"/>
        <v>0</v>
      </c>
      <c r="O66" s="91">
        <f t="shared" si="29"/>
        <v>0</v>
      </c>
      <c r="P66" s="91">
        <f t="shared" si="29"/>
        <v>0</v>
      </c>
      <c r="Q66" s="91"/>
      <c r="R66" s="91">
        <f t="shared" si="29"/>
        <v>100000</v>
      </c>
      <c r="S66" s="90">
        <f t="shared" si="28"/>
        <v>10000</v>
      </c>
      <c r="T66" s="91">
        <f t="shared" si="28"/>
        <v>10000</v>
      </c>
      <c r="U66" s="94">
        <f t="shared" si="28"/>
        <v>10000</v>
      </c>
      <c r="V66" s="94">
        <f t="shared" si="28"/>
        <v>10000</v>
      </c>
      <c r="W66" s="91">
        <f t="shared" si="28"/>
        <v>10000</v>
      </c>
      <c r="X66" s="94">
        <f t="shared" si="28"/>
        <v>10000</v>
      </c>
      <c r="Y66" s="94">
        <f t="shared" si="28"/>
        <v>0</v>
      </c>
      <c r="Z66" s="95">
        <f t="shared" si="28"/>
        <v>0</v>
      </c>
      <c r="AA66" s="341">
        <f t="shared" si="28"/>
        <v>10000</v>
      </c>
      <c r="AB66" s="94">
        <f t="shared" si="28"/>
        <v>10000</v>
      </c>
      <c r="AC66" s="94">
        <f t="shared" si="28"/>
        <v>10000</v>
      </c>
      <c r="AD66" s="95">
        <f t="shared" si="28"/>
        <v>10000</v>
      </c>
    </row>
    <row r="67" spans="1:31" ht="15" hidden="1" customHeight="1" x14ac:dyDescent="0.25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SUM(S67:AD67)</f>
        <v>0</v>
      </c>
      <c r="K67" s="141"/>
      <c r="L67" s="159">
        <f t="shared" si="3"/>
        <v>0</v>
      </c>
      <c r="M67" s="42"/>
      <c r="N67" s="1"/>
      <c r="O67" s="1"/>
      <c r="P67" s="1"/>
      <c r="Q67" s="1"/>
      <c r="R67" s="1"/>
      <c r="S67" s="72"/>
      <c r="T67" s="1"/>
      <c r="U67" s="78"/>
      <c r="V67" s="78"/>
      <c r="W67" s="1"/>
      <c r="X67" s="78"/>
      <c r="Y67" s="78"/>
      <c r="Z67" s="44"/>
      <c r="AA67" s="343"/>
      <c r="AB67" s="78"/>
      <c r="AC67" s="78"/>
      <c r="AD67" s="44"/>
      <c r="AE67" s="21"/>
    </row>
    <row r="68" spans="1:31" s="199" customFormat="1" x14ac:dyDescent="0.25">
      <c r="A68" s="280"/>
      <c r="B68" s="181"/>
      <c r="C68" s="190"/>
      <c r="D68" s="630" t="s">
        <v>344</v>
      </c>
      <c r="E68" s="630"/>
      <c r="F68" s="183">
        <v>100000</v>
      </c>
      <c r="G68" s="340">
        <v>100000</v>
      </c>
      <c r="H68" s="310">
        <v>0</v>
      </c>
      <c r="I68" s="508">
        <v>0</v>
      </c>
      <c r="J68" s="251">
        <f>SUM(S68:AD68)</f>
        <v>100000</v>
      </c>
      <c r="K68" s="182"/>
      <c r="L68" s="183">
        <f t="shared" si="3"/>
        <v>100000</v>
      </c>
      <c r="M68" s="184"/>
      <c r="N68" s="185"/>
      <c r="O68" s="185"/>
      <c r="P68" s="185"/>
      <c r="Q68" s="185"/>
      <c r="R68" s="185">
        <f>L68</f>
        <v>100000</v>
      </c>
      <c r="S68" s="191">
        <v>10000</v>
      </c>
      <c r="T68" s="185">
        <v>10000</v>
      </c>
      <c r="U68" s="186">
        <v>10000</v>
      </c>
      <c r="V68" s="186">
        <v>10000</v>
      </c>
      <c r="W68" s="185">
        <v>10000</v>
      </c>
      <c r="X68" s="186">
        <v>10000</v>
      </c>
      <c r="Y68" s="186"/>
      <c r="Z68" s="187"/>
      <c r="AA68" s="340">
        <v>10000</v>
      </c>
      <c r="AB68" s="186">
        <v>10000</v>
      </c>
      <c r="AC68" s="186">
        <v>10000</v>
      </c>
      <c r="AD68" s="187">
        <v>10000</v>
      </c>
    </row>
    <row r="69" spans="1:31" ht="15" hidden="1" customHeight="1" x14ac:dyDescent="0.25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SUM(S69:AD69)</f>
        <v>0</v>
      </c>
      <c r="K69" s="141"/>
      <c r="L69" s="159">
        <f t="shared" si="3"/>
        <v>0</v>
      </c>
      <c r="M69" s="42"/>
      <c r="N69" s="1"/>
      <c r="O69" s="1"/>
      <c r="P69" s="1"/>
      <c r="Q69" s="1"/>
      <c r="R69" s="1"/>
      <c r="S69" s="72"/>
      <c r="T69" s="1"/>
      <c r="U69" s="78"/>
      <c r="V69" s="78"/>
      <c r="W69" s="1"/>
      <c r="X69" s="78"/>
      <c r="Y69" s="78"/>
      <c r="Z69" s="44"/>
      <c r="AA69" s="343"/>
      <c r="AB69" s="78"/>
      <c r="AC69" s="78"/>
      <c r="AD69" s="44"/>
    </row>
    <row r="70" spans="1:31" s="18" customForma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1700000</v>
      </c>
      <c r="G70" s="341">
        <v>1700000</v>
      </c>
      <c r="H70" s="311">
        <v>1794970</v>
      </c>
      <c r="I70" s="509">
        <v>1794970</v>
      </c>
      <c r="J70" s="233">
        <f>J71+J74+J75+J76</f>
        <v>1934970</v>
      </c>
      <c r="K70" s="142">
        <f t="shared" ref="K70:AD70" si="30">K71+K74+K75+K76</f>
        <v>0</v>
      </c>
      <c r="L70" s="158">
        <f t="shared" ref="L70:L145" si="31">SUM(J70:K70)</f>
        <v>1934970</v>
      </c>
      <c r="M70" s="93">
        <f t="shared" ref="M70:R70" si="32">M71+M74+M75+M76</f>
        <v>0</v>
      </c>
      <c r="N70" s="91">
        <f t="shared" si="32"/>
        <v>0</v>
      </c>
      <c r="O70" s="91">
        <f t="shared" si="32"/>
        <v>0</v>
      </c>
      <c r="P70" s="91">
        <f t="shared" si="32"/>
        <v>0</v>
      </c>
      <c r="Q70" s="91"/>
      <c r="R70" s="91">
        <f t="shared" si="32"/>
        <v>1934970</v>
      </c>
      <c r="S70" s="90">
        <f t="shared" si="30"/>
        <v>36000</v>
      </c>
      <c r="T70" s="91">
        <f t="shared" si="30"/>
        <v>82000</v>
      </c>
      <c r="U70" s="94">
        <f t="shared" si="30"/>
        <v>53000</v>
      </c>
      <c r="V70" s="94">
        <f t="shared" si="30"/>
        <v>63000</v>
      </c>
      <c r="W70" s="91">
        <f t="shared" si="30"/>
        <v>68000</v>
      </c>
      <c r="X70" s="94">
        <f t="shared" si="30"/>
        <v>82000</v>
      </c>
      <c r="Y70" s="94">
        <f t="shared" si="30"/>
        <v>85000</v>
      </c>
      <c r="Z70" s="95">
        <f t="shared" si="30"/>
        <v>79000</v>
      </c>
      <c r="AA70" s="341">
        <f t="shared" si="30"/>
        <v>127000</v>
      </c>
      <c r="AB70" s="94">
        <f t="shared" si="30"/>
        <v>154575</v>
      </c>
      <c r="AC70" s="94">
        <f t="shared" si="30"/>
        <v>83000</v>
      </c>
      <c r="AD70" s="95">
        <f t="shared" si="30"/>
        <v>1022395</v>
      </c>
    </row>
    <row r="71" spans="1:31" s="199" customFormat="1" x14ac:dyDescent="0.25">
      <c r="A71" s="280"/>
      <c r="B71" s="181"/>
      <c r="C71" s="190"/>
      <c r="D71" s="630" t="s">
        <v>835</v>
      </c>
      <c r="E71" s="630"/>
      <c r="F71" s="183">
        <v>400000</v>
      </c>
      <c r="G71" s="340">
        <v>400000</v>
      </c>
      <c r="H71" s="310">
        <v>420000</v>
      </c>
      <c r="I71" s="508">
        <v>420000</v>
      </c>
      <c r="J71" s="251">
        <f>SUM(J72:J73)</f>
        <v>560000</v>
      </c>
      <c r="K71" s="182">
        <f>SUM(K72:K73)</f>
        <v>0</v>
      </c>
      <c r="L71" s="183">
        <f t="shared" si="31"/>
        <v>560000</v>
      </c>
      <c r="M71" s="184">
        <f t="shared" ref="M71:AD71" si="33">SUM(M72:M73)</f>
        <v>0</v>
      </c>
      <c r="N71" s="185">
        <f t="shared" si="33"/>
        <v>0</v>
      </c>
      <c r="O71" s="185">
        <f t="shared" si="33"/>
        <v>0</v>
      </c>
      <c r="P71" s="185">
        <f t="shared" si="33"/>
        <v>0</v>
      </c>
      <c r="Q71" s="185"/>
      <c r="R71" s="185">
        <f t="shared" si="33"/>
        <v>560000</v>
      </c>
      <c r="S71" s="191">
        <f t="shared" si="33"/>
        <v>0</v>
      </c>
      <c r="T71" s="185">
        <f t="shared" si="33"/>
        <v>10000</v>
      </c>
      <c r="U71" s="186">
        <f t="shared" si="33"/>
        <v>10000</v>
      </c>
      <c r="V71" s="186">
        <f t="shared" si="33"/>
        <v>10000</v>
      </c>
      <c r="W71" s="185">
        <f t="shared" si="33"/>
        <v>10000</v>
      </c>
      <c r="X71" s="186">
        <f t="shared" si="33"/>
        <v>40000</v>
      </c>
      <c r="Y71" s="186">
        <f t="shared" si="33"/>
        <v>50000</v>
      </c>
      <c r="Z71" s="187">
        <f t="shared" si="33"/>
        <v>40000</v>
      </c>
      <c r="AA71" s="340">
        <f t="shared" si="33"/>
        <v>0</v>
      </c>
      <c r="AB71" s="186">
        <f t="shared" si="33"/>
        <v>0</v>
      </c>
      <c r="AC71" s="186">
        <f t="shared" si="33"/>
        <v>0</v>
      </c>
      <c r="AD71" s="187">
        <f t="shared" si="33"/>
        <v>390000</v>
      </c>
    </row>
    <row r="72" spans="1:31" x14ac:dyDescent="0.25">
      <c r="B72" s="54"/>
      <c r="C72" s="2"/>
      <c r="D72" s="327"/>
      <c r="E72" s="327" t="s">
        <v>1022</v>
      </c>
      <c r="F72" s="159">
        <v>300000</v>
      </c>
      <c r="G72" s="343">
        <v>300000</v>
      </c>
      <c r="H72" s="313">
        <v>320000</v>
      </c>
      <c r="I72" s="513">
        <v>320000</v>
      </c>
      <c r="J72" s="232">
        <f>SUM(S72:AD72)</f>
        <v>460000</v>
      </c>
      <c r="K72" s="141"/>
      <c r="L72" s="159">
        <f>SUM(J72:K72)</f>
        <v>460000</v>
      </c>
      <c r="M72" s="42"/>
      <c r="N72" s="1"/>
      <c r="O72" s="1"/>
      <c r="P72" s="1"/>
      <c r="Q72" s="1"/>
      <c r="R72" s="1">
        <f>L72</f>
        <v>460000</v>
      </c>
      <c r="S72" s="72"/>
      <c r="T72" s="1">
        <v>10000</v>
      </c>
      <c r="U72" s="78">
        <v>10000</v>
      </c>
      <c r="V72" s="78">
        <v>10000</v>
      </c>
      <c r="W72" s="78">
        <v>10000</v>
      </c>
      <c r="X72" s="78">
        <v>40000</v>
      </c>
      <c r="Y72" s="78">
        <v>50000</v>
      </c>
      <c r="Z72" s="44">
        <v>40000</v>
      </c>
      <c r="AA72" s="343"/>
      <c r="AB72" s="78"/>
      <c r="AC72" s="78"/>
      <c r="AD72" s="44">
        <v>290000</v>
      </c>
    </row>
    <row r="73" spans="1:31" x14ac:dyDescent="0.25">
      <c r="B73" s="54"/>
      <c r="C73" s="2"/>
      <c r="D73" s="327"/>
      <c r="E73" s="327" t="s">
        <v>1023</v>
      </c>
      <c r="F73" s="159">
        <v>100000</v>
      </c>
      <c r="G73" s="343">
        <v>100000</v>
      </c>
      <c r="H73" s="313">
        <v>100000</v>
      </c>
      <c r="I73" s="513">
        <v>100000</v>
      </c>
      <c r="J73" s="232">
        <f>SUM(S73:AD73)</f>
        <v>100000</v>
      </c>
      <c r="K73" s="141"/>
      <c r="L73" s="159">
        <f>SUM(J73:K73)</f>
        <v>100000</v>
      </c>
      <c r="M73" s="42"/>
      <c r="N73" s="1"/>
      <c r="O73" s="1"/>
      <c r="P73" s="1"/>
      <c r="Q73" s="1"/>
      <c r="R73" s="1">
        <f>L73</f>
        <v>100000</v>
      </c>
      <c r="S73" s="72"/>
      <c r="T73" s="1"/>
      <c r="U73" s="78"/>
      <c r="V73" s="78"/>
      <c r="W73" s="1"/>
      <c r="X73" s="78"/>
      <c r="Y73" s="78"/>
      <c r="Z73" s="44"/>
      <c r="AA73" s="343"/>
      <c r="AB73" s="78"/>
      <c r="AC73" s="78"/>
      <c r="AD73" s="44">
        <v>100000</v>
      </c>
    </row>
    <row r="74" spans="1:31" s="199" customFormat="1" x14ac:dyDescent="0.25">
      <c r="A74" s="280"/>
      <c r="B74" s="181"/>
      <c r="C74" s="190"/>
      <c r="D74" s="630" t="s">
        <v>346</v>
      </c>
      <c r="E74" s="630"/>
      <c r="F74" s="183">
        <v>0</v>
      </c>
      <c r="G74" s="340">
        <v>0</v>
      </c>
      <c r="H74" s="310">
        <v>0</v>
      </c>
      <c r="I74" s="508">
        <v>0</v>
      </c>
      <c r="J74" s="251">
        <f>SUM(S74:AD74)</f>
        <v>0</v>
      </c>
      <c r="K74" s="182"/>
      <c r="L74" s="183">
        <f t="shared" si="31"/>
        <v>0</v>
      </c>
      <c r="M74" s="184"/>
      <c r="N74" s="185"/>
      <c r="O74" s="185"/>
      <c r="P74" s="185"/>
      <c r="Q74" s="185"/>
      <c r="R74" s="185">
        <f>L74</f>
        <v>0</v>
      </c>
      <c r="S74" s="191"/>
      <c r="T74" s="185"/>
      <c r="U74" s="186"/>
      <c r="V74" s="186"/>
      <c r="W74" s="185"/>
      <c r="X74" s="186"/>
      <c r="Y74" s="186"/>
      <c r="Z74" s="187"/>
      <c r="AA74" s="340"/>
      <c r="AB74" s="186"/>
      <c r="AC74" s="186"/>
      <c r="AD74" s="187"/>
    </row>
    <row r="75" spans="1:31" s="199" customFormat="1" x14ac:dyDescent="0.25">
      <c r="A75" s="280"/>
      <c r="B75" s="181"/>
      <c r="C75" s="190"/>
      <c r="D75" s="630" t="s">
        <v>836</v>
      </c>
      <c r="E75" s="630"/>
      <c r="F75" s="183">
        <v>1300000</v>
      </c>
      <c r="G75" s="340">
        <v>1300000</v>
      </c>
      <c r="H75" s="310">
        <v>1374970</v>
      </c>
      <c r="I75" s="508">
        <v>1374970</v>
      </c>
      <c r="J75" s="251">
        <f>SUM(S75:AD75)</f>
        <v>1374970</v>
      </c>
      <c r="K75" s="182"/>
      <c r="L75" s="183">
        <f>SUM(J75:K75)</f>
        <v>1374970</v>
      </c>
      <c r="M75" s="184"/>
      <c r="N75" s="185"/>
      <c r="O75" s="185"/>
      <c r="P75" s="185"/>
      <c r="Q75" s="185"/>
      <c r="R75" s="185">
        <f>L75</f>
        <v>1374970</v>
      </c>
      <c r="S75" s="191">
        <v>36000</v>
      </c>
      <c r="T75" s="185">
        <v>72000</v>
      </c>
      <c r="U75" s="186">
        <v>43000</v>
      </c>
      <c r="V75" s="186">
        <v>53000</v>
      </c>
      <c r="W75" s="185">
        <v>58000</v>
      </c>
      <c r="X75" s="186">
        <v>42000</v>
      </c>
      <c r="Y75" s="186">
        <v>35000</v>
      </c>
      <c r="Z75" s="187">
        <v>39000</v>
      </c>
      <c r="AA75" s="340">
        <f>22000+20000+5000+80000</f>
        <v>127000</v>
      </c>
      <c r="AB75" s="186">
        <f>15000+5000+20000+32000-33165+115740</f>
        <v>154575</v>
      </c>
      <c r="AC75" s="186">
        <f>42000+20000+21000</f>
        <v>83000</v>
      </c>
      <c r="AD75" s="187">
        <f>74000+24000+100000+2000+350000+41395+1000+40000</f>
        <v>632395</v>
      </c>
    </row>
    <row r="76" spans="1:31" s="199" customFormat="1" ht="15.75" thickBot="1" x14ac:dyDescent="0.3">
      <c r="A76" s="280"/>
      <c r="B76" s="181"/>
      <c r="C76" s="190"/>
      <c r="D76" s="630" t="s">
        <v>834</v>
      </c>
      <c r="E76" s="630"/>
      <c r="F76" s="183">
        <v>0</v>
      </c>
      <c r="G76" s="340">
        <v>0</v>
      </c>
      <c r="H76" s="310">
        <v>0</v>
      </c>
      <c r="I76" s="508">
        <v>0</v>
      </c>
      <c r="J76" s="251">
        <f>SUM(S76:AD76)</f>
        <v>0</v>
      </c>
      <c r="K76" s="182"/>
      <c r="L76" s="183">
        <f>SUM(J76:K76)</f>
        <v>0</v>
      </c>
      <c r="M76" s="184"/>
      <c r="N76" s="185"/>
      <c r="O76" s="185"/>
      <c r="P76" s="185"/>
      <c r="Q76" s="185"/>
      <c r="R76" s="185">
        <f>L76</f>
        <v>0</v>
      </c>
      <c r="S76" s="191"/>
      <c r="T76" s="185"/>
      <c r="U76" s="186"/>
      <c r="V76" s="186"/>
      <c r="W76" s="185"/>
      <c r="X76" s="186"/>
      <c r="Y76" s="186"/>
      <c r="Z76" s="187"/>
      <c r="AA76" s="340"/>
      <c r="AB76" s="186"/>
      <c r="AC76" s="186"/>
      <c r="AD76" s="187"/>
    </row>
    <row r="77" spans="1:31" ht="15.75" thickBot="1" x14ac:dyDescent="0.3">
      <c r="B77" s="96" t="s">
        <v>220</v>
      </c>
      <c r="C77" s="632" t="s">
        <v>221</v>
      </c>
      <c r="D77" s="633"/>
      <c r="E77" s="633"/>
      <c r="F77" s="156">
        <v>3344299</v>
      </c>
      <c r="G77" s="338">
        <v>3345049</v>
      </c>
      <c r="H77" s="308">
        <v>3446047</v>
      </c>
      <c r="I77" s="506">
        <v>3529723</v>
      </c>
      <c r="J77" s="235">
        <f>J78+J81+J85+J86+J97+J108+J129+J132+J144+J145+J146+J147+J161</f>
        <v>4217195</v>
      </c>
      <c r="K77" s="144">
        <f>K78+K81+K85+K86+K97+K108+K129+K132+K144+K145+K146+K147+K161</f>
        <v>0</v>
      </c>
      <c r="L77" s="156">
        <f t="shared" si="31"/>
        <v>4217195</v>
      </c>
      <c r="M77" s="85">
        <f t="shared" ref="M77:AD77" si="34">M78+M81+M85+M86+M97+M108+M129+M132+M144+M145+M146+M147+M161</f>
        <v>83676</v>
      </c>
      <c r="N77" s="83">
        <f>N78+N81+N85+N86+N97+N108+N129+N132+N144+N145+N146+N147+N161</f>
        <v>3031000</v>
      </c>
      <c r="O77" s="83">
        <f t="shared" si="34"/>
        <v>691186</v>
      </c>
      <c r="P77" s="83">
        <f t="shared" si="34"/>
        <v>0</v>
      </c>
      <c r="Q77" s="83"/>
      <c r="R77" s="83">
        <f t="shared" si="34"/>
        <v>285479</v>
      </c>
      <c r="S77" s="82">
        <f t="shared" si="34"/>
        <v>256039</v>
      </c>
      <c r="T77" s="83">
        <f t="shared" si="34"/>
        <v>10750</v>
      </c>
      <c r="U77" s="86">
        <f t="shared" si="34"/>
        <v>0</v>
      </c>
      <c r="V77" s="86">
        <f t="shared" si="34"/>
        <v>10998</v>
      </c>
      <c r="W77" s="83">
        <f t="shared" si="34"/>
        <v>83676</v>
      </c>
      <c r="X77" s="86">
        <f t="shared" si="34"/>
        <v>150000</v>
      </c>
      <c r="Y77" s="86">
        <f t="shared" si="34"/>
        <v>25800</v>
      </c>
      <c r="Z77" s="87">
        <f t="shared" si="34"/>
        <v>150000</v>
      </c>
      <c r="AA77" s="338">
        <f t="shared" si="34"/>
        <v>1848312</v>
      </c>
      <c r="AB77" s="86">
        <f t="shared" si="34"/>
        <v>627356</v>
      </c>
      <c r="AC77" s="86">
        <f t="shared" si="34"/>
        <v>547225</v>
      </c>
      <c r="AD77" s="87">
        <f t="shared" si="34"/>
        <v>507039</v>
      </c>
    </row>
    <row r="78" spans="1:31" s="41" customFormat="1" ht="13.5" hidden="1" customHeight="1" x14ac:dyDescent="0.25">
      <c r="A78" s="118" t="s">
        <v>222</v>
      </c>
      <c r="B78" s="116" t="s">
        <v>657</v>
      </c>
      <c r="C78" s="657" t="s">
        <v>223</v>
      </c>
      <c r="D78" s="658"/>
      <c r="E78" s="658"/>
      <c r="F78" s="161">
        <v>0</v>
      </c>
      <c r="G78" s="344">
        <v>0</v>
      </c>
      <c r="H78" s="314">
        <v>0</v>
      </c>
      <c r="I78" s="515">
        <v>0</v>
      </c>
      <c r="J78" s="240">
        <f>J79+J80</f>
        <v>0</v>
      </c>
      <c r="K78" s="149">
        <f t="shared" ref="K78:AD78" si="35">K79+K80</f>
        <v>0</v>
      </c>
      <c r="L78" s="161">
        <f t="shared" si="31"/>
        <v>0</v>
      </c>
      <c r="M78" s="123">
        <f t="shared" ref="M78:R78" si="36">M79+M80</f>
        <v>0</v>
      </c>
      <c r="N78" s="124">
        <f t="shared" si="36"/>
        <v>0</v>
      </c>
      <c r="O78" s="124">
        <f t="shared" si="36"/>
        <v>0</v>
      </c>
      <c r="P78" s="124">
        <f t="shared" si="36"/>
        <v>0</v>
      </c>
      <c r="Q78" s="124"/>
      <c r="R78" s="124">
        <f t="shared" si="36"/>
        <v>0</v>
      </c>
      <c r="S78" s="163">
        <f t="shared" si="35"/>
        <v>0</v>
      </c>
      <c r="T78" s="124">
        <f t="shared" si="35"/>
        <v>0</v>
      </c>
      <c r="U78" s="125">
        <f t="shared" si="35"/>
        <v>0</v>
      </c>
      <c r="V78" s="125">
        <f t="shared" si="35"/>
        <v>0</v>
      </c>
      <c r="W78" s="124">
        <f t="shared" si="35"/>
        <v>0</v>
      </c>
      <c r="X78" s="125">
        <f t="shared" si="35"/>
        <v>0</v>
      </c>
      <c r="Y78" s="125">
        <f t="shared" si="35"/>
        <v>0</v>
      </c>
      <c r="Z78" s="126">
        <f t="shared" si="35"/>
        <v>0</v>
      </c>
      <c r="AA78" s="344">
        <f t="shared" si="35"/>
        <v>0</v>
      </c>
      <c r="AB78" s="125">
        <f t="shared" si="35"/>
        <v>0</v>
      </c>
      <c r="AC78" s="125">
        <f t="shared" si="35"/>
        <v>0</v>
      </c>
      <c r="AD78" s="126">
        <f t="shared" si="35"/>
        <v>0</v>
      </c>
    </row>
    <row r="79" spans="1:31" ht="13.5" hidden="1" customHeight="1" x14ac:dyDescent="0.25">
      <c r="B79" s="54"/>
      <c r="C79" s="2"/>
      <c r="D79" s="624" t="s">
        <v>347</v>
      </c>
      <c r="E79" s="624"/>
      <c r="F79" s="159">
        <v>0</v>
      </c>
      <c r="G79" s="343">
        <v>0</v>
      </c>
      <c r="H79" s="313">
        <v>0</v>
      </c>
      <c r="I79" s="513">
        <v>0</v>
      </c>
      <c r="J79" s="232">
        <f>SUM(S79:AD79)</f>
        <v>0</v>
      </c>
      <c r="K79" s="141"/>
      <c r="L79" s="159">
        <f t="shared" si="31"/>
        <v>0</v>
      </c>
      <c r="M79" s="42"/>
      <c r="N79" s="1"/>
      <c r="O79" s="1"/>
      <c r="P79" s="1"/>
      <c r="Q79" s="1"/>
      <c r="R79" s="1"/>
      <c r="S79" s="72"/>
      <c r="T79" s="1"/>
      <c r="U79" s="78"/>
      <c r="V79" s="78"/>
      <c r="W79" s="1"/>
      <c r="X79" s="78"/>
      <c r="Y79" s="78"/>
      <c r="Z79" s="44"/>
      <c r="AA79" s="343"/>
      <c r="AB79" s="78"/>
      <c r="AC79" s="78"/>
      <c r="AD79" s="44"/>
    </row>
    <row r="80" spans="1:31" ht="13.5" hidden="1" customHeight="1" x14ac:dyDescent="0.25">
      <c r="B80" s="54"/>
      <c r="C80" s="2"/>
      <c r="D80" s="624" t="s">
        <v>348</v>
      </c>
      <c r="E80" s="624"/>
      <c r="F80" s="159">
        <v>0</v>
      </c>
      <c r="G80" s="343">
        <v>0</v>
      </c>
      <c r="H80" s="313">
        <v>0</v>
      </c>
      <c r="I80" s="513">
        <v>0</v>
      </c>
      <c r="J80" s="232">
        <f>SUM(S80:AD80)</f>
        <v>0</v>
      </c>
      <c r="K80" s="141"/>
      <c r="L80" s="159">
        <f t="shared" si="31"/>
        <v>0</v>
      </c>
      <c r="M80" s="42"/>
      <c r="N80" s="1"/>
      <c r="O80" s="1"/>
      <c r="P80" s="1"/>
      <c r="Q80" s="1"/>
      <c r="R80" s="1"/>
      <c r="S80" s="72"/>
      <c r="T80" s="1"/>
      <c r="U80" s="78"/>
      <c r="V80" s="78"/>
      <c r="W80" s="1"/>
      <c r="X80" s="78"/>
      <c r="Y80" s="78"/>
      <c r="Z80" s="44"/>
      <c r="AA80" s="343"/>
      <c r="AB80" s="78"/>
      <c r="AC80" s="78"/>
      <c r="AD80" s="44"/>
    </row>
    <row r="81" spans="1:30" ht="13.5" customHeight="1" x14ac:dyDescent="0.25">
      <c r="B81" s="116" t="s">
        <v>837</v>
      </c>
      <c r="C81" s="657" t="s">
        <v>838</v>
      </c>
      <c r="D81" s="658"/>
      <c r="E81" s="658"/>
      <c r="F81" s="161">
        <v>0</v>
      </c>
      <c r="G81" s="344">
        <v>0</v>
      </c>
      <c r="H81" s="314">
        <v>0</v>
      </c>
      <c r="I81" s="515">
        <v>83676</v>
      </c>
      <c r="J81" s="240">
        <f>J82+J83+J84</f>
        <v>83676</v>
      </c>
      <c r="K81" s="149">
        <f t="shared" ref="K81:AD81" si="37">K82+K83+K84</f>
        <v>0</v>
      </c>
      <c r="L81" s="161">
        <f t="shared" si="31"/>
        <v>83676</v>
      </c>
      <c r="M81" s="123">
        <f t="shared" ref="M81:R81" si="38">M82+M83+M84</f>
        <v>83676</v>
      </c>
      <c r="N81" s="124">
        <f t="shared" si="38"/>
        <v>0</v>
      </c>
      <c r="O81" s="124">
        <f t="shared" si="38"/>
        <v>0</v>
      </c>
      <c r="P81" s="124">
        <f t="shared" si="38"/>
        <v>0</v>
      </c>
      <c r="Q81" s="124"/>
      <c r="R81" s="124">
        <f t="shared" si="38"/>
        <v>0</v>
      </c>
      <c r="S81" s="163">
        <f t="shared" si="37"/>
        <v>0</v>
      </c>
      <c r="T81" s="124">
        <f t="shared" si="37"/>
        <v>0</v>
      </c>
      <c r="U81" s="125">
        <f t="shared" si="37"/>
        <v>0</v>
      </c>
      <c r="V81" s="125">
        <f t="shared" si="37"/>
        <v>0</v>
      </c>
      <c r="W81" s="124">
        <f t="shared" si="37"/>
        <v>83676</v>
      </c>
      <c r="X81" s="125">
        <f t="shared" si="37"/>
        <v>0</v>
      </c>
      <c r="Y81" s="125">
        <f t="shared" si="37"/>
        <v>0</v>
      </c>
      <c r="Z81" s="126">
        <f t="shared" si="37"/>
        <v>0</v>
      </c>
      <c r="AA81" s="344">
        <f t="shared" si="37"/>
        <v>0</v>
      </c>
      <c r="AB81" s="125">
        <f t="shared" si="37"/>
        <v>0</v>
      </c>
      <c r="AC81" s="125">
        <f t="shared" si="37"/>
        <v>0</v>
      </c>
      <c r="AD81" s="126">
        <f t="shared" si="37"/>
        <v>0</v>
      </c>
    </row>
    <row r="82" spans="1:30" s="199" customFormat="1" ht="13.5" customHeight="1" x14ac:dyDescent="0.25">
      <c r="A82" s="118" t="s">
        <v>882</v>
      </c>
      <c r="B82" s="181" t="s">
        <v>883</v>
      </c>
      <c r="C82" s="194"/>
      <c r="D82" s="247" t="s">
        <v>969</v>
      </c>
      <c r="E82" s="247"/>
      <c r="F82" s="183">
        <v>0</v>
      </c>
      <c r="G82" s="340">
        <v>0</v>
      </c>
      <c r="H82" s="310">
        <v>0</v>
      </c>
      <c r="I82" s="508">
        <v>83676</v>
      </c>
      <c r="J82" s="251">
        <f>SUM(S82:AD82)</f>
        <v>83676</v>
      </c>
      <c r="K82" s="182"/>
      <c r="L82" s="183">
        <f>SUM(J82:K82)</f>
        <v>83676</v>
      </c>
      <c r="M82" s="184">
        <f>L82</f>
        <v>83676</v>
      </c>
      <c r="N82" s="185"/>
      <c r="O82" s="185"/>
      <c r="P82" s="185"/>
      <c r="Q82" s="185"/>
      <c r="R82" s="185"/>
      <c r="S82" s="191"/>
      <c r="T82" s="185"/>
      <c r="U82" s="186"/>
      <c r="V82" s="186"/>
      <c r="W82" s="185">
        <v>83676</v>
      </c>
      <c r="X82" s="186"/>
      <c r="Y82" s="186"/>
      <c r="Z82" s="187"/>
      <c r="AA82" s="340"/>
      <c r="AB82" s="186"/>
      <c r="AC82" s="186"/>
      <c r="AD82" s="187"/>
    </row>
    <row r="83" spans="1:30" s="199" customFormat="1" ht="13.5" hidden="1" customHeight="1" x14ac:dyDescent="0.25">
      <c r="A83" s="118" t="s">
        <v>224</v>
      </c>
      <c r="B83" s="181" t="s">
        <v>658</v>
      </c>
      <c r="C83" s="194"/>
      <c r="D83" s="247" t="s">
        <v>225</v>
      </c>
      <c r="E83" s="247"/>
      <c r="F83" s="183">
        <v>0</v>
      </c>
      <c r="G83" s="340">
        <v>0</v>
      </c>
      <c r="H83" s="310">
        <v>0</v>
      </c>
      <c r="I83" s="508">
        <v>0</v>
      </c>
      <c r="J83" s="251">
        <f>SUM(S83:AD83)</f>
        <v>0</v>
      </c>
      <c r="K83" s="182"/>
      <c r="L83" s="183">
        <f t="shared" si="31"/>
        <v>0</v>
      </c>
      <c r="M83" s="184"/>
      <c r="N83" s="185"/>
      <c r="O83" s="185"/>
      <c r="P83" s="185"/>
      <c r="Q83" s="185"/>
      <c r="R83" s="185"/>
      <c r="S83" s="191"/>
      <c r="T83" s="185"/>
      <c r="U83" s="186"/>
      <c r="V83" s="186"/>
      <c r="W83" s="185"/>
      <c r="X83" s="186"/>
      <c r="Y83" s="186"/>
      <c r="Z83" s="187"/>
      <c r="AA83" s="340"/>
      <c r="AB83" s="186"/>
      <c r="AC83" s="186"/>
      <c r="AD83" s="187"/>
    </row>
    <row r="84" spans="1:30" s="199" customFormat="1" ht="13.5" hidden="1" customHeight="1" x14ac:dyDescent="0.25">
      <c r="A84" s="118" t="s">
        <v>226</v>
      </c>
      <c r="B84" s="181" t="s">
        <v>659</v>
      </c>
      <c r="C84" s="194"/>
      <c r="D84" s="247" t="s">
        <v>227</v>
      </c>
      <c r="E84" s="247"/>
      <c r="F84" s="183">
        <v>0</v>
      </c>
      <c r="G84" s="340">
        <v>0</v>
      </c>
      <c r="H84" s="310">
        <v>0</v>
      </c>
      <c r="I84" s="508">
        <v>0</v>
      </c>
      <c r="J84" s="251">
        <f>SUM(S84:AD84)</f>
        <v>0</v>
      </c>
      <c r="K84" s="182"/>
      <c r="L84" s="183">
        <f t="shared" si="31"/>
        <v>0</v>
      </c>
      <c r="M84" s="184"/>
      <c r="N84" s="185"/>
      <c r="O84" s="185"/>
      <c r="P84" s="185"/>
      <c r="Q84" s="185"/>
      <c r="R84" s="185"/>
      <c r="S84" s="191"/>
      <c r="T84" s="185"/>
      <c r="U84" s="186"/>
      <c r="V84" s="186"/>
      <c r="W84" s="185"/>
      <c r="X84" s="186"/>
      <c r="Y84" s="186"/>
      <c r="Z84" s="187"/>
      <c r="AA84" s="340"/>
      <c r="AB84" s="186"/>
      <c r="AC84" s="186"/>
      <c r="AD84" s="187"/>
    </row>
    <row r="85" spans="1:30" s="41" customFormat="1" ht="13.5" hidden="1" customHeight="1" x14ac:dyDescent="0.25">
      <c r="A85" s="118" t="s">
        <v>228</v>
      </c>
      <c r="B85" s="101" t="s">
        <v>660</v>
      </c>
      <c r="C85" s="708" t="s">
        <v>353</v>
      </c>
      <c r="D85" s="709"/>
      <c r="E85" s="709"/>
      <c r="F85" s="162">
        <v>0</v>
      </c>
      <c r="G85" s="345">
        <v>0</v>
      </c>
      <c r="H85" s="315">
        <v>0</v>
      </c>
      <c r="I85" s="516">
        <v>0</v>
      </c>
      <c r="J85" s="241">
        <f>SUM(S85:AD85)</f>
        <v>0</v>
      </c>
      <c r="K85" s="150"/>
      <c r="L85" s="162">
        <f t="shared" si="31"/>
        <v>0</v>
      </c>
      <c r="M85" s="105"/>
      <c r="N85" s="103"/>
      <c r="O85" s="103"/>
      <c r="P85" s="103"/>
      <c r="Q85" s="103"/>
      <c r="R85" s="103"/>
      <c r="S85" s="102"/>
      <c r="T85" s="103"/>
      <c r="U85" s="106"/>
      <c r="V85" s="106"/>
      <c r="W85" s="103"/>
      <c r="X85" s="106"/>
      <c r="Y85" s="106"/>
      <c r="Z85" s="107"/>
      <c r="AA85" s="345"/>
      <c r="AB85" s="106"/>
      <c r="AC85" s="106"/>
      <c r="AD85" s="107"/>
    </row>
    <row r="86" spans="1:30" s="41" customFormat="1" ht="13.5" hidden="1" customHeight="1" x14ac:dyDescent="0.25">
      <c r="A86" s="118" t="s">
        <v>229</v>
      </c>
      <c r="B86" s="101" t="s">
        <v>661</v>
      </c>
      <c r="C86" s="708" t="s">
        <v>803</v>
      </c>
      <c r="D86" s="709"/>
      <c r="E86" s="709"/>
      <c r="F86" s="162">
        <v>0</v>
      </c>
      <c r="G86" s="345">
        <v>0</v>
      </c>
      <c r="H86" s="315">
        <v>0</v>
      </c>
      <c r="I86" s="516">
        <v>0</v>
      </c>
      <c r="J86" s="241">
        <f>J87+J88+J89+J90+J91+J92+J93+J94+J95+J96</f>
        <v>0</v>
      </c>
      <c r="K86" s="150">
        <f t="shared" ref="K86:AD86" si="39">K87+K88+K89+K90+K91+K92+K93+K94+K95+K96</f>
        <v>0</v>
      </c>
      <c r="L86" s="162">
        <f t="shared" si="31"/>
        <v>0</v>
      </c>
      <c r="M86" s="105">
        <f t="shared" ref="M86:R86" si="40">M87+M88+M89+M90+M91+M92+M93+M94+M95+M96</f>
        <v>0</v>
      </c>
      <c r="N86" s="103">
        <f t="shared" si="40"/>
        <v>0</v>
      </c>
      <c r="O86" s="103">
        <f t="shared" si="40"/>
        <v>0</v>
      </c>
      <c r="P86" s="103">
        <f t="shared" si="40"/>
        <v>0</v>
      </c>
      <c r="Q86" s="103"/>
      <c r="R86" s="103">
        <f t="shared" si="40"/>
        <v>0</v>
      </c>
      <c r="S86" s="102">
        <f t="shared" si="39"/>
        <v>0</v>
      </c>
      <c r="T86" s="103">
        <f t="shared" si="39"/>
        <v>0</v>
      </c>
      <c r="U86" s="106">
        <f t="shared" si="39"/>
        <v>0</v>
      </c>
      <c r="V86" s="106">
        <f t="shared" si="39"/>
        <v>0</v>
      </c>
      <c r="W86" s="103">
        <f t="shared" si="39"/>
        <v>0</v>
      </c>
      <c r="X86" s="106">
        <f t="shared" si="39"/>
        <v>0</v>
      </c>
      <c r="Y86" s="106">
        <f t="shared" si="39"/>
        <v>0</v>
      </c>
      <c r="Z86" s="107">
        <f t="shared" si="39"/>
        <v>0</v>
      </c>
      <c r="AA86" s="345">
        <f t="shared" si="39"/>
        <v>0</v>
      </c>
      <c r="AB86" s="106">
        <f t="shared" si="39"/>
        <v>0</v>
      </c>
      <c r="AC86" s="106">
        <f t="shared" si="39"/>
        <v>0</v>
      </c>
      <c r="AD86" s="107">
        <f t="shared" si="39"/>
        <v>0</v>
      </c>
    </row>
    <row r="87" spans="1:30" ht="13.5" hidden="1" customHeight="1" x14ac:dyDescent="0.25">
      <c r="B87" s="54"/>
      <c r="C87" s="2"/>
      <c r="D87" s="624" t="s">
        <v>370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ref="J87:J96" si="41">SUM(S87:AD87)</f>
        <v>0</v>
      </c>
      <c r="K87" s="141"/>
      <c r="L87" s="159">
        <f t="shared" si="31"/>
        <v>0</v>
      </c>
      <c r="M87" s="42"/>
      <c r="N87" s="1"/>
      <c r="O87" s="1"/>
      <c r="P87" s="1"/>
      <c r="Q87" s="1"/>
      <c r="R87" s="1"/>
      <c r="S87" s="72"/>
      <c r="T87" s="1"/>
      <c r="U87" s="78"/>
      <c r="V87" s="78"/>
      <c r="W87" s="1"/>
      <c r="X87" s="78"/>
      <c r="Y87" s="78"/>
      <c r="Z87" s="44"/>
      <c r="AA87" s="343"/>
      <c r="AB87" s="78"/>
      <c r="AC87" s="78"/>
      <c r="AD87" s="44"/>
    </row>
    <row r="88" spans="1:30" ht="13.5" hidden="1" customHeight="1" x14ac:dyDescent="0.25">
      <c r="B88" s="54"/>
      <c r="C88" s="2"/>
      <c r="D88" s="624" t="s">
        <v>506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41"/>
        <v>0</v>
      </c>
      <c r="K88" s="141"/>
      <c r="L88" s="159">
        <f t="shared" si="31"/>
        <v>0</v>
      </c>
      <c r="M88" s="42"/>
      <c r="N88" s="1"/>
      <c r="O88" s="1"/>
      <c r="P88" s="1"/>
      <c r="Q88" s="1"/>
      <c r="R88" s="1"/>
      <c r="S88" s="72"/>
      <c r="T88" s="1"/>
      <c r="U88" s="78"/>
      <c r="V88" s="78"/>
      <c r="W88" s="1"/>
      <c r="X88" s="78"/>
      <c r="Y88" s="78"/>
      <c r="Z88" s="44"/>
      <c r="AA88" s="343"/>
      <c r="AB88" s="78"/>
      <c r="AC88" s="78"/>
      <c r="AD88" s="44"/>
    </row>
    <row r="89" spans="1:30" ht="13.5" hidden="1" customHeight="1" x14ac:dyDescent="0.25">
      <c r="B89" s="54"/>
      <c r="C89" s="2"/>
      <c r="D89" s="624" t="s">
        <v>507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41"/>
        <v>0</v>
      </c>
      <c r="K89" s="141"/>
      <c r="L89" s="159">
        <f t="shared" si="31"/>
        <v>0</v>
      </c>
      <c r="M89" s="42"/>
      <c r="N89" s="1"/>
      <c r="O89" s="1"/>
      <c r="P89" s="1"/>
      <c r="Q89" s="1"/>
      <c r="R89" s="1"/>
      <c r="S89" s="72"/>
      <c r="T89" s="1"/>
      <c r="U89" s="78"/>
      <c r="V89" s="78"/>
      <c r="W89" s="1"/>
      <c r="X89" s="78"/>
      <c r="Y89" s="78"/>
      <c r="Z89" s="44"/>
      <c r="AA89" s="343"/>
      <c r="AB89" s="78"/>
      <c r="AC89" s="78"/>
      <c r="AD89" s="44"/>
    </row>
    <row r="90" spans="1:30" ht="13.5" hidden="1" customHeight="1" x14ac:dyDescent="0.25">
      <c r="B90" s="54"/>
      <c r="C90" s="2"/>
      <c r="D90" s="624" t="s">
        <v>508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41"/>
        <v>0</v>
      </c>
      <c r="K90" s="141"/>
      <c r="L90" s="159">
        <f t="shared" si="31"/>
        <v>0</v>
      </c>
      <c r="M90" s="42"/>
      <c r="N90" s="1"/>
      <c r="O90" s="1"/>
      <c r="P90" s="1"/>
      <c r="Q90" s="1"/>
      <c r="R90" s="1"/>
      <c r="S90" s="72"/>
      <c r="T90" s="1"/>
      <c r="U90" s="78"/>
      <c r="V90" s="78"/>
      <c r="W90" s="1"/>
      <c r="X90" s="78"/>
      <c r="Y90" s="78"/>
      <c r="Z90" s="44"/>
      <c r="AA90" s="343"/>
      <c r="AB90" s="78"/>
      <c r="AC90" s="78"/>
      <c r="AD90" s="44"/>
    </row>
    <row r="91" spans="1:30" ht="15" hidden="1" customHeight="1" x14ac:dyDescent="0.25">
      <c r="B91" s="54"/>
      <c r="C91" s="2"/>
      <c r="D91" s="624" t="s">
        <v>509</v>
      </c>
      <c r="E91" s="624"/>
      <c r="F91" s="159">
        <v>0</v>
      </c>
      <c r="G91" s="343">
        <v>0</v>
      </c>
      <c r="H91" s="313">
        <v>0</v>
      </c>
      <c r="I91" s="513">
        <v>0</v>
      </c>
      <c r="J91" s="232">
        <f t="shared" si="41"/>
        <v>0</v>
      </c>
      <c r="K91" s="141"/>
      <c r="L91" s="159">
        <f t="shared" si="31"/>
        <v>0</v>
      </c>
      <c r="M91" s="42"/>
      <c r="N91" s="1"/>
      <c r="O91" s="1"/>
      <c r="P91" s="1"/>
      <c r="Q91" s="1"/>
      <c r="R91" s="1"/>
      <c r="S91" s="72"/>
      <c r="T91" s="1"/>
      <c r="U91" s="78"/>
      <c r="V91" s="78"/>
      <c r="W91" s="1"/>
      <c r="X91" s="78"/>
      <c r="Y91" s="78"/>
      <c r="Z91" s="44"/>
      <c r="AA91" s="343"/>
      <c r="AB91" s="78"/>
      <c r="AC91" s="78"/>
      <c r="AD91" s="44"/>
    </row>
    <row r="92" spans="1:30" ht="15" hidden="1" customHeight="1" x14ac:dyDescent="0.25">
      <c r="B92" s="54"/>
      <c r="C92" s="2"/>
      <c r="D92" s="624" t="s">
        <v>510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41"/>
        <v>0</v>
      </c>
      <c r="K92" s="141"/>
      <c r="L92" s="159">
        <f t="shared" si="31"/>
        <v>0</v>
      </c>
      <c r="M92" s="42"/>
      <c r="N92" s="1"/>
      <c r="O92" s="1"/>
      <c r="P92" s="1"/>
      <c r="Q92" s="1"/>
      <c r="R92" s="1"/>
      <c r="S92" s="72"/>
      <c r="T92" s="1"/>
      <c r="U92" s="78"/>
      <c r="V92" s="78"/>
      <c r="W92" s="1"/>
      <c r="X92" s="78"/>
      <c r="Y92" s="78"/>
      <c r="Z92" s="44"/>
      <c r="AA92" s="343"/>
      <c r="AB92" s="78"/>
      <c r="AC92" s="78"/>
      <c r="AD92" s="44"/>
    </row>
    <row r="93" spans="1:30" ht="25.5" hidden="1" customHeight="1" x14ac:dyDescent="0.25">
      <c r="B93" s="54"/>
      <c r="C93" s="2"/>
      <c r="D93" s="625" t="s">
        <v>511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41"/>
        <v>0</v>
      </c>
      <c r="K93" s="151"/>
      <c r="L93" s="159">
        <f t="shared" si="31"/>
        <v>0</v>
      </c>
      <c r="M93" s="42"/>
      <c r="N93" s="1"/>
      <c r="O93" s="1"/>
      <c r="P93" s="1"/>
      <c r="Q93" s="1"/>
      <c r="R93" s="1"/>
      <c r="S93" s="72"/>
      <c r="T93" s="1"/>
      <c r="U93" s="78"/>
      <c r="V93" s="78"/>
      <c r="W93" s="1"/>
      <c r="X93" s="78"/>
      <c r="Y93" s="78"/>
      <c r="Z93" s="44"/>
      <c r="AA93" s="343"/>
      <c r="AB93" s="78"/>
      <c r="AC93" s="78"/>
      <c r="AD93" s="44"/>
    </row>
    <row r="94" spans="1:30" ht="15" hidden="1" customHeight="1" x14ac:dyDescent="0.25">
      <c r="B94" s="54"/>
      <c r="C94" s="2"/>
      <c r="D94" s="624" t="s">
        <v>804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 t="shared" si="41"/>
        <v>0</v>
      </c>
      <c r="K94" s="141"/>
      <c r="L94" s="159">
        <f t="shared" si="31"/>
        <v>0</v>
      </c>
      <c r="M94" s="42"/>
      <c r="N94" s="1"/>
      <c r="O94" s="1"/>
      <c r="P94" s="1"/>
      <c r="Q94" s="1"/>
      <c r="R94" s="1"/>
      <c r="S94" s="72"/>
      <c r="T94" s="1"/>
      <c r="U94" s="78"/>
      <c r="V94" s="78"/>
      <c r="W94" s="1"/>
      <c r="X94" s="78"/>
      <c r="Y94" s="78"/>
      <c r="Z94" s="44"/>
      <c r="AA94" s="343"/>
      <c r="AB94" s="78"/>
      <c r="AC94" s="78"/>
      <c r="AD94" s="44"/>
    </row>
    <row r="95" spans="1:30" ht="25.5" hidden="1" customHeight="1" x14ac:dyDescent="0.25">
      <c r="B95" s="54"/>
      <c r="C95" s="2"/>
      <c r="D95" s="625" t="s">
        <v>512</v>
      </c>
      <c r="E95" s="625"/>
      <c r="F95" s="159">
        <v>0</v>
      </c>
      <c r="G95" s="343">
        <v>0</v>
      </c>
      <c r="H95" s="313">
        <v>0</v>
      </c>
      <c r="I95" s="513">
        <v>0</v>
      </c>
      <c r="J95" s="242">
        <f t="shared" si="41"/>
        <v>0</v>
      </c>
      <c r="K95" s="151"/>
      <c r="L95" s="159">
        <f t="shared" si="31"/>
        <v>0</v>
      </c>
      <c r="M95" s="42"/>
      <c r="N95" s="1"/>
      <c r="O95" s="1"/>
      <c r="P95" s="1"/>
      <c r="Q95" s="1"/>
      <c r="R95" s="1"/>
      <c r="S95" s="72"/>
      <c r="T95" s="1"/>
      <c r="U95" s="78"/>
      <c r="V95" s="78"/>
      <c r="W95" s="1"/>
      <c r="X95" s="78"/>
      <c r="Y95" s="78"/>
      <c r="Z95" s="44"/>
      <c r="AA95" s="343"/>
      <c r="AB95" s="78"/>
      <c r="AC95" s="78"/>
      <c r="AD95" s="44"/>
    </row>
    <row r="96" spans="1:30" ht="25.5" hidden="1" customHeight="1" x14ac:dyDescent="0.25">
      <c r="B96" s="54"/>
      <c r="C96" s="2"/>
      <c r="D96" s="625" t="s">
        <v>513</v>
      </c>
      <c r="E96" s="625"/>
      <c r="F96" s="159">
        <v>0</v>
      </c>
      <c r="G96" s="343">
        <v>0</v>
      </c>
      <c r="H96" s="313">
        <v>0</v>
      </c>
      <c r="I96" s="513">
        <v>0</v>
      </c>
      <c r="J96" s="242">
        <f t="shared" si="41"/>
        <v>0</v>
      </c>
      <c r="K96" s="151"/>
      <c r="L96" s="159">
        <f t="shared" si="31"/>
        <v>0</v>
      </c>
      <c r="M96" s="42"/>
      <c r="N96" s="1"/>
      <c r="O96" s="1"/>
      <c r="P96" s="1"/>
      <c r="Q96" s="1"/>
      <c r="R96" s="1"/>
      <c r="S96" s="72"/>
      <c r="T96" s="1"/>
      <c r="U96" s="78"/>
      <c r="V96" s="78"/>
      <c r="W96" s="1"/>
      <c r="X96" s="78"/>
      <c r="Y96" s="78"/>
      <c r="Z96" s="44"/>
      <c r="AA96" s="343"/>
      <c r="AB96" s="78"/>
      <c r="AC96" s="78"/>
      <c r="AD96" s="44"/>
    </row>
    <row r="97" spans="1:30" s="41" customFormat="1" ht="15" hidden="1" customHeight="1" x14ac:dyDescent="0.25">
      <c r="A97" s="118" t="s">
        <v>230</v>
      </c>
      <c r="B97" s="101" t="s">
        <v>662</v>
      </c>
      <c r="C97" s="708" t="s">
        <v>805</v>
      </c>
      <c r="D97" s="709"/>
      <c r="E97" s="709"/>
      <c r="F97" s="162">
        <v>0</v>
      </c>
      <c r="G97" s="345">
        <v>0</v>
      </c>
      <c r="H97" s="315">
        <v>0</v>
      </c>
      <c r="I97" s="516">
        <v>0</v>
      </c>
      <c r="J97" s="241">
        <f>J98+J99+J100+J101+J102+J103+J104+J105+J106+J107</f>
        <v>0</v>
      </c>
      <c r="K97" s="150">
        <f t="shared" ref="K97:AD97" si="42">K98+K99+K100+K101+K102+K103+K104+K105+K106+K107</f>
        <v>0</v>
      </c>
      <c r="L97" s="162">
        <f t="shared" si="31"/>
        <v>0</v>
      </c>
      <c r="M97" s="105">
        <f t="shared" ref="M97:R97" si="43">M98+M99+M100+M101+M102+M103+M104+M105+M106+M107</f>
        <v>0</v>
      </c>
      <c r="N97" s="103">
        <f t="shared" si="43"/>
        <v>0</v>
      </c>
      <c r="O97" s="103">
        <f t="shared" si="43"/>
        <v>0</v>
      </c>
      <c r="P97" s="103">
        <f t="shared" si="43"/>
        <v>0</v>
      </c>
      <c r="Q97" s="103"/>
      <c r="R97" s="103">
        <f t="shared" si="43"/>
        <v>0</v>
      </c>
      <c r="S97" s="102">
        <f t="shared" si="42"/>
        <v>0</v>
      </c>
      <c r="T97" s="103">
        <f t="shared" si="42"/>
        <v>0</v>
      </c>
      <c r="U97" s="106">
        <f t="shared" si="42"/>
        <v>0</v>
      </c>
      <c r="V97" s="106">
        <f t="shared" si="42"/>
        <v>0</v>
      </c>
      <c r="W97" s="103">
        <f t="shared" si="42"/>
        <v>0</v>
      </c>
      <c r="X97" s="106">
        <f t="shared" si="42"/>
        <v>0</v>
      </c>
      <c r="Y97" s="106">
        <f t="shared" si="42"/>
        <v>0</v>
      </c>
      <c r="Z97" s="107">
        <f t="shared" si="42"/>
        <v>0</v>
      </c>
      <c r="AA97" s="345">
        <f t="shared" si="42"/>
        <v>0</v>
      </c>
      <c r="AB97" s="106">
        <f t="shared" si="42"/>
        <v>0</v>
      </c>
      <c r="AC97" s="106">
        <f t="shared" si="42"/>
        <v>0</v>
      </c>
      <c r="AD97" s="107">
        <f t="shared" si="42"/>
        <v>0</v>
      </c>
    </row>
    <row r="98" spans="1:30" ht="15" hidden="1" customHeight="1" x14ac:dyDescent="0.25">
      <c r="B98" s="54"/>
      <c r="C98" s="2"/>
      <c r="D98" s="624" t="s">
        <v>369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ref="J98:J107" si="44">SUM(S98:AD98)</f>
        <v>0</v>
      </c>
      <c r="K98" s="141"/>
      <c r="L98" s="159">
        <f t="shared" si="31"/>
        <v>0</v>
      </c>
      <c r="M98" s="42"/>
      <c r="N98" s="1"/>
      <c r="O98" s="1"/>
      <c r="P98" s="1"/>
      <c r="Q98" s="1"/>
      <c r="R98" s="1"/>
      <c r="S98" s="72"/>
      <c r="T98" s="1"/>
      <c r="U98" s="78"/>
      <c r="V98" s="78"/>
      <c r="W98" s="1"/>
      <c r="X98" s="78"/>
      <c r="Y98" s="78"/>
      <c r="Z98" s="44"/>
      <c r="AA98" s="343"/>
      <c r="AB98" s="78"/>
      <c r="AC98" s="78"/>
      <c r="AD98" s="44"/>
    </row>
    <row r="99" spans="1:30" ht="15" hidden="1" customHeight="1" x14ac:dyDescent="0.25">
      <c r="B99" s="54"/>
      <c r="C99" s="2"/>
      <c r="D99" s="624" t="s">
        <v>514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44"/>
        <v>0</v>
      </c>
      <c r="K99" s="141"/>
      <c r="L99" s="159">
        <f t="shared" si="31"/>
        <v>0</v>
      </c>
      <c r="M99" s="42"/>
      <c r="N99" s="1"/>
      <c r="O99" s="1"/>
      <c r="P99" s="1"/>
      <c r="Q99" s="1"/>
      <c r="R99" s="1"/>
      <c r="S99" s="72"/>
      <c r="T99" s="1"/>
      <c r="U99" s="78"/>
      <c r="V99" s="78"/>
      <c r="W99" s="1"/>
      <c r="X99" s="78"/>
      <c r="Y99" s="78"/>
      <c r="Z99" s="44"/>
      <c r="AA99" s="343"/>
      <c r="AB99" s="78"/>
      <c r="AC99" s="78"/>
      <c r="AD99" s="44"/>
    </row>
    <row r="100" spans="1:30" ht="15" hidden="1" customHeight="1" x14ac:dyDescent="0.25">
      <c r="B100" s="54"/>
      <c r="C100" s="2"/>
      <c r="D100" s="624" t="s">
        <v>516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44"/>
        <v>0</v>
      </c>
      <c r="K100" s="141"/>
      <c r="L100" s="159">
        <f t="shared" si="31"/>
        <v>0</v>
      </c>
      <c r="M100" s="42"/>
      <c r="N100" s="1"/>
      <c r="O100" s="1"/>
      <c r="P100" s="1"/>
      <c r="Q100" s="1"/>
      <c r="R100" s="1"/>
      <c r="S100" s="72"/>
      <c r="T100" s="1"/>
      <c r="U100" s="78"/>
      <c r="V100" s="78"/>
      <c r="W100" s="1"/>
      <c r="X100" s="78"/>
      <c r="Y100" s="78"/>
      <c r="Z100" s="44"/>
      <c r="AA100" s="343"/>
      <c r="AB100" s="78"/>
      <c r="AC100" s="78"/>
      <c r="AD100" s="44"/>
    </row>
    <row r="101" spans="1:30" ht="15" hidden="1" customHeight="1" x14ac:dyDescent="0.25">
      <c r="B101" s="54"/>
      <c r="C101" s="2"/>
      <c r="D101" s="624" t="s">
        <v>807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44"/>
        <v>0</v>
      </c>
      <c r="K101" s="141"/>
      <c r="L101" s="159">
        <f t="shared" si="31"/>
        <v>0</v>
      </c>
      <c r="M101" s="42"/>
      <c r="N101" s="1"/>
      <c r="O101" s="1"/>
      <c r="P101" s="1"/>
      <c r="Q101" s="1"/>
      <c r="R101" s="1"/>
      <c r="S101" s="72"/>
      <c r="T101" s="1"/>
      <c r="U101" s="78"/>
      <c r="V101" s="78"/>
      <c r="W101" s="1"/>
      <c r="X101" s="78"/>
      <c r="Y101" s="78"/>
      <c r="Z101" s="44"/>
      <c r="AA101" s="343"/>
      <c r="AB101" s="78"/>
      <c r="AC101" s="78"/>
      <c r="AD101" s="44"/>
    </row>
    <row r="102" spans="1:30" ht="15" hidden="1" customHeight="1" x14ac:dyDescent="0.25">
      <c r="B102" s="54"/>
      <c r="C102" s="2"/>
      <c r="D102" s="624" t="s">
        <v>521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44"/>
        <v>0</v>
      </c>
      <c r="K102" s="141"/>
      <c r="L102" s="159">
        <f t="shared" si="31"/>
        <v>0</v>
      </c>
      <c r="M102" s="42"/>
      <c r="N102" s="1"/>
      <c r="O102" s="1"/>
      <c r="P102" s="1"/>
      <c r="Q102" s="1"/>
      <c r="R102" s="1"/>
      <c r="S102" s="72"/>
      <c r="T102" s="1"/>
      <c r="U102" s="78"/>
      <c r="V102" s="78"/>
      <c r="W102" s="1"/>
      <c r="X102" s="78"/>
      <c r="Y102" s="78"/>
      <c r="Z102" s="44"/>
      <c r="AA102" s="343"/>
      <c r="AB102" s="78"/>
      <c r="AC102" s="78"/>
      <c r="AD102" s="44"/>
    </row>
    <row r="103" spans="1:30" ht="15" hidden="1" customHeight="1" x14ac:dyDescent="0.25">
      <c r="B103" s="54"/>
      <c r="C103" s="2"/>
      <c r="D103" s="624" t="s">
        <v>519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44"/>
        <v>0</v>
      </c>
      <c r="K103" s="141"/>
      <c r="L103" s="159">
        <f t="shared" si="31"/>
        <v>0</v>
      </c>
      <c r="M103" s="42"/>
      <c r="N103" s="1"/>
      <c r="O103" s="1"/>
      <c r="P103" s="1"/>
      <c r="Q103" s="1"/>
      <c r="R103" s="1"/>
      <c r="S103" s="72"/>
      <c r="T103" s="1"/>
      <c r="U103" s="78"/>
      <c r="V103" s="78"/>
      <c r="W103" s="1"/>
      <c r="X103" s="78"/>
      <c r="Y103" s="78"/>
      <c r="Z103" s="44"/>
      <c r="AA103" s="343"/>
      <c r="AB103" s="78"/>
      <c r="AC103" s="78"/>
      <c r="AD103" s="44"/>
    </row>
    <row r="104" spans="1:30" ht="25.5" hidden="1" customHeight="1" x14ac:dyDescent="0.25">
      <c r="B104" s="54"/>
      <c r="C104" s="2"/>
      <c r="D104" s="625" t="s">
        <v>523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44"/>
        <v>0</v>
      </c>
      <c r="K104" s="151"/>
      <c r="L104" s="159">
        <f t="shared" si="31"/>
        <v>0</v>
      </c>
      <c r="M104" s="42"/>
      <c r="N104" s="1"/>
      <c r="O104" s="1"/>
      <c r="P104" s="1"/>
      <c r="Q104" s="1"/>
      <c r="R104" s="1"/>
      <c r="S104" s="72"/>
      <c r="T104" s="1"/>
      <c r="U104" s="78"/>
      <c r="V104" s="78"/>
      <c r="W104" s="1"/>
      <c r="X104" s="78"/>
      <c r="Y104" s="78"/>
      <c r="Z104" s="44"/>
      <c r="AA104" s="343"/>
      <c r="AB104" s="78"/>
      <c r="AC104" s="78"/>
      <c r="AD104" s="44"/>
    </row>
    <row r="105" spans="1:30" ht="15" hidden="1" customHeight="1" x14ac:dyDescent="0.25">
      <c r="B105" s="54"/>
      <c r="C105" s="2"/>
      <c r="D105" s="624" t="s">
        <v>806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44"/>
        <v>0</v>
      </c>
      <c r="K105" s="141"/>
      <c r="L105" s="159">
        <f t="shared" si="31"/>
        <v>0</v>
      </c>
      <c r="M105" s="42"/>
      <c r="N105" s="1"/>
      <c r="O105" s="1"/>
      <c r="P105" s="1"/>
      <c r="Q105" s="1"/>
      <c r="R105" s="1"/>
      <c r="S105" s="72"/>
      <c r="T105" s="1"/>
      <c r="U105" s="78"/>
      <c r="V105" s="78"/>
      <c r="W105" s="1"/>
      <c r="X105" s="78"/>
      <c r="Y105" s="78"/>
      <c r="Z105" s="44"/>
      <c r="AA105" s="343"/>
      <c r="AB105" s="78"/>
      <c r="AC105" s="78"/>
      <c r="AD105" s="44"/>
    </row>
    <row r="106" spans="1:30" ht="25.5" hidden="1" customHeight="1" x14ac:dyDescent="0.25">
      <c r="B106" s="54"/>
      <c r="C106" s="2"/>
      <c r="D106" s="625" t="s">
        <v>526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44"/>
        <v>0</v>
      </c>
      <c r="K106" s="151"/>
      <c r="L106" s="159">
        <f t="shared" si="31"/>
        <v>0</v>
      </c>
      <c r="M106" s="42"/>
      <c r="N106" s="1"/>
      <c r="O106" s="1"/>
      <c r="P106" s="1"/>
      <c r="Q106" s="1"/>
      <c r="R106" s="1"/>
      <c r="S106" s="72"/>
      <c r="T106" s="1"/>
      <c r="U106" s="78"/>
      <c r="V106" s="78"/>
      <c r="W106" s="1"/>
      <c r="X106" s="78"/>
      <c r="Y106" s="78"/>
      <c r="Z106" s="44"/>
      <c r="AA106" s="343"/>
      <c r="AB106" s="78"/>
      <c r="AC106" s="78"/>
      <c r="AD106" s="44"/>
    </row>
    <row r="107" spans="1:30" ht="25.5" hidden="1" customHeight="1" x14ac:dyDescent="0.25">
      <c r="B107" s="54"/>
      <c r="C107" s="2"/>
      <c r="D107" s="625" t="s">
        <v>528</v>
      </c>
      <c r="E107" s="625"/>
      <c r="F107" s="159">
        <v>0</v>
      </c>
      <c r="G107" s="343">
        <v>0</v>
      </c>
      <c r="H107" s="313">
        <v>0</v>
      </c>
      <c r="I107" s="513">
        <v>0</v>
      </c>
      <c r="J107" s="242">
        <f t="shared" si="44"/>
        <v>0</v>
      </c>
      <c r="K107" s="151"/>
      <c r="L107" s="159">
        <f t="shared" si="31"/>
        <v>0</v>
      </c>
      <c r="M107" s="42"/>
      <c r="N107" s="1"/>
      <c r="O107" s="1"/>
      <c r="P107" s="1"/>
      <c r="Q107" s="1"/>
      <c r="R107" s="1"/>
      <c r="S107" s="72"/>
      <c r="T107" s="1"/>
      <c r="U107" s="78"/>
      <c r="V107" s="78"/>
      <c r="W107" s="1"/>
      <c r="X107" s="78"/>
      <c r="Y107" s="78"/>
      <c r="Z107" s="44"/>
      <c r="AA107" s="343"/>
      <c r="AB107" s="78"/>
      <c r="AC107" s="78"/>
      <c r="AD107" s="44"/>
    </row>
    <row r="108" spans="1:30" s="41" customFormat="1" x14ac:dyDescent="0.25">
      <c r="A108" s="118" t="s">
        <v>231</v>
      </c>
      <c r="B108" s="101" t="s">
        <v>663</v>
      </c>
      <c r="C108" s="655" t="s">
        <v>232</v>
      </c>
      <c r="D108" s="656"/>
      <c r="E108" s="656"/>
      <c r="F108" s="162">
        <v>2617468</v>
      </c>
      <c r="G108" s="345">
        <v>2618218</v>
      </c>
      <c r="H108" s="315">
        <v>2719216</v>
      </c>
      <c r="I108" s="516">
        <v>2719216</v>
      </c>
      <c r="J108" s="243">
        <f>J109+J110+J111+J112+J113+J114+J115+J121+J127+J128</f>
        <v>3256854</v>
      </c>
      <c r="K108" s="152">
        <f t="shared" ref="K108:AD108" si="45">K109+K110+K111+K112+K113+K114+K115+K121+K127+K128</f>
        <v>0</v>
      </c>
      <c r="L108" s="162">
        <f>SUM(J108:K108)</f>
        <v>3256854</v>
      </c>
      <c r="M108" s="105">
        <f t="shared" ref="M108:R108" si="46">M109+M110+M111+M112+M113+M114+M115+M121+M127+M128</f>
        <v>0</v>
      </c>
      <c r="N108" s="103">
        <f>N109+N110+N111+N112+N113+N114+N115+N121+N127+N128</f>
        <v>3031000</v>
      </c>
      <c r="O108" s="103">
        <f t="shared" si="46"/>
        <v>0</v>
      </c>
      <c r="P108" s="103">
        <f t="shared" si="46"/>
        <v>0</v>
      </c>
      <c r="Q108" s="103"/>
      <c r="R108" s="103">
        <f t="shared" si="46"/>
        <v>100000</v>
      </c>
      <c r="S108" s="102">
        <f t="shared" si="45"/>
        <v>256039</v>
      </c>
      <c r="T108" s="103">
        <f t="shared" si="45"/>
        <v>10750</v>
      </c>
      <c r="U108" s="106">
        <f t="shared" si="45"/>
        <v>0</v>
      </c>
      <c r="V108" s="106">
        <f t="shared" si="45"/>
        <v>10998</v>
      </c>
      <c r="W108" s="103">
        <f t="shared" si="45"/>
        <v>0</v>
      </c>
      <c r="X108" s="106">
        <f t="shared" si="45"/>
        <v>0</v>
      </c>
      <c r="Y108" s="106">
        <f t="shared" si="45"/>
        <v>25800</v>
      </c>
      <c r="Z108" s="107">
        <f t="shared" si="45"/>
        <v>50000</v>
      </c>
      <c r="AA108" s="345">
        <f t="shared" si="45"/>
        <v>1648312</v>
      </c>
      <c r="AB108" s="106">
        <f t="shared" si="45"/>
        <v>441877</v>
      </c>
      <c r="AC108" s="106">
        <f t="shared" si="45"/>
        <v>406039</v>
      </c>
      <c r="AD108" s="107">
        <f t="shared" si="45"/>
        <v>407039</v>
      </c>
    </row>
    <row r="109" spans="1:30" ht="15" customHeight="1" x14ac:dyDescent="0.25">
      <c r="B109" s="54"/>
      <c r="C109" s="2"/>
      <c r="D109" s="630" t="s">
        <v>368</v>
      </c>
      <c r="E109" s="630"/>
      <c r="F109" s="159">
        <v>0</v>
      </c>
      <c r="G109" s="343">
        <v>0</v>
      </c>
      <c r="H109" s="313">
        <v>100000</v>
      </c>
      <c r="I109" s="513">
        <v>100000</v>
      </c>
      <c r="J109" s="232">
        <f t="shared" ref="J109:J114" si="47">SUM(S109:AD109)</f>
        <v>100000</v>
      </c>
      <c r="K109" s="141"/>
      <c r="L109" s="159">
        <f t="shared" si="31"/>
        <v>100000</v>
      </c>
      <c r="M109" s="42"/>
      <c r="N109" s="1"/>
      <c r="O109" s="1"/>
      <c r="P109" s="1"/>
      <c r="Q109" s="1"/>
      <c r="R109" s="1">
        <f>L109</f>
        <v>100000</v>
      </c>
      <c r="S109" s="72">
        <v>50000</v>
      </c>
      <c r="T109" s="1"/>
      <c r="U109" s="78"/>
      <c r="V109" s="78"/>
      <c r="W109" s="1"/>
      <c r="X109" s="78"/>
      <c r="Y109" s="78"/>
      <c r="Z109" s="44">
        <v>50000</v>
      </c>
      <c r="AA109" s="343"/>
      <c r="AB109" s="78"/>
      <c r="AC109" s="78"/>
      <c r="AD109" s="44"/>
    </row>
    <row r="110" spans="1:30" ht="15" hidden="1" customHeight="1" x14ac:dyDescent="0.25">
      <c r="B110" s="54"/>
      <c r="C110" s="2"/>
      <c r="D110" s="624" t="s">
        <v>515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47"/>
        <v>0</v>
      </c>
      <c r="K110" s="141"/>
      <c r="L110" s="159">
        <f t="shared" si="31"/>
        <v>0</v>
      </c>
      <c r="M110" s="42"/>
      <c r="N110" s="1"/>
      <c r="O110" s="1"/>
      <c r="P110" s="1"/>
      <c r="Q110" s="1"/>
      <c r="R110" s="1"/>
      <c r="S110" s="72"/>
      <c r="T110" s="1"/>
      <c r="U110" s="78"/>
      <c r="V110" s="78"/>
      <c r="W110" s="1"/>
      <c r="X110" s="78"/>
      <c r="Y110" s="78"/>
      <c r="Z110" s="44"/>
      <c r="AA110" s="343"/>
      <c r="AB110" s="78"/>
      <c r="AC110" s="78"/>
      <c r="AD110" s="44"/>
    </row>
    <row r="111" spans="1:30" ht="15" hidden="1" customHeight="1" x14ac:dyDescent="0.25">
      <c r="B111" s="54"/>
      <c r="C111" s="2"/>
      <c r="D111" s="624" t="s">
        <v>517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47"/>
        <v>0</v>
      </c>
      <c r="K111" s="141"/>
      <c r="L111" s="159">
        <f t="shared" si="31"/>
        <v>0</v>
      </c>
      <c r="M111" s="42"/>
      <c r="N111" s="1"/>
      <c r="O111" s="1"/>
      <c r="P111" s="1"/>
      <c r="Q111" s="1"/>
      <c r="R111" s="1"/>
      <c r="S111" s="72"/>
      <c r="T111" s="1"/>
      <c r="U111" s="78"/>
      <c r="V111" s="78"/>
      <c r="W111" s="1"/>
      <c r="X111" s="78"/>
      <c r="Y111" s="78"/>
      <c r="Z111" s="44"/>
      <c r="AA111" s="343"/>
      <c r="AB111" s="78"/>
      <c r="AC111" s="78"/>
      <c r="AD111" s="44"/>
    </row>
    <row r="112" spans="1:30" ht="15" hidden="1" customHeight="1" x14ac:dyDescent="0.25">
      <c r="B112" s="54"/>
      <c r="C112" s="2"/>
      <c r="D112" s="624" t="s">
        <v>518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47"/>
        <v>0</v>
      </c>
      <c r="K112" s="141"/>
      <c r="L112" s="159">
        <f t="shared" si="31"/>
        <v>0</v>
      </c>
      <c r="M112" s="42"/>
      <c r="N112" s="1"/>
      <c r="O112" s="1"/>
      <c r="P112" s="1"/>
      <c r="Q112" s="1"/>
      <c r="R112" s="1"/>
      <c r="S112" s="72"/>
      <c r="T112" s="1"/>
      <c r="U112" s="78"/>
      <c r="V112" s="78"/>
      <c r="W112" s="1"/>
      <c r="X112" s="78"/>
      <c r="Y112" s="78"/>
      <c r="Z112" s="44"/>
      <c r="AA112" s="343"/>
      <c r="AB112" s="78"/>
      <c r="AC112" s="78"/>
      <c r="AD112" s="44"/>
    </row>
    <row r="113" spans="1:36" ht="15" hidden="1" customHeight="1" x14ac:dyDescent="0.25">
      <c r="B113" s="54"/>
      <c r="C113" s="2"/>
      <c r="D113" s="624" t="s">
        <v>522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47"/>
        <v>0</v>
      </c>
      <c r="K113" s="141"/>
      <c r="L113" s="159">
        <f t="shared" si="31"/>
        <v>0</v>
      </c>
      <c r="M113" s="42"/>
      <c r="N113" s="1"/>
      <c r="O113" s="1"/>
      <c r="P113" s="1"/>
      <c r="Q113" s="1"/>
      <c r="R113" s="1"/>
      <c r="S113" s="72"/>
      <c r="T113" s="1"/>
      <c r="U113" s="78"/>
      <c r="V113" s="78"/>
      <c r="W113" s="1"/>
      <c r="X113" s="78"/>
      <c r="Y113" s="78"/>
      <c r="Z113" s="44"/>
      <c r="AA113" s="343"/>
      <c r="AB113" s="78"/>
      <c r="AC113" s="78"/>
      <c r="AD113" s="44"/>
    </row>
    <row r="114" spans="1:36" ht="15" hidden="1" customHeight="1" x14ac:dyDescent="0.25">
      <c r="B114" s="54"/>
      <c r="C114" s="2"/>
      <c r="D114" s="624" t="s">
        <v>520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47"/>
        <v>0</v>
      </c>
      <c r="K114" s="141"/>
      <c r="L114" s="159">
        <f t="shared" si="31"/>
        <v>0</v>
      </c>
      <c r="M114" s="42"/>
      <c r="N114" s="1"/>
      <c r="O114" s="1"/>
      <c r="P114" s="1"/>
      <c r="Q114" s="1"/>
      <c r="R114" s="1"/>
      <c r="S114" s="72"/>
      <c r="T114" s="1"/>
      <c r="U114" s="78"/>
      <c r="V114" s="78"/>
      <c r="W114" s="1"/>
      <c r="X114" s="78"/>
      <c r="Y114" s="78"/>
      <c r="Z114" s="44"/>
      <c r="AA114" s="343"/>
      <c r="AB114" s="78"/>
      <c r="AC114" s="78"/>
      <c r="AD114" s="44"/>
    </row>
    <row r="115" spans="1:36" s="199" customFormat="1" ht="25.5" customHeight="1" x14ac:dyDescent="0.25">
      <c r="A115" s="280"/>
      <c r="B115" s="181"/>
      <c r="C115" s="190"/>
      <c r="D115" s="741" t="s">
        <v>524</v>
      </c>
      <c r="E115" s="741"/>
      <c r="F115" s="183">
        <v>2567468</v>
      </c>
      <c r="G115" s="340">
        <v>2567468</v>
      </c>
      <c r="H115" s="310">
        <v>2567468</v>
      </c>
      <c r="I115" s="508">
        <v>2567468</v>
      </c>
      <c r="J115" s="320">
        <f>SUM(J116:J120)</f>
        <v>3109306</v>
      </c>
      <c r="K115" s="321">
        <f>SUM(K116:K118)</f>
        <v>0</v>
      </c>
      <c r="L115" s="183">
        <f>SUM(J115:K115)</f>
        <v>3109306</v>
      </c>
      <c r="M115" s="184">
        <f t="shared" ref="M115:AC115" si="48">SUM(M116:M118)</f>
        <v>0</v>
      </c>
      <c r="N115" s="185">
        <f>SUM(N116:N120)</f>
        <v>2983452</v>
      </c>
      <c r="O115" s="185">
        <f t="shared" si="48"/>
        <v>0</v>
      </c>
      <c r="P115" s="185">
        <f t="shared" si="48"/>
        <v>0</v>
      </c>
      <c r="Q115" s="185"/>
      <c r="R115" s="185">
        <f t="shared" si="48"/>
        <v>0</v>
      </c>
      <c r="S115" s="191">
        <f t="shared" si="48"/>
        <v>206039</v>
      </c>
      <c r="T115" s="185">
        <f t="shared" si="48"/>
        <v>0</v>
      </c>
      <c r="U115" s="186">
        <f t="shared" si="48"/>
        <v>0</v>
      </c>
      <c r="V115" s="186">
        <f t="shared" si="48"/>
        <v>0</v>
      </c>
      <c r="W115" s="185">
        <f t="shared" si="48"/>
        <v>0</v>
      </c>
      <c r="X115" s="186">
        <f t="shared" si="48"/>
        <v>0</v>
      </c>
      <c r="Y115" s="186">
        <f>SUM(Y116:Y120)</f>
        <v>0</v>
      </c>
      <c r="Z115" s="187">
        <f>SUM(Z116:Z120)</f>
        <v>0</v>
      </c>
      <c r="AA115" s="340">
        <f t="shared" si="48"/>
        <v>1648312</v>
      </c>
      <c r="AB115" s="186">
        <f>SUM(AB116:AB120)</f>
        <v>441877</v>
      </c>
      <c r="AC115" s="186">
        <f t="shared" si="48"/>
        <v>406039</v>
      </c>
      <c r="AD115" s="187">
        <f>SUM(AD116:AD118)</f>
        <v>407039</v>
      </c>
    </row>
    <row r="116" spans="1:36" x14ac:dyDescent="0.25">
      <c r="B116" s="54"/>
      <c r="C116" s="2"/>
      <c r="D116" s="273"/>
      <c r="E116" s="273" t="s">
        <v>1011</v>
      </c>
      <c r="F116" s="159">
        <v>65000</v>
      </c>
      <c r="G116" s="343">
        <v>65000</v>
      </c>
      <c r="H116" s="313">
        <v>65000</v>
      </c>
      <c r="I116" s="513">
        <v>65000</v>
      </c>
      <c r="J116" s="242">
        <f>SUM(S116:AD116)</f>
        <v>79984</v>
      </c>
      <c r="K116" s="151"/>
      <c r="L116" s="159">
        <f t="shared" ref="L116:L124" si="49">SUM(J116:K116)</f>
        <v>79984</v>
      </c>
      <c r="M116" s="42"/>
      <c r="N116" s="1">
        <f>L116</f>
        <v>79984</v>
      </c>
      <c r="O116" s="1"/>
      <c r="P116" s="1"/>
      <c r="Q116" s="1"/>
      <c r="R116" s="1"/>
      <c r="S116" s="72"/>
      <c r="T116" s="1"/>
      <c r="U116" s="78"/>
      <c r="V116" s="78"/>
      <c r="W116" s="1"/>
      <c r="X116" s="78"/>
      <c r="Y116" s="78"/>
      <c r="Z116" s="44"/>
      <c r="AA116" s="343"/>
      <c r="AB116" s="78">
        <v>79984</v>
      </c>
      <c r="AC116" s="78"/>
      <c r="AD116" s="44"/>
    </row>
    <row r="117" spans="1:36" x14ac:dyDescent="0.25">
      <c r="B117" s="54"/>
      <c r="C117" s="2"/>
      <c r="D117" s="273"/>
      <c r="E117" s="273" t="s">
        <v>1012</v>
      </c>
      <c r="F117" s="159">
        <v>567000</v>
      </c>
      <c r="G117" s="343">
        <v>567000</v>
      </c>
      <c r="H117" s="313">
        <v>567000</v>
      </c>
      <c r="I117" s="513">
        <v>567000</v>
      </c>
      <c r="J117" s="242">
        <f>SUM(S117:AD117)</f>
        <v>968000</v>
      </c>
      <c r="K117" s="151"/>
      <c r="L117" s="159">
        <f t="shared" si="49"/>
        <v>968000</v>
      </c>
      <c r="M117" s="42"/>
      <c r="N117" s="1">
        <f>L117</f>
        <v>968000</v>
      </c>
      <c r="O117" s="1"/>
      <c r="P117" s="1"/>
      <c r="Q117" s="1"/>
      <c r="R117" s="78"/>
      <c r="S117" s="72">
        <f>36613+10637</f>
        <v>47250</v>
      </c>
      <c r="T117" s="1"/>
      <c r="U117" s="78"/>
      <c r="V117" s="78"/>
      <c r="W117" s="1"/>
      <c r="X117" s="78"/>
      <c r="Y117" s="78"/>
      <c r="Z117" s="44"/>
      <c r="AA117" s="42">
        <v>378000</v>
      </c>
      <c r="AB117" s="1">
        <f>36613+10637</f>
        <v>47250</v>
      </c>
      <c r="AC117" s="1">
        <f>36613+10637+200000</f>
        <v>247250</v>
      </c>
      <c r="AD117" s="44">
        <f>36613+10637+201000</f>
        <v>248250</v>
      </c>
      <c r="AE117" s="482"/>
      <c r="AF117" s="483"/>
      <c r="AG117" s="483"/>
      <c r="AH117" s="483"/>
      <c r="AI117" s="483"/>
      <c r="AJ117" s="483"/>
    </row>
    <row r="118" spans="1:36" x14ac:dyDescent="0.25">
      <c r="B118" s="54"/>
      <c r="C118" s="2"/>
      <c r="D118" s="273"/>
      <c r="E118" s="324" t="s">
        <v>1013</v>
      </c>
      <c r="F118" s="159">
        <v>1905468</v>
      </c>
      <c r="G118" s="343">
        <v>1905468</v>
      </c>
      <c r="H118" s="313">
        <v>1905468</v>
      </c>
      <c r="I118" s="513">
        <v>1905468</v>
      </c>
      <c r="J118" s="242">
        <f>SUM(S118:AD118)</f>
        <v>1905468</v>
      </c>
      <c r="K118" s="151"/>
      <c r="L118" s="159">
        <f t="shared" si="49"/>
        <v>1905468</v>
      </c>
      <c r="M118" s="42"/>
      <c r="N118" s="1">
        <f>L118</f>
        <v>1905468</v>
      </c>
      <c r="O118" s="1"/>
      <c r="P118" s="1"/>
      <c r="Q118" s="1"/>
      <c r="R118" s="78"/>
      <c r="S118" s="72">
        <f>133028+25761</f>
        <v>158789</v>
      </c>
      <c r="T118" s="1"/>
      <c r="U118" s="78"/>
      <c r="V118" s="78"/>
      <c r="W118" s="1"/>
      <c r="X118" s="78"/>
      <c r="Y118" s="78"/>
      <c r="Z118" s="44"/>
      <c r="AA118" s="42">
        <v>1270312</v>
      </c>
      <c r="AB118" s="1">
        <f>133028+25761</f>
        <v>158789</v>
      </c>
      <c r="AC118" s="1">
        <f>133028+25761</f>
        <v>158789</v>
      </c>
      <c r="AD118" s="44">
        <f>133028+25761</f>
        <v>158789</v>
      </c>
      <c r="AE118" s="482"/>
      <c r="AF118" s="483"/>
      <c r="AG118" s="483"/>
      <c r="AH118" s="483"/>
      <c r="AI118" s="483"/>
      <c r="AJ118" s="483"/>
    </row>
    <row r="119" spans="1:36" x14ac:dyDescent="0.25">
      <c r="B119" s="54"/>
      <c r="C119" s="2"/>
      <c r="D119" s="564"/>
      <c r="E119" s="564" t="s">
        <v>1058</v>
      </c>
      <c r="F119" s="159"/>
      <c r="G119" s="343"/>
      <c r="H119" s="313"/>
      <c r="I119" s="513"/>
      <c r="J119" s="242">
        <f>SUM(S119:AD119)</f>
        <v>125854</v>
      </c>
      <c r="K119" s="151"/>
      <c r="L119" s="159">
        <f t="shared" si="49"/>
        <v>125854</v>
      </c>
      <c r="M119" s="42"/>
      <c r="N119" s="1"/>
      <c r="O119" s="1"/>
      <c r="P119" s="1"/>
      <c r="Q119" s="1"/>
      <c r="R119" s="78"/>
      <c r="S119" s="72"/>
      <c r="T119" s="1"/>
      <c r="U119" s="78"/>
      <c r="V119" s="78"/>
      <c r="W119" s="1"/>
      <c r="X119" s="78"/>
      <c r="Y119" s="78"/>
      <c r="Z119" s="44"/>
      <c r="AA119" s="343"/>
      <c r="AB119" s="78">
        <v>125854</v>
      </c>
      <c r="AC119" s="78"/>
      <c r="AD119" s="44"/>
      <c r="AE119" s="482"/>
      <c r="AF119" s="483"/>
      <c r="AG119" s="483"/>
      <c r="AH119" s="483"/>
      <c r="AI119" s="483"/>
      <c r="AJ119" s="483"/>
    </row>
    <row r="120" spans="1:36" x14ac:dyDescent="0.25">
      <c r="B120" s="54"/>
      <c r="C120" s="2"/>
      <c r="D120" s="331"/>
      <c r="E120" s="426" t="s">
        <v>1035</v>
      </c>
      <c r="F120" s="159">
        <v>30000</v>
      </c>
      <c r="G120" s="343">
        <v>30000</v>
      </c>
      <c r="H120" s="313">
        <v>30000</v>
      </c>
      <c r="I120" s="513">
        <v>30000</v>
      </c>
      <c r="J120" s="242">
        <f>SUM(S120:AD120)</f>
        <v>30000</v>
      </c>
      <c r="K120" s="151"/>
      <c r="L120" s="159">
        <f t="shared" si="49"/>
        <v>30000</v>
      </c>
      <c r="M120" s="42"/>
      <c r="N120" s="1">
        <f>J120</f>
        <v>30000</v>
      </c>
      <c r="O120" s="1"/>
      <c r="P120" s="1"/>
      <c r="Q120" s="1"/>
      <c r="R120" s="78"/>
      <c r="S120" s="72"/>
      <c r="T120" s="1"/>
      <c r="U120" s="78"/>
      <c r="V120" s="78"/>
      <c r="W120" s="1"/>
      <c r="X120" s="78"/>
      <c r="Y120" s="78"/>
      <c r="Z120" s="44"/>
      <c r="AA120" s="343"/>
      <c r="AB120" s="78">
        <v>30000</v>
      </c>
      <c r="AC120" s="78"/>
      <c r="AD120" s="44"/>
      <c r="AE120" s="482"/>
      <c r="AF120" s="483"/>
      <c r="AG120" s="483"/>
      <c r="AH120" s="483"/>
      <c r="AI120" s="483"/>
      <c r="AJ120" s="483"/>
    </row>
    <row r="121" spans="1:36" s="199" customFormat="1" x14ac:dyDescent="0.25">
      <c r="A121" s="280"/>
      <c r="B121" s="181"/>
      <c r="C121" s="190"/>
      <c r="D121" s="630" t="s">
        <v>525</v>
      </c>
      <c r="E121" s="630"/>
      <c r="F121" s="183">
        <v>50000</v>
      </c>
      <c r="G121" s="340">
        <v>50750</v>
      </c>
      <c r="H121" s="310">
        <v>51748</v>
      </c>
      <c r="I121" s="508">
        <v>51748</v>
      </c>
      <c r="J121" s="320">
        <f>SUM(J122:J126)</f>
        <v>47548</v>
      </c>
      <c r="K121" s="321">
        <f>SUM(K122:K125)</f>
        <v>0</v>
      </c>
      <c r="L121" s="183">
        <f t="shared" si="49"/>
        <v>47548</v>
      </c>
      <c r="M121" s="184">
        <f t="shared" ref="M121:AD121" si="50">SUM(M122:M125)</f>
        <v>0</v>
      </c>
      <c r="N121" s="185">
        <f>SUM(N122:N126)</f>
        <v>47548</v>
      </c>
      <c r="O121" s="185">
        <f t="shared" si="50"/>
        <v>0</v>
      </c>
      <c r="P121" s="185">
        <f t="shared" si="50"/>
        <v>0</v>
      </c>
      <c r="Q121" s="185"/>
      <c r="R121" s="185">
        <f t="shared" si="50"/>
        <v>0</v>
      </c>
      <c r="S121" s="191">
        <f t="shared" si="50"/>
        <v>0</v>
      </c>
      <c r="T121" s="185">
        <f t="shared" si="50"/>
        <v>10750</v>
      </c>
      <c r="U121" s="186">
        <f t="shared" si="50"/>
        <v>0</v>
      </c>
      <c r="V121" s="186">
        <f t="shared" si="50"/>
        <v>10998</v>
      </c>
      <c r="W121" s="185">
        <f t="shared" si="50"/>
        <v>0</v>
      </c>
      <c r="X121" s="186">
        <f t="shared" si="50"/>
        <v>0</v>
      </c>
      <c r="Y121" s="186">
        <f t="shared" si="50"/>
        <v>25800</v>
      </c>
      <c r="Z121" s="187">
        <f t="shared" si="50"/>
        <v>0</v>
      </c>
      <c r="AA121" s="184">
        <f t="shared" si="50"/>
        <v>0</v>
      </c>
      <c r="AB121" s="340">
        <f>SUM(AB122:AB146)</f>
        <v>0</v>
      </c>
      <c r="AC121" s="186">
        <f t="shared" si="50"/>
        <v>0</v>
      </c>
      <c r="AD121" s="187">
        <f t="shared" si="50"/>
        <v>0</v>
      </c>
    </row>
    <row r="122" spans="1:36" hidden="1" x14ac:dyDescent="0.25">
      <c r="B122" s="54"/>
      <c r="C122" s="2"/>
      <c r="D122" s="325"/>
      <c r="E122" s="325" t="s">
        <v>1020</v>
      </c>
      <c r="F122" s="159">
        <v>0</v>
      </c>
      <c r="G122" s="343">
        <v>0</v>
      </c>
      <c r="H122" s="313">
        <v>0</v>
      </c>
      <c r="I122" s="513">
        <v>0</v>
      </c>
      <c r="J122" s="242">
        <f t="shared" ref="J122:J128" si="51">SUM(S122:AD122)</f>
        <v>0</v>
      </c>
      <c r="K122" s="151"/>
      <c r="L122" s="159">
        <f t="shared" si="49"/>
        <v>0</v>
      </c>
      <c r="M122" s="42"/>
      <c r="N122" s="1">
        <f>L122</f>
        <v>0</v>
      </c>
      <c r="O122" s="1"/>
      <c r="P122" s="1"/>
      <c r="Q122" s="1"/>
      <c r="R122" s="1"/>
      <c r="S122" s="72"/>
      <c r="T122" s="1"/>
      <c r="U122" s="78"/>
      <c r="V122" s="78"/>
      <c r="W122" s="1"/>
      <c r="X122" s="78"/>
      <c r="Y122" s="78"/>
      <c r="Z122" s="44"/>
      <c r="AA122" s="343"/>
      <c r="AB122" s="78"/>
      <c r="AC122" s="78"/>
      <c r="AD122" s="44"/>
    </row>
    <row r="123" spans="1:36" x14ac:dyDescent="0.25">
      <c r="B123" s="54"/>
      <c r="C123" s="2"/>
      <c r="D123" s="274"/>
      <c r="E123" s="274" t="s">
        <v>1014</v>
      </c>
      <c r="F123" s="159">
        <v>10000</v>
      </c>
      <c r="G123" s="343">
        <v>10000</v>
      </c>
      <c r="H123" s="313">
        <v>10998</v>
      </c>
      <c r="I123" s="513">
        <v>10998</v>
      </c>
      <c r="J123" s="242">
        <f t="shared" si="51"/>
        <v>10998</v>
      </c>
      <c r="K123" s="151"/>
      <c r="L123" s="159">
        <f t="shared" si="49"/>
        <v>10998</v>
      </c>
      <c r="M123" s="42"/>
      <c r="N123" s="1">
        <f>L123</f>
        <v>10998</v>
      </c>
      <c r="O123" s="1"/>
      <c r="P123" s="1"/>
      <c r="Q123" s="1"/>
      <c r="R123" s="1"/>
      <c r="S123" s="72"/>
      <c r="T123" s="1"/>
      <c r="U123" s="78"/>
      <c r="V123" s="78">
        <v>10998</v>
      </c>
      <c r="W123" s="1"/>
      <c r="X123" s="78"/>
      <c r="Y123" s="78"/>
      <c r="Z123" s="44"/>
      <c r="AA123" s="343"/>
      <c r="AB123" s="78"/>
      <c r="AC123" s="78"/>
      <c r="AD123" s="44"/>
    </row>
    <row r="124" spans="1:36" x14ac:dyDescent="0.25">
      <c r="B124" s="54"/>
      <c r="C124" s="2"/>
      <c r="D124" s="274"/>
      <c r="E124" s="274" t="s">
        <v>1015</v>
      </c>
      <c r="F124" s="159">
        <v>10000</v>
      </c>
      <c r="G124" s="343">
        <v>10750</v>
      </c>
      <c r="H124" s="313">
        <v>10750</v>
      </c>
      <c r="I124" s="513">
        <v>10750</v>
      </c>
      <c r="J124" s="242">
        <f t="shared" si="51"/>
        <v>10750</v>
      </c>
      <c r="K124" s="151"/>
      <c r="L124" s="159">
        <f t="shared" si="49"/>
        <v>10750</v>
      </c>
      <c r="M124" s="42"/>
      <c r="N124" s="1">
        <f>L124</f>
        <v>10750</v>
      </c>
      <c r="O124" s="1"/>
      <c r="P124" s="1"/>
      <c r="Q124" s="1"/>
      <c r="R124" s="1"/>
      <c r="S124" s="72"/>
      <c r="T124" s="1">
        <v>10750</v>
      </c>
      <c r="U124" s="78"/>
      <c r="V124" s="78"/>
      <c r="W124" s="1"/>
      <c r="X124" s="78"/>
      <c r="Y124" s="78"/>
      <c r="Z124" s="44"/>
      <c r="AA124" s="343"/>
      <c r="AB124" s="78"/>
      <c r="AC124" s="78"/>
      <c r="AD124" s="44"/>
    </row>
    <row r="125" spans="1:36" x14ac:dyDescent="0.25">
      <c r="B125" s="54"/>
      <c r="C125" s="2"/>
      <c r="D125" s="274"/>
      <c r="E125" s="274" t="s">
        <v>1016</v>
      </c>
      <c r="F125" s="159">
        <v>30000</v>
      </c>
      <c r="G125" s="343">
        <v>30000</v>
      </c>
      <c r="H125" s="313">
        <v>30000</v>
      </c>
      <c r="I125" s="513">
        <v>30000</v>
      </c>
      <c r="J125" s="242">
        <f>SUM(S125:AD125)</f>
        <v>25800</v>
      </c>
      <c r="K125" s="151"/>
      <c r="L125" s="159">
        <f>SUM(J125:K125)</f>
        <v>25800</v>
      </c>
      <c r="M125" s="42"/>
      <c r="N125" s="1">
        <f>L125</f>
        <v>25800</v>
      </c>
      <c r="O125" s="1"/>
      <c r="P125" s="1"/>
      <c r="Q125" s="1"/>
      <c r="R125" s="1"/>
      <c r="S125" s="72"/>
      <c r="T125" s="1"/>
      <c r="U125" s="78"/>
      <c r="V125" s="78"/>
      <c r="W125" s="1"/>
      <c r="X125" s="78"/>
      <c r="Y125" s="78">
        <v>25800</v>
      </c>
      <c r="Z125" s="44"/>
      <c r="AA125" s="343"/>
      <c r="AB125" s="78"/>
      <c r="AC125" s="78"/>
      <c r="AD125" s="44"/>
    </row>
    <row r="126" spans="1:36" x14ac:dyDescent="0.25">
      <c r="B126" s="54"/>
      <c r="C126" s="2"/>
      <c r="D126" s="380"/>
      <c r="E126" s="380"/>
      <c r="F126" s="159">
        <v>0</v>
      </c>
      <c r="G126" s="343">
        <v>0</v>
      </c>
      <c r="H126" s="313">
        <v>0</v>
      </c>
      <c r="I126" s="513">
        <v>0</v>
      </c>
      <c r="J126" s="242">
        <f>SUM(S126:AD126)</f>
        <v>0</v>
      </c>
      <c r="K126" s="151"/>
      <c r="L126" s="159">
        <f>SUM(J126:K126)</f>
        <v>0</v>
      </c>
      <c r="M126" s="42"/>
      <c r="N126" s="1">
        <f>L126</f>
        <v>0</v>
      </c>
      <c r="O126" s="1"/>
      <c r="P126" s="1"/>
      <c r="Q126" s="1"/>
      <c r="R126" s="1"/>
      <c r="S126" s="72"/>
      <c r="T126" s="1"/>
      <c r="U126" s="78"/>
      <c r="V126" s="78"/>
      <c r="W126" s="1"/>
      <c r="X126" s="78"/>
      <c r="Y126" s="78"/>
      <c r="Z126" s="44"/>
      <c r="AA126" s="343"/>
      <c r="AB126" s="78"/>
      <c r="AC126" s="78"/>
      <c r="AD126" s="44"/>
    </row>
    <row r="127" spans="1:36" ht="25.5" hidden="1" customHeight="1" x14ac:dyDescent="0.25">
      <c r="B127" s="54"/>
      <c r="C127" s="2"/>
      <c r="D127" s="625" t="s">
        <v>527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51"/>
        <v>0</v>
      </c>
      <c r="K127" s="151"/>
      <c r="L127" s="159">
        <f t="shared" si="31"/>
        <v>0</v>
      </c>
      <c r="M127" s="42"/>
      <c r="N127" s="1"/>
      <c r="O127" s="1"/>
      <c r="P127" s="1"/>
      <c r="Q127" s="1"/>
      <c r="R127" s="1"/>
      <c r="S127" s="72"/>
      <c r="T127" s="1"/>
      <c r="U127" s="78"/>
      <c r="V127" s="78"/>
      <c r="W127" s="1"/>
      <c r="X127" s="78"/>
      <c r="Y127" s="78"/>
      <c r="Z127" s="44"/>
      <c r="AA127" s="343"/>
      <c r="AB127" s="78"/>
      <c r="AC127" s="78"/>
      <c r="AD127" s="44"/>
    </row>
    <row r="128" spans="1:36" ht="25.5" hidden="1" customHeight="1" x14ac:dyDescent="0.25">
      <c r="B128" s="54"/>
      <c r="C128" s="2"/>
      <c r="D128" s="625" t="s">
        <v>529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51"/>
        <v>0</v>
      </c>
      <c r="K128" s="151"/>
      <c r="L128" s="159">
        <f t="shared" si="31"/>
        <v>0</v>
      </c>
      <c r="M128" s="42"/>
      <c r="N128" s="1"/>
      <c r="O128" s="1"/>
      <c r="P128" s="1"/>
      <c r="Q128" s="1"/>
      <c r="R128" s="1"/>
      <c r="S128" s="72"/>
      <c r="T128" s="1"/>
      <c r="U128" s="78"/>
      <c r="V128" s="78"/>
      <c r="W128" s="1"/>
      <c r="X128" s="78"/>
      <c r="Y128" s="78"/>
      <c r="Z128" s="44"/>
      <c r="AA128" s="343"/>
      <c r="AB128" s="78"/>
      <c r="AC128" s="78"/>
      <c r="AD128" s="44"/>
    </row>
    <row r="129" spans="1:30" s="41" customFormat="1" ht="27.75" hidden="1" customHeight="1" x14ac:dyDescent="0.25">
      <c r="A129" s="118" t="s">
        <v>233</v>
      </c>
      <c r="B129" s="101" t="s">
        <v>664</v>
      </c>
      <c r="C129" s="708" t="s">
        <v>808</v>
      </c>
      <c r="D129" s="709"/>
      <c r="E129" s="709"/>
      <c r="F129" s="162">
        <v>0</v>
      </c>
      <c r="G129" s="345">
        <v>0</v>
      </c>
      <c r="H129" s="315">
        <v>0</v>
      </c>
      <c r="I129" s="516">
        <v>0</v>
      </c>
      <c r="J129" s="241">
        <f>J130+J131</f>
        <v>0</v>
      </c>
      <c r="K129" s="150">
        <f t="shared" ref="K129:AD129" si="52">K130+K131</f>
        <v>0</v>
      </c>
      <c r="L129" s="162">
        <f t="shared" si="31"/>
        <v>0</v>
      </c>
      <c r="M129" s="105">
        <f t="shared" ref="M129:R129" si="53">M130+M131</f>
        <v>0</v>
      </c>
      <c r="N129" s="103">
        <f t="shared" si="53"/>
        <v>0</v>
      </c>
      <c r="O129" s="103">
        <f t="shared" si="53"/>
        <v>0</v>
      </c>
      <c r="P129" s="103">
        <f t="shared" si="53"/>
        <v>0</v>
      </c>
      <c r="Q129" s="103"/>
      <c r="R129" s="103">
        <f t="shared" si="53"/>
        <v>0</v>
      </c>
      <c r="S129" s="102">
        <f t="shared" si="52"/>
        <v>0</v>
      </c>
      <c r="T129" s="103">
        <f t="shared" si="52"/>
        <v>0</v>
      </c>
      <c r="U129" s="106">
        <f t="shared" si="52"/>
        <v>0</v>
      </c>
      <c r="V129" s="106">
        <f t="shared" si="52"/>
        <v>0</v>
      </c>
      <c r="W129" s="103">
        <f t="shared" si="52"/>
        <v>0</v>
      </c>
      <c r="X129" s="106">
        <f t="shared" si="52"/>
        <v>0</v>
      </c>
      <c r="Y129" s="106">
        <f t="shared" si="52"/>
        <v>0</v>
      </c>
      <c r="Z129" s="107">
        <f t="shared" si="52"/>
        <v>0</v>
      </c>
      <c r="AA129" s="345">
        <f t="shared" si="52"/>
        <v>0</v>
      </c>
      <c r="AB129" s="106">
        <f t="shared" si="52"/>
        <v>0</v>
      </c>
      <c r="AC129" s="106">
        <f t="shared" si="52"/>
        <v>0</v>
      </c>
      <c r="AD129" s="107">
        <f t="shared" si="52"/>
        <v>0</v>
      </c>
    </row>
    <row r="130" spans="1:30" ht="15" hidden="1" customHeight="1" x14ac:dyDescent="0.25">
      <c r="B130" s="54"/>
      <c r="C130" s="2"/>
      <c r="D130" s="624" t="s">
        <v>531</v>
      </c>
      <c r="E130" s="624"/>
      <c r="F130" s="159">
        <v>0</v>
      </c>
      <c r="G130" s="343">
        <v>0</v>
      </c>
      <c r="H130" s="313">
        <v>0</v>
      </c>
      <c r="I130" s="513">
        <v>0</v>
      </c>
      <c r="J130" s="232">
        <f>SUM(S130:AD130)</f>
        <v>0</v>
      </c>
      <c r="K130" s="141"/>
      <c r="L130" s="159">
        <f t="shared" si="31"/>
        <v>0</v>
      </c>
      <c r="M130" s="42"/>
      <c r="N130" s="1"/>
      <c r="O130" s="1"/>
      <c r="P130" s="1"/>
      <c r="Q130" s="1"/>
      <c r="R130" s="1"/>
      <c r="S130" s="72"/>
      <c r="T130" s="1"/>
      <c r="U130" s="78"/>
      <c r="V130" s="78"/>
      <c r="W130" s="1"/>
      <c r="X130" s="78"/>
      <c r="Y130" s="78"/>
      <c r="Z130" s="44"/>
      <c r="AA130" s="343"/>
      <c r="AB130" s="78"/>
      <c r="AC130" s="78"/>
      <c r="AD130" s="44"/>
    </row>
    <row r="131" spans="1:30" ht="25.5" hidden="1" customHeight="1" x14ac:dyDescent="0.25">
      <c r="B131" s="54"/>
      <c r="C131" s="2"/>
      <c r="D131" s="625" t="s">
        <v>530</v>
      </c>
      <c r="E131" s="625"/>
      <c r="F131" s="159">
        <v>0</v>
      </c>
      <c r="G131" s="343">
        <v>0</v>
      </c>
      <c r="H131" s="313">
        <v>0</v>
      </c>
      <c r="I131" s="513">
        <v>0</v>
      </c>
      <c r="J131" s="242">
        <f>SUM(S131:AD131)</f>
        <v>0</v>
      </c>
      <c r="K131" s="151"/>
      <c r="L131" s="159">
        <f t="shared" si="31"/>
        <v>0</v>
      </c>
      <c r="M131" s="42"/>
      <c r="N131" s="1"/>
      <c r="O131" s="1"/>
      <c r="P131" s="1"/>
      <c r="Q131" s="1"/>
      <c r="R131" s="1"/>
      <c r="S131" s="72"/>
      <c r="T131" s="1"/>
      <c r="U131" s="78"/>
      <c r="V131" s="78"/>
      <c r="W131" s="1"/>
      <c r="X131" s="78"/>
      <c r="Y131" s="78"/>
      <c r="Z131" s="44"/>
      <c r="AA131" s="343"/>
      <c r="AB131" s="78"/>
      <c r="AC131" s="78"/>
      <c r="AD131" s="44"/>
    </row>
    <row r="132" spans="1:30" s="41" customFormat="1" ht="15" hidden="1" customHeight="1" x14ac:dyDescent="0.25">
      <c r="A132" s="118" t="s">
        <v>234</v>
      </c>
      <c r="B132" s="101" t="s">
        <v>666</v>
      </c>
      <c r="C132" s="708" t="s">
        <v>809</v>
      </c>
      <c r="D132" s="709"/>
      <c r="E132" s="709"/>
      <c r="F132" s="162">
        <v>0</v>
      </c>
      <c r="G132" s="345">
        <v>0</v>
      </c>
      <c r="H132" s="315">
        <v>0</v>
      </c>
      <c r="I132" s="516">
        <v>0</v>
      </c>
      <c r="J132" s="241">
        <f>J133+J134+J135+J136+J137+J138+J139+J140+J141+J142+J143</f>
        <v>0</v>
      </c>
      <c r="K132" s="150">
        <f t="shared" ref="K132:AD132" si="54">K133+K134+K135+K136+K137+K138+K139+K140+K141+K142+K143</f>
        <v>0</v>
      </c>
      <c r="L132" s="162">
        <f t="shared" si="31"/>
        <v>0</v>
      </c>
      <c r="M132" s="105">
        <f t="shared" ref="M132:R132" si="55">M133+M134+M135+M136+M137+M138+M139+M140+M141+M142+M143</f>
        <v>0</v>
      </c>
      <c r="N132" s="103">
        <f t="shared" si="55"/>
        <v>0</v>
      </c>
      <c r="O132" s="103">
        <f t="shared" si="55"/>
        <v>0</v>
      </c>
      <c r="P132" s="103">
        <f t="shared" si="55"/>
        <v>0</v>
      </c>
      <c r="Q132" s="103"/>
      <c r="R132" s="103">
        <f t="shared" si="55"/>
        <v>0</v>
      </c>
      <c r="S132" s="102">
        <f t="shared" si="54"/>
        <v>0</v>
      </c>
      <c r="T132" s="103">
        <f t="shared" si="54"/>
        <v>0</v>
      </c>
      <c r="U132" s="106">
        <f t="shared" si="54"/>
        <v>0</v>
      </c>
      <c r="V132" s="106">
        <f t="shared" si="54"/>
        <v>0</v>
      </c>
      <c r="W132" s="103">
        <f t="shared" si="54"/>
        <v>0</v>
      </c>
      <c r="X132" s="106">
        <f t="shared" si="54"/>
        <v>0</v>
      </c>
      <c r="Y132" s="106">
        <f t="shared" si="54"/>
        <v>0</v>
      </c>
      <c r="Z132" s="107">
        <f t="shared" si="54"/>
        <v>0</v>
      </c>
      <c r="AA132" s="345">
        <f t="shared" si="54"/>
        <v>0</v>
      </c>
      <c r="AB132" s="106">
        <f t="shared" si="54"/>
        <v>0</v>
      </c>
      <c r="AC132" s="106">
        <f t="shared" si="54"/>
        <v>0</v>
      </c>
      <c r="AD132" s="107">
        <f t="shared" si="54"/>
        <v>0</v>
      </c>
    </row>
    <row r="133" spans="1:30" ht="15" hidden="1" customHeight="1" x14ac:dyDescent="0.25">
      <c r="B133" s="54"/>
      <c r="C133" s="2"/>
      <c r="D133" s="624" t="s">
        <v>354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ref="J133:J146" si="56">SUM(S133:AD133)</f>
        <v>0</v>
      </c>
      <c r="K133" s="141"/>
      <c r="L133" s="159">
        <f t="shared" si="31"/>
        <v>0</v>
      </c>
      <c r="M133" s="42"/>
      <c r="N133" s="1"/>
      <c r="O133" s="1"/>
      <c r="P133" s="1"/>
      <c r="Q133" s="1"/>
      <c r="R133" s="1"/>
      <c r="S133" s="72"/>
      <c r="T133" s="1"/>
      <c r="U133" s="78"/>
      <c r="V133" s="78"/>
      <c r="W133" s="1"/>
      <c r="X133" s="78"/>
      <c r="Y133" s="78"/>
      <c r="Z133" s="44"/>
      <c r="AA133" s="343"/>
      <c r="AB133" s="78"/>
      <c r="AC133" s="78"/>
      <c r="AD133" s="44"/>
    </row>
    <row r="134" spans="1:30" ht="15" hidden="1" customHeight="1" x14ac:dyDescent="0.25">
      <c r="B134" s="54"/>
      <c r="C134" s="2"/>
      <c r="D134" s="624" t="s">
        <v>357</v>
      </c>
      <c r="E134" s="624"/>
      <c r="F134" s="159">
        <v>0</v>
      </c>
      <c r="G134" s="343">
        <v>0</v>
      </c>
      <c r="H134" s="313">
        <v>0</v>
      </c>
      <c r="I134" s="513">
        <v>0</v>
      </c>
      <c r="J134" s="232">
        <f t="shared" si="56"/>
        <v>0</v>
      </c>
      <c r="K134" s="141"/>
      <c r="L134" s="159">
        <f t="shared" si="31"/>
        <v>0</v>
      </c>
      <c r="M134" s="42"/>
      <c r="N134" s="1"/>
      <c r="O134" s="1"/>
      <c r="P134" s="1"/>
      <c r="Q134" s="1"/>
      <c r="R134" s="1"/>
      <c r="S134" s="72"/>
      <c r="T134" s="1"/>
      <c r="U134" s="78"/>
      <c r="V134" s="78"/>
      <c r="W134" s="1"/>
      <c r="X134" s="78"/>
      <c r="Y134" s="78"/>
      <c r="Z134" s="44"/>
      <c r="AA134" s="343"/>
      <c r="AB134" s="78"/>
      <c r="AC134" s="78"/>
      <c r="AD134" s="44"/>
    </row>
    <row r="135" spans="1:30" ht="15" hidden="1" customHeight="1" x14ac:dyDescent="0.25">
      <c r="B135" s="54"/>
      <c r="C135" s="2"/>
      <c r="D135" s="624" t="s">
        <v>358</v>
      </c>
      <c r="E135" s="624"/>
      <c r="F135" s="159">
        <v>0</v>
      </c>
      <c r="G135" s="343">
        <v>0</v>
      </c>
      <c r="H135" s="313">
        <v>0</v>
      </c>
      <c r="I135" s="513">
        <v>0</v>
      </c>
      <c r="J135" s="232">
        <f t="shared" si="56"/>
        <v>0</v>
      </c>
      <c r="K135" s="141"/>
      <c r="L135" s="159">
        <f t="shared" si="31"/>
        <v>0</v>
      </c>
      <c r="M135" s="42"/>
      <c r="N135" s="1"/>
      <c r="O135" s="1"/>
      <c r="P135" s="1"/>
      <c r="Q135" s="1"/>
      <c r="R135" s="1"/>
      <c r="S135" s="72"/>
      <c r="T135" s="1"/>
      <c r="U135" s="78"/>
      <c r="V135" s="78"/>
      <c r="W135" s="1"/>
      <c r="X135" s="78"/>
      <c r="Y135" s="78"/>
      <c r="Z135" s="44"/>
      <c r="AA135" s="343"/>
      <c r="AB135" s="78"/>
      <c r="AC135" s="78"/>
      <c r="AD135" s="44"/>
    </row>
    <row r="136" spans="1:30" ht="15" hidden="1" customHeight="1" x14ac:dyDescent="0.25">
      <c r="B136" s="54"/>
      <c r="C136" s="2"/>
      <c r="D136" s="624" t="s">
        <v>355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si="56"/>
        <v>0</v>
      </c>
      <c r="K136" s="141"/>
      <c r="L136" s="159">
        <f t="shared" si="31"/>
        <v>0</v>
      </c>
      <c r="M136" s="42"/>
      <c r="N136" s="1"/>
      <c r="O136" s="1"/>
      <c r="P136" s="1"/>
      <c r="Q136" s="1"/>
      <c r="R136" s="1"/>
      <c r="S136" s="72"/>
      <c r="T136" s="1"/>
      <c r="U136" s="78"/>
      <c r="V136" s="78"/>
      <c r="W136" s="1"/>
      <c r="X136" s="78"/>
      <c r="Y136" s="78"/>
      <c r="Z136" s="44"/>
      <c r="AA136" s="343"/>
      <c r="AB136" s="78"/>
      <c r="AC136" s="78"/>
      <c r="AD136" s="44"/>
    </row>
    <row r="137" spans="1:30" ht="15" hidden="1" customHeight="1" x14ac:dyDescent="0.25">
      <c r="B137" s="54"/>
      <c r="C137" s="2"/>
      <c r="D137" s="624" t="s">
        <v>810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56"/>
        <v>0</v>
      </c>
      <c r="K137" s="141"/>
      <c r="L137" s="159">
        <f t="shared" si="31"/>
        <v>0</v>
      </c>
      <c r="M137" s="42"/>
      <c r="N137" s="1"/>
      <c r="O137" s="1"/>
      <c r="P137" s="1"/>
      <c r="Q137" s="1"/>
      <c r="R137" s="1"/>
      <c r="S137" s="72"/>
      <c r="T137" s="1"/>
      <c r="U137" s="78"/>
      <c r="V137" s="78"/>
      <c r="W137" s="1"/>
      <c r="X137" s="78"/>
      <c r="Y137" s="78"/>
      <c r="Z137" s="44"/>
      <c r="AA137" s="343"/>
      <c r="AB137" s="78"/>
      <c r="AC137" s="78"/>
      <c r="AD137" s="44"/>
    </row>
    <row r="138" spans="1:30" ht="25.5" hidden="1" customHeight="1" x14ac:dyDescent="0.25">
      <c r="B138" s="54"/>
      <c r="C138" s="2"/>
      <c r="D138" s="625" t="s">
        <v>532</v>
      </c>
      <c r="E138" s="625"/>
      <c r="F138" s="159">
        <v>0</v>
      </c>
      <c r="G138" s="343">
        <v>0</v>
      </c>
      <c r="H138" s="313">
        <v>0</v>
      </c>
      <c r="I138" s="513">
        <v>0</v>
      </c>
      <c r="J138" s="242">
        <f t="shared" si="56"/>
        <v>0</v>
      </c>
      <c r="K138" s="151"/>
      <c r="L138" s="159">
        <f t="shared" si="31"/>
        <v>0</v>
      </c>
      <c r="M138" s="42"/>
      <c r="N138" s="1"/>
      <c r="O138" s="1"/>
      <c r="P138" s="1"/>
      <c r="Q138" s="1"/>
      <c r="R138" s="1"/>
      <c r="S138" s="72"/>
      <c r="T138" s="1"/>
      <c r="U138" s="78"/>
      <c r="V138" s="78"/>
      <c r="W138" s="1"/>
      <c r="X138" s="78"/>
      <c r="Y138" s="78"/>
      <c r="Z138" s="44"/>
      <c r="AA138" s="343"/>
      <c r="AB138" s="78"/>
      <c r="AC138" s="78"/>
      <c r="AD138" s="44"/>
    </row>
    <row r="139" spans="1:30" ht="25.5" hidden="1" customHeight="1" x14ac:dyDescent="0.25">
      <c r="B139" s="54"/>
      <c r="C139" s="2"/>
      <c r="D139" s="625" t="s">
        <v>533</v>
      </c>
      <c r="E139" s="625"/>
      <c r="F139" s="159">
        <v>0</v>
      </c>
      <c r="G139" s="343">
        <v>0</v>
      </c>
      <c r="H139" s="313">
        <v>0</v>
      </c>
      <c r="I139" s="513">
        <v>0</v>
      </c>
      <c r="J139" s="242">
        <f t="shared" si="56"/>
        <v>0</v>
      </c>
      <c r="K139" s="151"/>
      <c r="L139" s="159">
        <f t="shared" si="31"/>
        <v>0</v>
      </c>
      <c r="M139" s="42"/>
      <c r="N139" s="1"/>
      <c r="O139" s="1"/>
      <c r="P139" s="1"/>
      <c r="Q139" s="1"/>
      <c r="R139" s="1"/>
      <c r="S139" s="72"/>
      <c r="T139" s="1"/>
      <c r="U139" s="78"/>
      <c r="V139" s="78"/>
      <c r="W139" s="1"/>
      <c r="X139" s="78"/>
      <c r="Y139" s="78"/>
      <c r="Z139" s="44"/>
      <c r="AA139" s="343"/>
      <c r="AB139" s="78"/>
      <c r="AC139" s="78"/>
      <c r="AD139" s="44"/>
    </row>
    <row r="140" spans="1:30" ht="15" hidden="1" customHeight="1" x14ac:dyDescent="0.25">
      <c r="B140" s="54"/>
      <c r="C140" s="2"/>
      <c r="D140" s="624" t="s">
        <v>364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56"/>
        <v>0</v>
      </c>
      <c r="K140" s="141"/>
      <c r="L140" s="159">
        <f t="shared" si="31"/>
        <v>0</v>
      </c>
      <c r="M140" s="42"/>
      <c r="N140" s="1"/>
      <c r="O140" s="1"/>
      <c r="P140" s="1"/>
      <c r="Q140" s="1"/>
      <c r="R140" s="1"/>
      <c r="S140" s="72"/>
      <c r="T140" s="1"/>
      <c r="U140" s="78"/>
      <c r="V140" s="78"/>
      <c r="W140" s="1"/>
      <c r="X140" s="78"/>
      <c r="Y140" s="78"/>
      <c r="Z140" s="44"/>
      <c r="AA140" s="343"/>
      <c r="AB140" s="78"/>
      <c r="AC140" s="78"/>
      <c r="AD140" s="44"/>
    </row>
    <row r="141" spans="1:30" ht="15" hidden="1" customHeight="1" x14ac:dyDescent="0.25">
      <c r="B141" s="54"/>
      <c r="C141" s="2"/>
      <c r="D141" s="624" t="s">
        <v>356</v>
      </c>
      <c r="E141" s="624"/>
      <c r="F141" s="159">
        <v>0</v>
      </c>
      <c r="G141" s="343">
        <v>0</v>
      </c>
      <c r="H141" s="313">
        <v>0</v>
      </c>
      <c r="I141" s="513">
        <v>0</v>
      </c>
      <c r="J141" s="232">
        <f t="shared" si="56"/>
        <v>0</v>
      </c>
      <c r="K141" s="141"/>
      <c r="L141" s="159">
        <f t="shared" si="31"/>
        <v>0</v>
      </c>
      <c r="M141" s="42"/>
      <c r="N141" s="1"/>
      <c r="O141" s="1"/>
      <c r="P141" s="1"/>
      <c r="Q141" s="1"/>
      <c r="R141" s="1"/>
      <c r="S141" s="72"/>
      <c r="T141" s="1"/>
      <c r="U141" s="78"/>
      <c r="V141" s="78"/>
      <c r="W141" s="1"/>
      <c r="X141" s="78"/>
      <c r="Y141" s="78"/>
      <c r="Z141" s="44"/>
      <c r="AA141" s="343"/>
      <c r="AB141" s="78"/>
      <c r="AC141" s="78"/>
      <c r="AD141" s="44"/>
    </row>
    <row r="142" spans="1:30" ht="25.5" hidden="1" customHeight="1" x14ac:dyDescent="0.25">
      <c r="B142" s="54"/>
      <c r="C142" s="2"/>
      <c r="D142" s="625" t="s">
        <v>534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56"/>
        <v>0</v>
      </c>
      <c r="K142" s="151"/>
      <c r="L142" s="159">
        <f t="shared" si="31"/>
        <v>0</v>
      </c>
      <c r="M142" s="42"/>
      <c r="N142" s="1"/>
      <c r="O142" s="1"/>
      <c r="P142" s="1"/>
      <c r="Q142" s="1"/>
      <c r="R142" s="1"/>
      <c r="S142" s="72"/>
      <c r="T142" s="1"/>
      <c r="U142" s="78"/>
      <c r="V142" s="78"/>
      <c r="W142" s="1"/>
      <c r="X142" s="78"/>
      <c r="Y142" s="78"/>
      <c r="Z142" s="44"/>
      <c r="AA142" s="343"/>
      <c r="AB142" s="78"/>
      <c r="AC142" s="78"/>
      <c r="AD142" s="44"/>
    </row>
    <row r="143" spans="1:30" ht="15" hidden="1" customHeight="1" x14ac:dyDescent="0.25">
      <c r="B143" s="54"/>
      <c r="C143" s="2"/>
      <c r="D143" s="624" t="s">
        <v>535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56"/>
        <v>0</v>
      </c>
      <c r="K143" s="141"/>
      <c r="L143" s="159">
        <f t="shared" si="31"/>
        <v>0</v>
      </c>
      <c r="M143" s="42"/>
      <c r="N143" s="1"/>
      <c r="O143" s="1"/>
      <c r="P143" s="1"/>
      <c r="Q143" s="1"/>
      <c r="R143" s="1"/>
      <c r="S143" s="72"/>
      <c r="T143" s="1"/>
      <c r="U143" s="78"/>
      <c r="V143" s="78"/>
      <c r="W143" s="1"/>
      <c r="X143" s="78"/>
      <c r="Y143" s="78"/>
      <c r="Z143" s="44"/>
      <c r="AA143" s="343"/>
      <c r="AB143" s="78"/>
      <c r="AC143" s="78"/>
      <c r="AD143" s="44"/>
    </row>
    <row r="144" spans="1:30" s="41" customFormat="1" ht="15" hidden="1" customHeight="1" x14ac:dyDescent="0.25">
      <c r="A144" s="118" t="s">
        <v>235</v>
      </c>
      <c r="B144" s="101" t="s">
        <v>665</v>
      </c>
      <c r="C144" s="655" t="s">
        <v>236</v>
      </c>
      <c r="D144" s="656"/>
      <c r="E144" s="656"/>
      <c r="F144" s="162">
        <v>0</v>
      </c>
      <c r="G144" s="345">
        <v>0</v>
      </c>
      <c r="H144" s="315">
        <v>0</v>
      </c>
      <c r="I144" s="516">
        <v>0</v>
      </c>
      <c r="J144" s="243">
        <f t="shared" si="56"/>
        <v>0</v>
      </c>
      <c r="K144" s="152"/>
      <c r="L144" s="162">
        <f t="shared" si="31"/>
        <v>0</v>
      </c>
      <c r="M144" s="105"/>
      <c r="N144" s="103"/>
      <c r="O144" s="103"/>
      <c r="P144" s="103"/>
      <c r="Q144" s="103"/>
      <c r="R144" s="103"/>
      <c r="S144" s="102"/>
      <c r="T144" s="103"/>
      <c r="U144" s="106"/>
      <c r="V144" s="106"/>
      <c r="W144" s="103"/>
      <c r="X144" s="106"/>
      <c r="Y144" s="106"/>
      <c r="Z144" s="107"/>
      <c r="AA144" s="345"/>
      <c r="AB144" s="106"/>
      <c r="AC144" s="106"/>
      <c r="AD144" s="107"/>
    </row>
    <row r="145" spans="1:30" s="41" customFormat="1" ht="15" hidden="1" customHeight="1" x14ac:dyDescent="0.25">
      <c r="A145" s="118" t="s">
        <v>237</v>
      </c>
      <c r="B145" s="101" t="s">
        <v>667</v>
      </c>
      <c r="C145" s="655" t="s">
        <v>238</v>
      </c>
      <c r="D145" s="656"/>
      <c r="E145" s="656"/>
      <c r="F145" s="162">
        <v>0</v>
      </c>
      <c r="G145" s="345">
        <v>0</v>
      </c>
      <c r="H145" s="315">
        <v>0</v>
      </c>
      <c r="I145" s="516">
        <v>0</v>
      </c>
      <c r="J145" s="243">
        <f t="shared" si="56"/>
        <v>0</v>
      </c>
      <c r="K145" s="152"/>
      <c r="L145" s="162">
        <f t="shared" si="31"/>
        <v>0</v>
      </c>
      <c r="M145" s="105"/>
      <c r="N145" s="103"/>
      <c r="O145" s="103"/>
      <c r="P145" s="103"/>
      <c r="Q145" s="103"/>
      <c r="R145" s="103"/>
      <c r="S145" s="102"/>
      <c r="T145" s="103"/>
      <c r="U145" s="106"/>
      <c r="V145" s="106"/>
      <c r="W145" s="103"/>
      <c r="X145" s="106"/>
      <c r="Y145" s="106"/>
      <c r="Z145" s="107"/>
      <c r="AA145" s="345"/>
      <c r="AB145" s="106"/>
      <c r="AC145" s="106"/>
      <c r="AD145" s="107"/>
    </row>
    <row r="146" spans="1:30" s="41" customFormat="1" ht="15" hidden="1" customHeight="1" x14ac:dyDescent="0.25">
      <c r="A146" s="118" t="s">
        <v>239</v>
      </c>
      <c r="B146" s="101" t="s">
        <v>668</v>
      </c>
      <c r="C146" s="655" t="s">
        <v>240</v>
      </c>
      <c r="D146" s="656"/>
      <c r="E146" s="656"/>
      <c r="F146" s="162">
        <v>0</v>
      </c>
      <c r="G146" s="345">
        <v>0</v>
      </c>
      <c r="H146" s="315">
        <v>0</v>
      </c>
      <c r="I146" s="516">
        <v>0</v>
      </c>
      <c r="J146" s="243">
        <f t="shared" si="56"/>
        <v>0</v>
      </c>
      <c r="K146" s="152"/>
      <c r="L146" s="162">
        <f t="shared" ref="L146:L212" si="57">SUM(J146:K146)</f>
        <v>0</v>
      </c>
      <c r="M146" s="105"/>
      <c r="N146" s="103"/>
      <c r="O146" s="103"/>
      <c r="P146" s="103"/>
      <c r="Q146" s="103"/>
      <c r="R146" s="103"/>
      <c r="S146" s="102"/>
      <c r="T146" s="103"/>
      <c r="U146" s="106"/>
      <c r="V146" s="106"/>
      <c r="W146" s="103"/>
      <c r="X146" s="106"/>
      <c r="Y146" s="106"/>
      <c r="Z146" s="107"/>
      <c r="AA146" s="345"/>
      <c r="AB146" s="106"/>
      <c r="AC146" s="106"/>
      <c r="AD146" s="107"/>
    </row>
    <row r="147" spans="1:30" s="41" customFormat="1" x14ac:dyDescent="0.25">
      <c r="A147" s="118" t="s">
        <v>241</v>
      </c>
      <c r="B147" s="101" t="s">
        <v>669</v>
      </c>
      <c r="C147" s="655" t="s">
        <v>242</v>
      </c>
      <c r="D147" s="656"/>
      <c r="E147" s="656"/>
      <c r="F147" s="162">
        <v>726831</v>
      </c>
      <c r="G147" s="345">
        <v>726831</v>
      </c>
      <c r="H147" s="315">
        <v>726831</v>
      </c>
      <c r="I147" s="516">
        <v>726831</v>
      </c>
      <c r="J147" s="243">
        <f>J148+J149+J150+J154+J155+J156+J157+J158+J159+J160</f>
        <v>691186</v>
      </c>
      <c r="K147" s="152">
        <f>K148+K149+K150+K154+K155+K156+K157+K158+K159+K160</f>
        <v>0</v>
      </c>
      <c r="L147" s="162">
        <f t="shared" si="57"/>
        <v>691186</v>
      </c>
      <c r="M147" s="105">
        <f t="shared" ref="M147:AD147" si="58">M148+M149+M150+M154+M155+M156+M157+M158+M159+M160</f>
        <v>0</v>
      </c>
      <c r="N147" s="103">
        <f t="shared" si="58"/>
        <v>0</v>
      </c>
      <c r="O147" s="103">
        <f t="shared" si="58"/>
        <v>691186</v>
      </c>
      <c r="P147" s="103">
        <f t="shared" si="58"/>
        <v>0</v>
      </c>
      <c r="Q147" s="103"/>
      <c r="R147" s="103">
        <f t="shared" si="58"/>
        <v>0</v>
      </c>
      <c r="S147" s="102">
        <f t="shared" si="58"/>
        <v>0</v>
      </c>
      <c r="T147" s="103">
        <f t="shared" si="58"/>
        <v>0</v>
      </c>
      <c r="U147" s="106">
        <f t="shared" si="58"/>
        <v>0</v>
      </c>
      <c r="V147" s="106">
        <f t="shared" si="58"/>
        <v>0</v>
      </c>
      <c r="W147" s="103">
        <f t="shared" si="58"/>
        <v>0</v>
      </c>
      <c r="X147" s="106">
        <f t="shared" si="58"/>
        <v>150000</v>
      </c>
      <c r="Y147" s="106">
        <f t="shared" si="58"/>
        <v>0</v>
      </c>
      <c r="Z147" s="107">
        <f t="shared" si="58"/>
        <v>100000</v>
      </c>
      <c r="AA147" s="345">
        <f t="shared" si="58"/>
        <v>200000</v>
      </c>
      <c r="AB147" s="106">
        <f t="shared" si="58"/>
        <v>0</v>
      </c>
      <c r="AC147" s="106">
        <f t="shared" si="58"/>
        <v>141186</v>
      </c>
      <c r="AD147" s="107">
        <f t="shared" si="58"/>
        <v>100000</v>
      </c>
    </row>
    <row r="148" spans="1:30" ht="15" hidden="1" customHeight="1" x14ac:dyDescent="0.25">
      <c r="B148" s="54"/>
      <c r="C148" s="2"/>
      <c r="D148" s="624" t="s">
        <v>359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ref="J148:J160" si="59">SUM(S148:AD148)</f>
        <v>0</v>
      </c>
      <c r="K148" s="141"/>
      <c r="L148" s="159">
        <f t="shared" si="57"/>
        <v>0</v>
      </c>
      <c r="M148" s="42"/>
      <c r="N148" s="1"/>
      <c r="O148" s="1"/>
      <c r="P148" s="1"/>
      <c r="Q148" s="1"/>
      <c r="R148" s="1"/>
      <c r="S148" s="72"/>
      <c r="T148" s="1"/>
      <c r="U148" s="78"/>
      <c r="V148" s="78"/>
      <c r="W148" s="1"/>
      <c r="X148" s="78"/>
      <c r="Y148" s="78"/>
      <c r="Z148" s="44"/>
      <c r="AA148" s="343"/>
      <c r="AB148" s="78"/>
      <c r="AC148" s="78"/>
      <c r="AD148" s="44"/>
    </row>
    <row r="149" spans="1:30" ht="15" hidden="1" customHeight="1" x14ac:dyDescent="0.25">
      <c r="B149" s="54"/>
      <c r="C149" s="2"/>
      <c r="D149" s="624" t="s">
        <v>360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59"/>
        <v>0</v>
      </c>
      <c r="K149" s="141"/>
      <c r="L149" s="159">
        <f t="shared" si="57"/>
        <v>0</v>
      </c>
      <c r="M149" s="42"/>
      <c r="N149" s="1"/>
      <c r="O149" s="1"/>
      <c r="P149" s="1"/>
      <c r="Q149" s="1"/>
      <c r="R149" s="1"/>
      <c r="S149" s="72"/>
      <c r="T149" s="1"/>
      <c r="U149" s="78"/>
      <c r="V149" s="78"/>
      <c r="W149" s="1"/>
      <c r="X149" s="78"/>
      <c r="Y149" s="78"/>
      <c r="Z149" s="44"/>
      <c r="AA149" s="343"/>
      <c r="AB149" s="78"/>
      <c r="AC149" s="78"/>
      <c r="AD149" s="44"/>
    </row>
    <row r="150" spans="1:30" s="199" customFormat="1" x14ac:dyDescent="0.25">
      <c r="A150" s="280"/>
      <c r="B150" s="181"/>
      <c r="C150" s="190"/>
      <c r="D150" s="630" t="s">
        <v>361</v>
      </c>
      <c r="E150" s="630"/>
      <c r="F150" s="183">
        <v>726831</v>
      </c>
      <c r="G150" s="340">
        <v>726831</v>
      </c>
      <c r="H150" s="310">
        <v>726831</v>
      </c>
      <c r="I150" s="508">
        <v>726831</v>
      </c>
      <c r="J150" s="251">
        <f>SUM(J151:J153)</f>
        <v>691186</v>
      </c>
      <c r="K150" s="182">
        <f>SUM(K151:K153)</f>
        <v>0</v>
      </c>
      <c r="L150" s="183">
        <f t="shared" si="57"/>
        <v>691186</v>
      </c>
      <c r="M150" s="184">
        <f t="shared" ref="M150:AD150" si="60">SUM(M151:M153)</f>
        <v>0</v>
      </c>
      <c r="N150" s="185">
        <f t="shared" si="60"/>
        <v>0</v>
      </c>
      <c r="O150" s="185">
        <f t="shared" si="60"/>
        <v>691186</v>
      </c>
      <c r="P150" s="185">
        <f t="shared" si="60"/>
        <v>0</v>
      </c>
      <c r="Q150" s="185"/>
      <c r="R150" s="185">
        <f t="shared" si="60"/>
        <v>0</v>
      </c>
      <c r="S150" s="191">
        <f t="shared" si="60"/>
        <v>0</v>
      </c>
      <c r="T150" s="185">
        <f t="shared" si="60"/>
        <v>0</v>
      </c>
      <c r="U150" s="186">
        <f t="shared" si="60"/>
        <v>0</v>
      </c>
      <c r="V150" s="186">
        <f t="shared" si="60"/>
        <v>0</v>
      </c>
      <c r="W150" s="185">
        <f t="shared" si="60"/>
        <v>0</v>
      </c>
      <c r="X150" s="186">
        <f t="shared" si="60"/>
        <v>150000</v>
      </c>
      <c r="Y150" s="186">
        <f t="shared" si="60"/>
        <v>0</v>
      </c>
      <c r="Z150" s="187">
        <f t="shared" si="60"/>
        <v>100000</v>
      </c>
      <c r="AA150" s="340">
        <f t="shared" si="60"/>
        <v>200000</v>
      </c>
      <c r="AB150" s="186">
        <f t="shared" si="60"/>
        <v>0</v>
      </c>
      <c r="AC150" s="186">
        <f t="shared" si="60"/>
        <v>141186</v>
      </c>
      <c r="AD150" s="187">
        <f t="shared" si="60"/>
        <v>100000</v>
      </c>
    </row>
    <row r="151" spans="1:30" x14ac:dyDescent="0.25">
      <c r="B151" s="54"/>
      <c r="C151" s="2"/>
      <c r="D151" s="322"/>
      <c r="E151" s="322" t="s">
        <v>1061</v>
      </c>
      <c r="F151" s="159">
        <v>150000</v>
      </c>
      <c r="G151" s="343">
        <v>150000</v>
      </c>
      <c r="H151" s="313">
        <v>150000</v>
      </c>
      <c r="I151" s="513">
        <v>150000</v>
      </c>
      <c r="J151" s="232">
        <f>SUM(S151:AD151)</f>
        <v>100000</v>
      </c>
      <c r="K151" s="141"/>
      <c r="L151" s="159">
        <f t="shared" si="57"/>
        <v>100000</v>
      </c>
      <c r="M151" s="42"/>
      <c r="N151" s="1"/>
      <c r="O151" s="1">
        <f>L151</f>
        <v>100000</v>
      </c>
      <c r="P151" s="1"/>
      <c r="Q151" s="1"/>
      <c r="R151" s="1"/>
      <c r="S151" s="72"/>
      <c r="T151" s="1"/>
      <c r="U151" s="78"/>
      <c r="V151" s="78"/>
      <c r="W151" s="1"/>
      <c r="X151" s="78"/>
      <c r="Y151" s="78"/>
      <c r="Z151" s="44"/>
      <c r="AA151" s="343"/>
      <c r="AB151" s="78"/>
      <c r="AC151" s="78"/>
      <c r="AD151" s="44">
        <v>100000</v>
      </c>
    </row>
    <row r="152" spans="1:30" x14ac:dyDescent="0.25">
      <c r="B152" s="54"/>
      <c r="C152" s="2"/>
      <c r="D152" s="322"/>
      <c r="E152" s="322" t="s">
        <v>1017</v>
      </c>
      <c r="F152" s="159">
        <v>100000</v>
      </c>
      <c r="G152" s="343">
        <v>100000</v>
      </c>
      <c r="H152" s="313">
        <v>100000</v>
      </c>
      <c r="I152" s="513">
        <v>100000</v>
      </c>
      <c r="J152" s="232">
        <f>SUM(S152:AD152)</f>
        <v>150000</v>
      </c>
      <c r="K152" s="141"/>
      <c r="L152" s="159">
        <f t="shared" si="57"/>
        <v>150000</v>
      </c>
      <c r="M152" s="42"/>
      <c r="N152" s="1"/>
      <c r="O152" s="1">
        <f>L152</f>
        <v>150000</v>
      </c>
      <c r="P152" s="1"/>
      <c r="Q152" s="1"/>
      <c r="R152" s="1"/>
      <c r="S152" s="72"/>
      <c r="T152" s="1"/>
      <c r="U152" s="78"/>
      <c r="V152" s="78"/>
      <c r="W152" s="1"/>
      <c r="X152" s="78">
        <v>150000</v>
      </c>
      <c r="Y152" s="78"/>
      <c r="Z152" s="44"/>
      <c r="AA152" s="343"/>
      <c r="AB152" s="78"/>
      <c r="AC152" s="78"/>
      <c r="AD152" s="44"/>
    </row>
    <row r="153" spans="1:30" x14ac:dyDescent="0.25">
      <c r="B153" s="54"/>
      <c r="C153" s="2"/>
      <c r="D153" s="278"/>
      <c r="E153" s="322" t="s">
        <v>1018</v>
      </c>
      <c r="F153" s="159">
        <v>476831</v>
      </c>
      <c r="G153" s="343">
        <v>476831</v>
      </c>
      <c r="H153" s="313">
        <v>476831</v>
      </c>
      <c r="I153" s="513">
        <v>476831</v>
      </c>
      <c r="J153" s="232">
        <f>SUM(S153:AD153)</f>
        <v>441186</v>
      </c>
      <c r="K153" s="141"/>
      <c r="L153" s="159">
        <f>SUM(J153:K153)</f>
        <v>441186</v>
      </c>
      <c r="M153" s="42"/>
      <c r="N153" s="1"/>
      <c r="O153" s="1">
        <f>L153</f>
        <v>441186</v>
      </c>
      <c r="P153" s="1"/>
      <c r="Q153" s="1"/>
      <c r="R153" s="1"/>
      <c r="S153" s="72"/>
      <c r="T153" s="1"/>
      <c r="U153" s="78"/>
      <c r="V153" s="78"/>
      <c r="W153" s="1"/>
      <c r="X153" s="78"/>
      <c r="Y153" s="78"/>
      <c r="Z153" s="44">
        <v>100000</v>
      </c>
      <c r="AA153" s="343">
        <v>200000</v>
      </c>
      <c r="AB153" s="78"/>
      <c r="AC153" s="78">
        <v>141186</v>
      </c>
      <c r="AD153" s="44"/>
    </row>
    <row r="154" spans="1:30" ht="15" hidden="1" customHeight="1" x14ac:dyDescent="0.25">
      <c r="B154" s="54"/>
      <c r="C154" s="2"/>
      <c r="D154" s="624" t="s">
        <v>362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59"/>
        <v>0</v>
      </c>
      <c r="K154" s="141"/>
      <c r="L154" s="159">
        <f t="shared" si="57"/>
        <v>0</v>
      </c>
      <c r="M154" s="42"/>
      <c r="N154" s="1"/>
      <c r="O154" s="1"/>
      <c r="P154" s="1"/>
      <c r="Q154" s="1"/>
      <c r="R154" s="1"/>
      <c r="S154" s="72"/>
      <c r="T154" s="1"/>
      <c r="U154" s="78"/>
      <c r="V154" s="78"/>
      <c r="W154" s="1"/>
      <c r="X154" s="78"/>
      <c r="Y154" s="78"/>
      <c r="Z154" s="44"/>
      <c r="AA154" s="343"/>
      <c r="AB154" s="78"/>
      <c r="AC154" s="78"/>
      <c r="AD154" s="44"/>
    </row>
    <row r="155" spans="1:30" ht="15" hidden="1" customHeight="1" x14ac:dyDescent="0.25">
      <c r="B155" s="54"/>
      <c r="C155" s="2"/>
      <c r="D155" s="624" t="s">
        <v>363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59"/>
        <v>0</v>
      </c>
      <c r="K155" s="141"/>
      <c r="L155" s="159">
        <f t="shared" si="57"/>
        <v>0</v>
      </c>
      <c r="M155" s="42"/>
      <c r="N155" s="1"/>
      <c r="O155" s="1"/>
      <c r="P155" s="1"/>
      <c r="Q155" s="1"/>
      <c r="R155" s="1"/>
      <c r="S155" s="72"/>
      <c r="T155" s="1"/>
      <c r="U155" s="78"/>
      <c r="V155" s="78"/>
      <c r="W155" s="1"/>
      <c r="X155" s="78"/>
      <c r="Y155" s="78"/>
      <c r="Z155" s="44"/>
      <c r="AA155" s="343"/>
      <c r="AB155" s="78"/>
      <c r="AC155" s="78"/>
      <c r="AD155" s="44"/>
    </row>
    <row r="156" spans="1:30" ht="25.5" hidden="1" customHeight="1" x14ac:dyDescent="0.25">
      <c r="B156" s="54"/>
      <c r="C156" s="2"/>
      <c r="D156" s="625" t="s">
        <v>536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59"/>
        <v>0</v>
      </c>
      <c r="K156" s="151"/>
      <c r="L156" s="159">
        <f t="shared" si="57"/>
        <v>0</v>
      </c>
      <c r="M156" s="42"/>
      <c r="N156" s="1"/>
      <c r="O156" s="1"/>
      <c r="P156" s="1"/>
      <c r="Q156" s="1"/>
      <c r="R156" s="1"/>
      <c r="S156" s="72"/>
      <c r="T156" s="1"/>
      <c r="U156" s="78"/>
      <c r="V156" s="78"/>
      <c r="W156" s="1"/>
      <c r="X156" s="78"/>
      <c r="Y156" s="78"/>
      <c r="Z156" s="44"/>
      <c r="AA156" s="343"/>
      <c r="AB156" s="78"/>
      <c r="AC156" s="78"/>
      <c r="AD156" s="44"/>
    </row>
    <row r="157" spans="1:30" ht="25.5" hidden="1" customHeight="1" x14ac:dyDescent="0.25">
      <c r="B157" s="54"/>
      <c r="C157" s="2"/>
      <c r="D157" s="625" t="s">
        <v>539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59"/>
        <v>0</v>
      </c>
      <c r="K157" s="151"/>
      <c r="L157" s="159">
        <f t="shared" si="57"/>
        <v>0</v>
      </c>
      <c r="M157" s="42"/>
      <c r="N157" s="1"/>
      <c r="O157" s="1"/>
      <c r="P157" s="1"/>
      <c r="Q157" s="1"/>
      <c r="R157" s="1"/>
      <c r="S157" s="72"/>
      <c r="T157" s="1"/>
      <c r="U157" s="78"/>
      <c r="V157" s="78"/>
      <c r="W157" s="1"/>
      <c r="X157" s="78"/>
      <c r="Y157" s="78"/>
      <c r="Z157" s="44"/>
      <c r="AA157" s="343"/>
      <c r="AB157" s="78"/>
      <c r="AC157" s="78"/>
      <c r="AD157" s="44"/>
    </row>
    <row r="158" spans="1:30" ht="15" hidden="1" customHeight="1" x14ac:dyDescent="0.25">
      <c r="B158" s="54"/>
      <c r="C158" s="2"/>
      <c r="D158" s="624" t="s">
        <v>365</v>
      </c>
      <c r="E158" s="624"/>
      <c r="F158" s="159">
        <v>0</v>
      </c>
      <c r="G158" s="343">
        <v>0</v>
      </c>
      <c r="H158" s="313">
        <v>0</v>
      </c>
      <c r="I158" s="513">
        <v>0</v>
      </c>
      <c r="J158" s="232">
        <f t="shared" si="59"/>
        <v>0</v>
      </c>
      <c r="K158" s="141"/>
      <c r="L158" s="159">
        <f t="shared" si="57"/>
        <v>0</v>
      </c>
      <c r="M158" s="42"/>
      <c r="N158" s="1"/>
      <c r="O158" s="1"/>
      <c r="P158" s="1"/>
      <c r="Q158" s="1"/>
      <c r="R158" s="1"/>
      <c r="S158" s="72"/>
      <c r="T158" s="1"/>
      <c r="U158" s="78"/>
      <c r="V158" s="78"/>
      <c r="W158" s="1"/>
      <c r="X158" s="78"/>
      <c r="Y158" s="78"/>
      <c r="Z158" s="44"/>
      <c r="AA158" s="343"/>
      <c r="AB158" s="78"/>
      <c r="AC158" s="78"/>
      <c r="AD158" s="44"/>
    </row>
    <row r="159" spans="1:30" ht="25.5" hidden="1" customHeight="1" x14ac:dyDescent="0.25">
      <c r="B159" s="54"/>
      <c r="C159" s="2"/>
      <c r="D159" s="625" t="s">
        <v>542</v>
      </c>
      <c r="E159" s="625"/>
      <c r="F159" s="159">
        <v>0</v>
      </c>
      <c r="G159" s="343">
        <v>0</v>
      </c>
      <c r="H159" s="313">
        <v>0</v>
      </c>
      <c r="I159" s="513">
        <v>0</v>
      </c>
      <c r="J159" s="242">
        <f t="shared" si="59"/>
        <v>0</v>
      </c>
      <c r="K159" s="151"/>
      <c r="L159" s="159">
        <f t="shared" si="57"/>
        <v>0</v>
      </c>
      <c r="M159" s="42"/>
      <c r="N159" s="1"/>
      <c r="O159" s="1"/>
      <c r="P159" s="1"/>
      <c r="Q159" s="1"/>
      <c r="R159" s="1"/>
      <c r="S159" s="72"/>
      <c r="T159" s="1"/>
      <c r="U159" s="78"/>
      <c r="V159" s="78"/>
      <c r="W159" s="1"/>
      <c r="X159" s="78"/>
      <c r="Y159" s="78"/>
      <c r="Z159" s="44"/>
      <c r="AA159" s="343"/>
      <c r="AB159" s="78"/>
      <c r="AC159" s="78"/>
      <c r="AD159" s="44"/>
    </row>
    <row r="160" spans="1:30" ht="15" hidden="1" customHeight="1" x14ac:dyDescent="0.25">
      <c r="B160" s="54"/>
      <c r="C160" s="2"/>
      <c r="D160" s="624" t="s">
        <v>543</v>
      </c>
      <c r="E160" s="624"/>
      <c r="F160" s="159">
        <v>0</v>
      </c>
      <c r="G160" s="343">
        <v>0</v>
      </c>
      <c r="H160" s="313">
        <v>0</v>
      </c>
      <c r="I160" s="513">
        <v>0</v>
      </c>
      <c r="J160" s="232">
        <f t="shared" si="59"/>
        <v>0</v>
      </c>
      <c r="K160" s="141"/>
      <c r="L160" s="159">
        <f t="shared" si="57"/>
        <v>0</v>
      </c>
      <c r="M160" s="42"/>
      <c r="N160" s="1"/>
      <c r="O160" s="1"/>
      <c r="P160" s="1"/>
      <c r="Q160" s="1"/>
      <c r="R160" s="1"/>
      <c r="S160" s="72"/>
      <c r="T160" s="1"/>
      <c r="U160" s="78"/>
      <c r="V160" s="78"/>
      <c r="W160" s="1"/>
      <c r="X160" s="78"/>
      <c r="Y160" s="78"/>
      <c r="Z160" s="44"/>
      <c r="AA160" s="343"/>
      <c r="AB160" s="78"/>
      <c r="AC160" s="78"/>
      <c r="AD160" s="44"/>
    </row>
    <row r="161" spans="1:30" s="41" customFormat="1" ht="15.75" thickBot="1" x14ac:dyDescent="0.3">
      <c r="A161" s="118" t="s">
        <v>243</v>
      </c>
      <c r="B161" s="127" t="s">
        <v>670</v>
      </c>
      <c r="C161" s="710" t="s">
        <v>244</v>
      </c>
      <c r="D161" s="711"/>
      <c r="E161" s="711"/>
      <c r="F161" s="162">
        <v>0</v>
      </c>
      <c r="G161" s="471">
        <v>0</v>
      </c>
      <c r="H161" s="491">
        <v>0</v>
      </c>
      <c r="I161" s="521">
        <v>0</v>
      </c>
      <c r="J161" s="244">
        <f>SUM(S161:AD161)</f>
        <v>185479</v>
      </c>
      <c r="K161" s="153"/>
      <c r="L161" s="162">
        <f>SUM(J161:K161)</f>
        <v>185479</v>
      </c>
      <c r="M161" s="105"/>
      <c r="N161" s="103"/>
      <c r="O161" s="103"/>
      <c r="P161" s="103"/>
      <c r="Q161" s="103"/>
      <c r="R161" s="103">
        <f>L161</f>
        <v>185479</v>
      </c>
      <c r="S161" s="102"/>
      <c r="T161" s="103"/>
      <c r="U161" s="106"/>
      <c r="V161" s="106"/>
      <c r="W161" s="103"/>
      <c r="X161" s="106"/>
      <c r="Y161" s="106"/>
      <c r="Z161" s="107"/>
      <c r="AA161" s="345"/>
      <c r="AB161" s="106">
        <v>185479</v>
      </c>
      <c r="AC161" s="106"/>
      <c r="AD161" s="107"/>
    </row>
    <row r="162" spans="1:30" ht="15.75" thickBot="1" x14ac:dyDescent="0.3">
      <c r="B162" s="96" t="s">
        <v>245</v>
      </c>
      <c r="C162" s="632" t="s">
        <v>246</v>
      </c>
      <c r="D162" s="633"/>
      <c r="E162" s="633"/>
      <c r="F162" s="156">
        <v>0</v>
      </c>
      <c r="G162" s="338">
        <v>0</v>
      </c>
      <c r="H162" s="308">
        <v>27000</v>
      </c>
      <c r="I162" s="506">
        <v>40200</v>
      </c>
      <c r="J162" s="235">
        <f>J163+J164+J167+J168+J169+J170+J171</f>
        <v>40200</v>
      </c>
      <c r="K162" s="144">
        <f t="shared" ref="K162:AC162" si="61">K163+K164+K167+K168+K169+K170+K171</f>
        <v>0</v>
      </c>
      <c r="L162" s="156">
        <f t="shared" si="57"/>
        <v>40200</v>
      </c>
      <c r="M162" s="85">
        <f t="shared" ref="M162:R162" si="62">M163+M164+M167+M168+M169+M170+M171</f>
        <v>0</v>
      </c>
      <c r="N162" s="83">
        <f t="shared" si="62"/>
        <v>0</v>
      </c>
      <c r="O162" s="83">
        <f t="shared" si="62"/>
        <v>0</v>
      </c>
      <c r="P162" s="83">
        <f t="shared" si="62"/>
        <v>0</v>
      </c>
      <c r="Q162" s="83">
        <f>Q163+Q164+Q167+Q168+Q169+Q170+Q171</f>
        <v>40200</v>
      </c>
      <c r="R162" s="83">
        <f t="shared" si="62"/>
        <v>0</v>
      </c>
      <c r="S162" s="82">
        <f t="shared" si="61"/>
        <v>0</v>
      </c>
      <c r="T162" s="83">
        <f t="shared" si="61"/>
        <v>27000</v>
      </c>
      <c r="U162" s="86">
        <f t="shared" si="61"/>
        <v>0</v>
      </c>
      <c r="V162" s="86">
        <f t="shared" si="61"/>
        <v>13200</v>
      </c>
      <c r="W162" s="83">
        <f t="shared" si="61"/>
        <v>0</v>
      </c>
      <c r="X162" s="86">
        <f t="shared" si="61"/>
        <v>0</v>
      </c>
      <c r="Y162" s="86">
        <f t="shared" si="61"/>
        <v>0</v>
      </c>
      <c r="Z162" s="87">
        <f t="shared" si="61"/>
        <v>0</v>
      </c>
      <c r="AA162" s="338">
        <f t="shared" si="61"/>
        <v>0</v>
      </c>
      <c r="AB162" s="86">
        <f t="shared" si="61"/>
        <v>0</v>
      </c>
      <c r="AC162" s="86">
        <f t="shared" si="61"/>
        <v>0</v>
      </c>
      <c r="AD162" s="87">
        <f>AD163+AD164+AD167+AD168+AD169+AD170+AD171</f>
        <v>0</v>
      </c>
    </row>
    <row r="163" spans="1:30" s="18" customFormat="1" x14ac:dyDescent="0.25">
      <c r="A163" s="118" t="s">
        <v>247</v>
      </c>
      <c r="B163" s="108" t="s">
        <v>671</v>
      </c>
      <c r="C163" s="634" t="s">
        <v>248</v>
      </c>
      <c r="D163" s="635"/>
      <c r="E163" s="635"/>
      <c r="F163" s="158">
        <v>0</v>
      </c>
      <c r="G163" s="339">
        <v>0</v>
      </c>
      <c r="H163" s="309">
        <v>0</v>
      </c>
      <c r="I163" s="507">
        <v>0</v>
      </c>
      <c r="J163" s="231">
        <f>SUM(S163:AD163)</f>
        <v>0</v>
      </c>
      <c r="K163" s="140"/>
      <c r="L163" s="158">
        <f t="shared" si="57"/>
        <v>0</v>
      </c>
      <c r="M163" s="93"/>
      <c r="N163" s="91"/>
      <c r="O163" s="91"/>
      <c r="P163" s="91"/>
      <c r="Q163" s="91"/>
      <c r="R163" s="91"/>
      <c r="S163" s="90"/>
      <c r="T163" s="91"/>
      <c r="U163" s="94"/>
      <c r="V163" s="94"/>
      <c r="W163" s="91"/>
      <c r="X163" s="94"/>
      <c r="Y163" s="94"/>
      <c r="Z163" s="95"/>
      <c r="AA163" s="341"/>
      <c r="AB163" s="94"/>
      <c r="AC163" s="94"/>
      <c r="AD163" s="95"/>
    </row>
    <row r="164" spans="1:30" s="18" customFormat="1" x14ac:dyDescent="0.25">
      <c r="A164" s="118" t="s">
        <v>249</v>
      </c>
      <c r="B164" s="88" t="s">
        <v>672</v>
      </c>
      <c r="C164" s="626" t="s">
        <v>250</v>
      </c>
      <c r="D164" s="627"/>
      <c r="E164" s="627"/>
      <c r="F164" s="158">
        <v>0</v>
      </c>
      <c r="G164" s="341">
        <v>0</v>
      </c>
      <c r="H164" s="311">
        <v>27000</v>
      </c>
      <c r="I164" s="509">
        <v>40200</v>
      </c>
      <c r="J164" s="233">
        <f>J165+J166</f>
        <v>40200</v>
      </c>
      <c r="K164" s="142">
        <f t="shared" ref="K164:AC164" si="63">K165+K166</f>
        <v>0</v>
      </c>
      <c r="L164" s="158">
        <f t="shared" si="57"/>
        <v>40200</v>
      </c>
      <c r="M164" s="93">
        <f t="shared" ref="M164:R164" si="64">M165+M166</f>
        <v>0</v>
      </c>
      <c r="N164" s="91">
        <f t="shared" si="64"/>
        <v>0</v>
      </c>
      <c r="O164" s="91">
        <f t="shared" si="64"/>
        <v>0</v>
      </c>
      <c r="P164" s="91">
        <f t="shared" si="64"/>
        <v>0</v>
      </c>
      <c r="Q164" s="91">
        <f>Q165+Q166</f>
        <v>40200</v>
      </c>
      <c r="R164" s="91">
        <f t="shared" si="64"/>
        <v>0</v>
      </c>
      <c r="S164" s="90">
        <f t="shared" si="63"/>
        <v>0</v>
      </c>
      <c r="T164" s="91">
        <f t="shared" si="63"/>
        <v>27000</v>
      </c>
      <c r="U164" s="94">
        <f t="shared" si="63"/>
        <v>0</v>
      </c>
      <c r="V164" s="94">
        <f t="shared" si="63"/>
        <v>13200</v>
      </c>
      <c r="W164" s="91">
        <f t="shared" si="63"/>
        <v>0</v>
      </c>
      <c r="X164" s="94">
        <f t="shared" si="63"/>
        <v>0</v>
      </c>
      <c r="Y164" s="94">
        <f t="shared" si="63"/>
        <v>0</v>
      </c>
      <c r="Z164" s="95">
        <f t="shared" si="63"/>
        <v>0</v>
      </c>
      <c r="AA164" s="341">
        <f t="shared" si="63"/>
        <v>0</v>
      </c>
      <c r="AB164" s="94">
        <f t="shared" si="63"/>
        <v>0</v>
      </c>
      <c r="AC164" s="94">
        <f t="shared" si="63"/>
        <v>0</v>
      </c>
      <c r="AD164" s="95">
        <f>AD165+AD166</f>
        <v>0</v>
      </c>
    </row>
    <row r="165" spans="1:30" x14ac:dyDescent="0.25">
      <c r="B165" s="54"/>
      <c r="C165" s="2"/>
      <c r="D165" s="624" t="s">
        <v>250</v>
      </c>
      <c r="E165" s="624"/>
      <c r="F165" s="159">
        <v>0</v>
      </c>
      <c r="G165" s="343">
        <v>0</v>
      </c>
      <c r="H165" s="313">
        <v>27000</v>
      </c>
      <c r="I165" s="513">
        <v>40200</v>
      </c>
      <c r="J165" s="232">
        <f>SUM(S165:AD165)</f>
        <v>40200</v>
      </c>
      <c r="K165" s="141"/>
      <c r="L165" s="159">
        <f>SUM(J165:K165)</f>
        <v>40200</v>
      </c>
      <c r="M165" s="42"/>
      <c r="N165" s="1"/>
      <c r="O165" s="1"/>
      <c r="P165" s="1"/>
      <c r="Q165" s="1">
        <f>L165</f>
        <v>40200</v>
      </c>
      <c r="R165" s="1"/>
      <c r="S165" s="72"/>
      <c r="T165" s="1">
        <v>27000</v>
      </c>
      <c r="U165" s="78"/>
      <c r="V165" s="78">
        <v>13200</v>
      </c>
      <c r="W165" s="1"/>
      <c r="X165" s="78"/>
      <c r="Y165" s="78"/>
      <c r="Z165" s="44"/>
      <c r="AA165" s="343"/>
      <c r="AB165" s="78"/>
      <c r="AC165" s="78"/>
      <c r="AD165" s="44"/>
    </row>
    <row r="166" spans="1:30" ht="15" hidden="1" customHeight="1" x14ac:dyDescent="0.25">
      <c r="B166" s="54"/>
      <c r="C166" s="2"/>
      <c r="D166" s="624" t="s">
        <v>349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ref="J166:J171" si="65">SUM(S166:AD166)</f>
        <v>0</v>
      </c>
      <c r="K166" s="141"/>
      <c r="L166" s="159">
        <f t="shared" si="57"/>
        <v>0</v>
      </c>
      <c r="M166" s="42"/>
      <c r="N166" s="1"/>
      <c r="O166" s="1"/>
      <c r="P166" s="1"/>
      <c r="Q166" s="1">
        <f t="shared" ref="Q166:Q171" si="66">L166</f>
        <v>0</v>
      </c>
      <c r="R166" s="1"/>
      <c r="S166" s="72"/>
      <c r="T166" s="1"/>
      <c r="U166" s="78"/>
      <c r="V166" s="78"/>
      <c r="W166" s="1"/>
      <c r="X166" s="78"/>
      <c r="Y166" s="78"/>
      <c r="Z166" s="44"/>
      <c r="AA166" s="343"/>
      <c r="AB166" s="78"/>
      <c r="AC166" s="78"/>
      <c r="AD166" s="44"/>
    </row>
    <row r="167" spans="1:30" s="18" customFormat="1" ht="15" hidden="1" customHeight="1" x14ac:dyDescent="0.25">
      <c r="A167" s="118" t="s">
        <v>251</v>
      </c>
      <c r="B167" s="88" t="s">
        <v>673</v>
      </c>
      <c r="C167" s="626" t="s">
        <v>252</v>
      </c>
      <c r="D167" s="627"/>
      <c r="E167" s="627"/>
      <c r="F167" s="158">
        <v>0</v>
      </c>
      <c r="G167" s="341">
        <v>0</v>
      </c>
      <c r="H167" s="311">
        <v>0</v>
      </c>
      <c r="I167" s="509">
        <v>0</v>
      </c>
      <c r="J167" s="233">
        <f t="shared" si="65"/>
        <v>0</v>
      </c>
      <c r="K167" s="142"/>
      <c r="L167" s="158">
        <f t="shared" si="57"/>
        <v>0</v>
      </c>
      <c r="M167" s="93"/>
      <c r="N167" s="91"/>
      <c r="O167" s="91"/>
      <c r="P167" s="91"/>
      <c r="Q167" s="1">
        <f t="shared" si="66"/>
        <v>0</v>
      </c>
      <c r="R167" s="91"/>
      <c r="S167" s="90"/>
      <c r="T167" s="91"/>
      <c r="U167" s="94"/>
      <c r="V167" s="94"/>
      <c r="W167" s="91"/>
      <c r="X167" s="94"/>
      <c r="Y167" s="94"/>
      <c r="Z167" s="95"/>
      <c r="AA167" s="341"/>
      <c r="AB167" s="94"/>
      <c r="AC167" s="94"/>
      <c r="AD167" s="95"/>
    </row>
    <row r="168" spans="1:30" s="18" customFormat="1" ht="15" hidden="1" customHeight="1" x14ac:dyDescent="0.25">
      <c r="A168" s="118" t="s">
        <v>253</v>
      </c>
      <c r="B168" s="88" t="s">
        <v>674</v>
      </c>
      <c r="C168" s="626" t="s">
        <v>254</v>
      </c>
      <c r="D168" s="627"/>
      <c r="E168" s="627"/>
      <c r="F168" s="158">
        <v>0</v>
      </c>
      <c r="G168" s="341">
        <v>0</v>
      </c>
      <c r="H168" s="311">
        <v>0</v>
      </c>
      <c r="I168" s="509">
        <v>0</v>
      </c>
      <c r="J168" s="233">
        <f t="shared" si="65"/>
        <v>0</v>
      </c>
      <c r="K168" s="142"/>
      <c r="L168" s="158">
        <f t="shared" si="57"/>
        <v>0</v>
      </c>
      <c r="M168" s="93"/>
      <c r="N168" s="91"/>
      <c r="O168" s="91"/>
      <c r="P168" s="91"/>
      <c r="Q168" s="1">
        <f t="shared" si="66"/>
        <v>0</v>
      </c>
      <c r="R168" s="91"/>
      <c r="S168" s="90"/>
      <c r="T168" s="91"/>
      <c r="U168" s="94"/>
      <c r="V168" s="94"/>
      <c r="W168" s="91"/>
      <c r="X168" s="94"/>
      <c r="Y168" s="94"/>
      <c r="Z168" s="95"/>
      <c r="AA168" s="341"/>
      <c r="AB168" s="94"/>
      <c r="AC168" s="94"/>
      <c r="AD168" s="95"/>
    </row>
    <row r="169" spans="1:30" s="18" customFormat="1" ht="15" hidden="1" customHeight="1" x14ac:dyDescent="0.25">
      <c r="A169" s="118" t="s">
        <v>255</v>
      </c>
      <c r="B169" s="88" t="s">
        <v>675</v>
      </c>
      <c r="C169" s="626" t="s">
        <v>256</v>
      </c>
      <c r="D169" s="627"/>
      <c r="E169" s="627"/>
      <c r="F169" s="158">
        <v>0</v>
      </c>
      <c r="G169" s="341">
        <v>0</v>
      </c>
      <c r="H169" s="311">
        <v>0</v>
      </c>
      <c r="I169" s="509">
        <v>0</v>
      </c>
      <c r="J169" s="233">
        <f t="shared" si="65"/>
        <v>0</v>
      </c>
      <c r="K169" s="142"/>
      <c r="L169" s="158">
        <f t="shared" si="57"/>
        <v>0</v>
      </c>
      <c r="M169" s="93"/>
      <c r="N169" s="91"/>
      <c r="O169" s="91"/>
      <c r="P169" s="91"/>
      <c r="Q169" s="1">
        <f t="shared" si="66"/>
        <v>0</v>
      </c>
      <c r="R169" s="91"/>
      <c r="S169" s="90"/>
      <c r="T169" s="91"/>
      <c r="U169" s="94"/>
      <c r="V169" s="94"/>
      <c r="W169" s="91"/>
      <c r="X169" s="94"/>
      <c r="Y169" s="94"/>
      <c r="Z169" s="95"/>
      <c r="AA169" s="341"/>
      <c r="AB169" s="94"/>
      <c r="AC169" s="94"/>
      <c r="AD169" s="95"/>
    </row>
    <row r="170" spans="1:30" s="18" customFormat="1" ht="15" hidden="1" customHeight="1" x14ac:dyDescent="0.25">
      <c r="A170" s="118" t="s">
        <v>257</v>
      </c>
      <c r="B170" s="88" t="s">
        <v>676</v>
      </c>
      <c r="C170" s="626" t="s">
        <v>258</v>
      </c>
      <c r="D170" s="627"/>
      <c r="E170" s="627"/>
      <c r="F170" s="158">
        <v>0</v>
      </c>
      <c r="G170" s="341">
        <v>0</v>
      </c>
      <c r="H170" s="311">
        <v>0</v>
      </c>
      <c r="I170" s="509">
        <v>0</v>
      </c>
      <c r="J170" s="233">
        <f t="shared" si="65"/>
        <v>0</v>
      </c>
      <c r="K170" s="142"/>
      <c r="L170" s="158">
        <f t="shared" si="57"/>
        <v>0</v>
      </c>
      <c r="M170" s="93"/>
      <c r="N170" s="91"/>
      <c r="O170" s="91"/>
      <c r="P170" s="91"/>
      <c r="Q170" s="1">
        <f t="shared" si="66"/>
        <v>0</v>
      </c>
      <c r="R170" s="91"/>
      <c r="S170" s="90"/>
      <c r="T170" s="91"/>
      <c r="U170" s="94"/>
      <c r="V170" s="94"/>
      <c r="W170" s="91"/>
      <c r="X170" s="94"/>
      <c r="Y170" s="94"/>
      <c r="Z170" s="95"/>
      <c r="AA170" s="341"/>
      <c r="AB170" s="94"/>
      <c r="AC170" s="94"/>
      <c r="AD170" s="95"/>
    </row>
    <row r="171" spans="1:30" s="18" customFormat="1" ht="15.75" thickBot="1" x14ac:dyDescent="0.3">
      <c r="A171" s="118" t="s">
        <v>259</v>
      </c>
      <c r="B171" s="117" t="s">
        <v>677</v>
      </c>
      <c r="C171" s="718" t="s">
        <v>260</v>
      </c>
      <c r="D171" s="719"/>
      <c r="E171" s="719"/>
      <c r="F171" s="158">
        <v>0</v>
      </c>
      <c r="G171" s="469">
        <v>0</v>
      </c>
      <c r="H171" s="488">
        <v>0</v>
      </c>
      <c r="I171" s="518">
        <v>0</v>
      </c>
      <c r="J171" s="245">
        <f t="shared" si="65"/>
        <v>0</v>
      </c>
      <c r="K171" s="154"/>
      <c r="L171" s="158">
        <f t="shared" si="57"/>
        <v>0</v>
      </c>
      <c r="M171" s="93"/>
      <c r="N171" s="91"/>
      <c r="O171" s="91"/>
      <c r="P171" s="91"/>
      <c r="Q171" s="421">
        <f t="shared" si="66"/>
        <v>0</v>
      </c>
      <c r="R171" s="91"/>
      <c r="S171" s="90"/>
      <c r="T171" s="91"/>
      <c r="U171" s="94"/>
      <c r="V171" s="94"/>
      <c r="W171" s="91"/>
      <c r="X171" s="94"/>
      <c r="Y171" s="94"/>
      <c r="Z171" s="95"/>
      <c r="AA171" s="341"/>
      <c r="AB171" s="94"/>
      <c r="AC171" s="94"/>
      <c r="AD171" s="95"/>
    </row>
    <row r="172" spans="1:30" ht="15.75" thickBot="1" x14ac:dyDescent="0.3">
      <c r="B172" s="96" t="s">
        <v>261</v>
      </c>
      <c r="C172" s="632" t="s">
        <v>262</v>
      </c>
      <c r="D172" s="633"/>
      <c r="E172" s="633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D172" si="67">K173+K174+K175+K176</f>
        <v>0</v>
      </c>
      <c r="L172" s="156">
        <f t="shared" si="57"/>
        <v>0</v>
      </c>
      <c r="M172" s="85">
        <f t="shared" ref="M172:R172" si="68">M173+M174+M175+M176</f>
        <v>0</v>
      </c>
      <c r="N172" s="83">
        <f t="shared" si="68"/>
        <v>0</v>
      </c>
      <c r="O172" s="83">
        <f t="shared" si="68"/>
        <v>0</v>
      </c>
      <c r="P172" s="83">
        <f t="shared" si="68"/>
        <v>0</v>
      </c>
      <c r="Q172" s="83"/>
      <c r="R172" s="83">
        <f t="shared" si="68"/>
        <v>0</v>
      </c>
      <c r="S172" s="82">
        <f t="shared" si="67"/>
        <v>0</v>
      </c>
      <c r="T172" s="83">
        <f t="shared" si="67"/>
        <v>0</v>
      </c>
      <c r="U172" s="86">
        <f t="shared" si="67"/>
        <v>0</v>
      </c>
      <c r="V172" s="86">
        <f t="shared" si="67"/>
        <v>0</v>
      </c>
      <c r="W172" s="83">
        <f t="shared" si="67"/>
        <v>0</v>
      </c>
      <c r="X172" s="86">
        <f t="shared" si="67"/>
        <v>0</v>
      </c>
      <c r="Y172" s="86">
        <f t="shared" si="67"/>
        <v>0</v>
      </c>
      <c r="Z172" s="87">
        <f t="shared" si="67"/>
        <v>0</v>
      </c>
      <c r="AA172" s="338">
        <f t="shared" si="67"/>
        <v>0</v>
      </c>
      <c r="AB172" s="86">
        <f t="shared" si="67"/>
        <v>0</v>
      </c>
      <c r="AC172" s="86">
        <f t="shared" si="67"/>
        <v>0</v>
      </c>
      <c r="AD172" s="87">
        <f t="shared" si="67"/>
        <v>0</v>
      </c>
    </row>
    <row r="173" spans="1:30" s="18" customFormat="1" ht="15.75" hidden="1" customHeight="1" thickBot="1" x14ac:dyDescent="0.3">
      <c r="A173" s="118" t="s">
        <v>263</v>
      </c>
      <c r="B173" s="253" t="s">
        <v>678</v>
      </c>
      <c r="C173" s="720" t="s">
        <v>264</v>
      </c>
      <c r="D173" s="721"/>
      <c r="E173" s="721"/>
      <c r="F173" s="256">
        <v>0</v>
      </c>
      <c r="G173" s="381">
        <v>0</v>
      </c>
      <c r="H173" s="489">
        <v>0</v>
      </c>
      <c r="I173" s="519">
        <v>0</v>
      </c>
      <c r="J173" s="254">
        <f>SUM(S173:AD173)</f>
        <v>0</v>
      </c>
      <c r="K173" s="255"/>
      <c r="L173" s="256">
        <f t="shared" si="57"/>
        <v>0</v>
      </c>
      <c r="M173" s="260"/>
      <c r="N173" s="258"/>
      <c r="O173" s="258"/>
      <c r="P173" s="258"/>
      <c r="Q173" s="258"/>
      <c r="R173" s="258"/>
      <c r="S173" s="257"/>
      <c r="T173" s="258"/>
      <c r="U173" s="259"/>
      <c r="V173" s="259"/>
      <c r="W173" s="258"/>
      <c r="X173" s="259"/>
      <c r="Y173" s="259"/>
      <c r="Z173" s="261"/>
      <c r="AA173" s="346"/>
      <c r="AB173" s="259"/>
      <c r="AC173" s="259"/>
      <c r="AD173" s="261"/>
    </row>
    <row r="174" spans="1:30" s="18" customFormat="1" ht="15.75" hidden="1" customHeight="1" thickBot="1" x14ac:dyDescent="0.3">
      <c r="A174" s="118" t="s">
        <v>265</v>
      </c>
      <c r="B174" s="262" t="s">
        <v>679</v>
      </c>
      <c r="C174" s="712" t="s">
        <v>884</v>
      </c>
      <c r="D174" s="713"/>
      <c r="E174" s="713"/>
      <c r="F174" s="256">
        <v>0</v>
      </c>
      <c r="G174" s="346">
        <v>0</v>
      </c>
      <c r="H174" s="318">
        <v>0</v>
      </c>
      <c r="I174" s="517">
        <v>0</v>
      </c>
      <c r="J174" s="263">
        <f>SUM(S174:AD174)</f>
        <v>0</v>
      </c>
      <c r="K174" s="264"/>
      <c r="L174" s="256">
        <f t="shared" si="57"/>
        <v>0</v>
      </c>
      <c r="M174" s="260"/>
      <c r="N174" s="258"/>
      <c r="O174" s="258"/>
      <c r="P174" s="258"/>
      <c r="Q174" s="258"/>
      <c r="R174" s="258"/>
      <c r="S174" s="257"/>
      <c r="T174" s="258"/>
      <c r="U174" s="259"/>
      <c r="V174" s="259"/>
      <c r="W174" s="258"/>
      <c r="X174" s="259"/>
      <c r="Y174" s="259"/>
      <c r="Z174" s="261"/>
      <c r="AA174" s="346"/>
      <c r="AB174" s="259"/>
      <c r="AC174" s="259"/>
      <c r="AD174" s="261"/>
    </row>
    <row r="175" spans="1:30" s="18" customFormat="1" ht="15.75" hidden="1" customHeight="1" thickBot="1" x14ac:dyDescent="0.3">
      <c r="A175" s="118" t="s">
        <v>266</v>
      </c>
      <c r="B175" s="262" t="s">
        <v>680</v>
      </c>
      <c r="C175" s="712" t="s">
        <v>267</v>
      </c>
      <c r="D175" s="713"/>
      <c r="E175" s="713"/>
      <c r="F175" s="256">
        <v>0</v>
      </c>
      <c r="G175" s="346">
        <v>0</v>
      </c>
      <c r="H175" s="318">
        <v>0</v>
      </c>
      <c r="I175" s="517">
        <v>0</v>
      </c>
      <c r="J175" s="263">
        <f>SUM(S175:AD175)</f>
        <v>0</v>
      </c>
      <c r="K175" s="264"/>
      <c r="L175" s="256">
        <f t="shared" si="57"/>
        <v>0</v>
      </c>
      <c r="M175" s="260"/>
      <c r="N175" s="258"/>
      <c r="O175" s="258"/>
      <c r="P175" s="258"/>
      <c r="Q175" s="258"/>
      <c r="R175" s="258"/>
      <c r="S175" s="257"/>
      <c r="T175" s="258"/>
      <c r="U175" s="259"/>
      <c r="V175" s="259"/>
      <c r="W175" s="258"/>
      <c r="X175" s="259"/>
      <c r="Y175" s="259"/>
      <c r="Z175" s="261"/>
      <c r="AA175" s="346"/>
      <c r="AB175" s="259"/>
      <c r="AC175" s="259"/>
      <c r="AD175" s="261"/>
    </row>
    <row r="176" spans="1:30" s="18" customFormat="1" ht="15.75" hidden="1" customHeight="1" thickBot="1" x14ac:dyDescent="0.3">
      <c r="A176" s="118" t="s">
        <v>268</v>
      </c>
      <c r="B176" s="265" t="s">
        <v>681</v>
      </c>
      <c r="C176" s="714" t="s">
        <v>366</v>
      </c>
      <c r="D176" s="715"/>
      <c r="E176" s="715"/>
      <c r="F176" s="256">
        <v>0</v>
      </c>
      <c r="G176" s="470">
        <v>0</v>
      </c>
      <c r="H176" s="490">
        <v>0</v>
      </c>
      <c r="I176" s="520">
        <v>0</v>
      </c>
      <c r="J176" s="266">
        <f>SUM(S176:AD176)</f>
        <v>0</v>
      </c>
      <c r="K176" s="267"/>
      <c r="L176" s="256">
        <f t="shared" si="57"/>
        <v>0</v>
      </c>
      <c r="M176" s="260"/>
      <c r="N176" s="258"/>
      <c r="O176" s="258"/>
      <c r="P176" s="258"/>
      <c r="Q176" s="258"/>
      <c r="R176" s="258"/>
      <c r="S176" s="257"/>
      <c r="T176" s="258"/>
      <c r="U176" s="259"/>
      <c r="V176" s="259"/>
      <c r="W176" s="258"/>
      <c r="X176" s="259"/>
      <c r="Y176" s="259"/>
      <c r="Z176" s="261"/>
      <c r="AA176" s="346"/>
      <c r="AB176" s="259"/>
      <c r="AC176" s="259"/>
      <c r="AD176" s="261"/>
    </row>
    <row r="177" spans="1:30" ht="15.75" thickBot="1" x14ac:dyDescent="0.3">
      <c r="B177" s="96" t="s">
        <v>269</v>
      </c>
      <c r="C177" s="632" t="s">
        <v>270</v>
      </c>
      <c r="D177" s="633"/>
      <c r="E177" s="633"/>
      <c r="F177" s="156">
        <v>50000</v>
      </c>
      <c r="G177" s="338">
        <v>50000</v>
      </c>
      <c r="H177" s="308">
        <v>50000</v>
      </c>
      <c r="I177" s="506">
        <v>50000</v>
      </c>
      <c r="J177" s="235">
        <f>J178+J179+J190+J201+J212+J215+J227+J228+J229</f>
        <v>50000</v>
      </c>
      <c r="K177" s="144">
        <f t="shared" ref="K177:AD177" si="69">K178+K179+K190+K201+K212+K215+K227+K228+K229</f>
        <v>0</v>
      </c>
      <c r="L177" s="156">
        <f t="shared" si="57"/>
        <v>50000</v>
      </c>
      <c r="M177" s="85">
        <f t="shared" ref="M177:R177" si="70">M178+M179+M190+M201+M212+M215+M227+M228+M229</f>
        <v>0</v>
      </c>
      <c r="N177" s="83">
        <f t="shared" si="70"/>
        <v>50000</v>
      </c>
      <c r="O177" s="83">
        <f t="shared" si="70"/>
        <v>0</v>
      </c>
      <c r="P177" s="83">
        <f t="shared" si="70"/>
        <v>0</v>
      </c>
      <c r="Q177" s="83"/>
      <c r="R177" s="83">
        <f t="shared" si="70"/>
        <v>0</v>
      </c>
      <c r="S177" s="82">
        <f t="shared" si="69"/>
        <v>0</v>
      </c>
      <c r="T177" s="83">
        <f t="shared" si="69"/>
        <v>0</v>
      </c>
      <c r="U177" s="86">
        <f t="shared" si="69"/>
        <v>0</v>
      </c>
      <c r="V177" s="86">
        <f t="shared" si="69"/>
        <v>0</v>
      </c>
      <c r="W177" s="83">
        <f t="shared" si="69"/>
        <v>0</v>
      </c>
      <c r="X177" s="86">
        <f t="shared" si="69"/>
        <v>0</v>
      </c>
      <c r="Y177" s="86">
        <f t="shared" si="69"/>
        <v>0</v>
      </c>
      <c r="Z177" s="87">
        <f t="shared" si="69"/>
        <v>0</v>
      </c>
      <c r="AA177" s="338">
        <f t="shared" si="69"/>
        <v>0</v>
      </c>
      <c r="AB177" s="86">
        <f t="shared" si="69"/>
        <v>50000</v>
      </c>
      <c r="AC177" s="86">
        <f t="shared" si="69"/>
        <v>0</v>
      </c>
      <c r="AD177" s="87">
        <f t="shared" si="69"/>
        <v>0</v>
      </c>
    </row>
    <row r="178" spans="1:30" s="18" customFormat="1" ht="25.5" hidden="1" customHeight="1" x14ac:dyDescent="0.25">
      <c r="A178" s="118" t="s">
        <v>271</v>
      </c>
      <c r="B178" s="88" t="s">
        <v>682</v>
      </c>
      <c r="C178" s="646" t="s">
        <v>367</v>
      </c>
      <c r="D178" s="647"/>
      <c r="E178" s="647"/>
      <c r="F178" s="158">
        <v>0</v>
      </c>
      <c r="G178" s="341">
        <v>0</v>
      </c>
      <c r="H178" s="311">
        <v>0</v>
      </c>
      <c r="I178" s="509">
        <v>0</v>
      </c>
      <c r="J178" s="246">
        <f>SUM(S178:AD178)</f>
        <v>0</v>
      </c>
      <c r="K178" s="155"/>
      <c r="L178" s="158">
        <f t="shared" si="57"/>
        <v>0</v>
      </c>
      <c r="M178" s="93"/>
      <c r="N178" s="91"/>
      <c r="O178" s="91"/>
      <c r="P178" s="91"/>
      <c r="Q178" s="91"/>
      <c r="R178" s="91"/>
      <c r="S178" s="90"/>
      <c r="T178" s="91"/>
      <c r="U178" s="94"/>
      <c r="V178" s="94"/>
      <c r="W178" s="91"/>
      <c r="X178" s="94"/>
      <c r="Y178" s="94"/>
      <c r="Z178" s="95"/>
      <c r="AA178" s="341"/>
      <c r="AB178" s="94"/>
      <c r="AC178" s="94"/>
      <c r="AD178" s="95"/>
    </row>
    <row r="179" spans="1:30" s="18" customFormat="1" ht="16.350000000000001" hidden="1" customHeight="1" x14ac:dyDescent="0.25">
      <c r="A179" s="118" t="s">
        <v>272</v>
      </c>
      <c r="B179" s="88" t="s">
        <v>683</v>
      </c>
      <c r="C179" s="716" t="s">
        <v>811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D179" si="71">K180+K181+K182+K183+K184+K185+K186+K187+K188+K189</f>
        <v>0</v>
      </c>
      <c r="L179" s="158">
        <f t="shared" si="57"/>
        <v>0</v>
      </c>
      <c r="M179" s="93">
        <f t="shared" ref="M179:R179" si="72">M180+M181+M182+M183+M184+M185+M186+M187+M188+M189</f>
        <v>0</v>
      </c>
      <c r="N179" s="91">
        <f t="shared" si="72"/>
        <v>0</v>
      </c>
      <c r="O179" s="91">
        <f t="shared" si="72"/>
        <v>0</v>
      </c>
      <c r="P179" s="91">
        <f t="shared" si="72"/>
        <v>0</v>
      </c>
      <c r="Q179" s="91"/>
      <c r="R179" s="91">
        <f t="shared" si="72"/>
        <v>0</v>
      </c>
      <c r="S179" s="90">
        <f t="shared" si="71"/>
        <v>0</v>
      </c>
      <c r="T179" s="91">
        <f t="shared" si="71"/>
        <v>0</v>
      </c>
      <c r="U179" s="94">
        <f t="shared" si="71"/>
        <v>0</v>
      </c>
      <c r="V179" s="94">
        <f t="shared" si="71"/>
        <v>0</v>
      </c>
      <c r="W179" s="91">
        <f t="shared" si="71"/>
        <v>0</v>
      </c>
      <c r="X179" s="94">
        <f t="shared" si="71"/>
        <v>0</v>
      </c>
      <c r="Y179" s="94">
        <f t="shared" si="71"/>
        <v>0</v>
      </c>
      <c r="Z179" s="95">
        <f t="shared" si="71"/>
        <v>0</v>
      </c>
      <c r="AA179" s="341">
        <f t="shared" si="71"/>
        <v>0</v>
      </c>
      <c r="AB179" s="94">
        <f t="shared" si="71"/>
        <v>0</v>
      </c>
      <c r="AC179" s="94">
        <f t="shared" si="71"/>
        <v>0</v>
      </c>
      <c r="AD179" s="95">
        <f t="shared" si="71"/>
        <v>0</v>
      </c>
    </row>
    <row r="180" spans="1:30" ht="15" hidden="1" customHeight="1" x14ac:dyDescent="0.25">
      <c r="B180" s="54"/>
      <c r="C180" s="2"/>
      <c r="D180" s="624" t="s">
        <v>812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73">SUM(S180:AD180)</f>
        <v>0</v>
      </c>
      <c r="K180" s="141"/>
      <c r="L180" s="159">
        <f t="shared" si="57"/>
        <v>0</v>
      </c>
      <c r="M180" s="42"/>
      <c r="N180" s="1"/>
      <c r="O180" s="1"/>
      <c r="P180" s="1"/>
      <c r="Q180" s="1"/>
      <c r="R180" s="1"/>
      <c r="S180" s="72"/>
      <c r="T180" s="1"/>
      <c r="U180" s="78"/>
      <c r="V180" s="78"/>
      <c r="W180" s="1"/>
      <c r="X180" s="78"/>
      <c r="Y180" s="78"/>
      <c r="Z180" s="44"/>
      <c r="AA180" s="343"/>
      <c r="AB180" s="78"/>
      <c r="AC180" s="78"/>
      <c r="AD180" s="44"/>
    </row>
    <row r="181" spans="1:30" ht="15" hidden="1" customHeight="1" x14ac:dyDescent="0.25">
      <c r="B181" s="54"/>
      <c r="C181" s="2"/>
      <c r="D181" s="624" t="s">
        <v>813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73"/>
        <v>0</v>
      </c>
      <c r="K181" s="141"/>
      <c r="L181" s="159">
        <f t="shared" si="57"/>
        <v>0</v>
      </c>
      <c r="M181" s="42"/>
      <c r="N181" s="1"/>
      <c r="O181" s="1"/>
      <c r="P181" s="1"/>
      <c r="Q181" s="1"/>
      <c r="R181" s="1"/>
      <c r="S181" s="72"/>
      <c r="T181" s="1"/>
      <c r="U181" s="78"/>
      <c r="V181" s="78"/>
      <c r="W181" s="1"/>
      <c r="X181" s="78"/>
      <c r="Y181" s="78"/>
      <c r="Z181" s="44"/>
      <c r="AA181" s="343"/>
      <c r="AB181" s="78"/>
      <c r="AC181" s="78"/>
      <c r="AD181" s="44"/>
    </row>
    <row r="182" spans="1:30" ht="15" hidden="1" customHeight="1" x14ac:dyDescent="0.25">
      <c r="B182" s="54"/>
      <c r="C182" s="2"/>
      <c r="D182" s="624" t="s">
        <v>545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73"/>
        <v>0</v>
      </c>
      <c r="K182" s="141"/>
      <c r="L182" s="159">
        <f t="shared" si="57"/>
        <v>0</v>
      </c>
      <c r="M182" s="42"/>
      <c r="N182" s="1"/>
      <c r="O182" s="1"/>
      <c r="P182" s="1"/>
      <c r="Q182" s="1"/>
      <c r="R182" s="1"/>
      <c r="S182" s="72"/>
      <c r="T182" s="1"/>
      <c r="U182" s="78"/>
      <c r="V182" s="78"/>
      <c r="W182" s="1"/>
      <c r="X182" s="78"/>
      <c r="Y182" s="78"/>
      <c r="Z182" s="44"/>
      <c r="AA182" s="343"/>
      <c r="AB182" s="78"/>
      <c r="AC182" s="78"/>
      <c r="AD182" s="44"/>
    </row>
    <row r="183" spans="1:30" ht="25.5" hidden="1" customHeight="1" x14ac:dyDescent="0.25">
      <c r="B183" s="54"/>
      <c r="C183" s="2"/>
      <c r="D183" s="625" t="s">
        <v>548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73"/>
        <v>0</v>
      </c>
      <c r="K183" s="151"/>
      <c r="L183" s="159">
        <f t="shared" si="57"/>
        <v>0</v>
      </c>
      <c r="M183" s="42"/>
      <c r="N183" s="1"/>
      <c r="O183" s="1"/>
      <c r="P183" s="1"/>
      <c r="Q183" s="1"/>
      <c r="R183" s="1"/>
      <c r="S183" s="72"/>
      <c r="T183" s="1"/>
      <c r="U183" s="78"/>
      <c r="V183" s="78"/>
      <c r="W183" s="1"/>
      <c r="X183" s="78"/>
      <c r="Y183" s="78"/>
      <c r="Z183" s="44"/>
      <c r="AA183" s="343"/>
      <c r="AB183" s="78"/>
      <c r="AC183" s="78"/>
      <c r="AD183" s="44"/>
    </row>
    <row r="184" spans="1:30" ht="15" hidden="1" customHeight="1" x14ac:dyDescent="0.25">
      <c r="B184" s="54"/>
      <c r="C184" s="2"/>
      <c r="D184" s="624" t="s">
        <v>550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73"/>
        <v>0</v>
      </c>
      <c r="K184" s="141"/>
      <c r="L184" s="159">
        <f t="shared" si="57"/>
        <v>0</v>
      </c>
      <c r="M184" s="42"/>
      <c r="N184" s="1"/>
      <c r="O184" s="1"/>
      <c r="P184" s="1"/>
      <c r="Q184" s="1"/>
      <c r="R184" s="1"/>
      <c r="S184" s="72"/>
      <c r="T184" s="1"/>
      <c r="U184" s="78"/>
      <c r="V184" s="78"/>
      <c r="W184" s="1"/>
      <c r="X184" s="78"/>
      <c r="Y184" s="78"/>
      <c r="Z184" s="44"/>
      <c r="AA184" s="343"/>
      <c r="AB184" s="78"/>
      <c r="AC184" s="78"/>
      <c r="AD184" s="44"/>
    </row>
    <row r="185" spans="1:30" ht="15" hidden="1" customHeight="1" x14ac:dyDescent="0.25">
      <c r="B185" s="54"/>
      <c r="C185" s="2"/>
      <c r="D185" s="624" t="s">
        <v>551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73"/>
        <v>0</v>
      </c>
      <c r="K185" s="141"/>
      <c r="L185" s="159">
        <f t="shared" si="57"/>
        <v>0</v>
      </c>
      <c r="M185" s="42"/>
      <c r="N185" s="1"/>
      <c r="O185" s="1"/>
      <c r="P185" s="1"/>
      <c r="Q185" s="1"/>
      <c r="R185" s="1"/>
      <c r="S185" s="72"/>
      <c r="T185" s="1"/>
      <c r="U185" s="78"/>
      <c r="V185" s="78"/>
      <c r="W185" s="1"/>
      <c r="X185" s="78"/>
      <c r="Y185" s="78"/>
      <c r="Z185" s="44"/>
      <c r="AA185" s="343"/>
      <c r="AB185" s="78"/>
      <c r="AC185" s="78"/>
      <c r="AD185" s="44"/>
    </row>
    <row r="186" spans="1:30" ht="25.5" hidden="1" customHeight="1" x14ac:dyDescent="0.25">
      <c r="B186" s="54"/>
      <c r="C186" s="2"/>
      <c r="D186" s="625" t="s">
        <v>555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73"/>
        <v>0</v>
      </c>
      <c r="K186" s="151"/>
      <c r="L186" s="159">
        <f t="shared" si="57"/>
        <v>0</v>
      </c>
      <c r="M186" s="42"/>
      <c r="N186" s="1"/>
      <c r="O186" s="1"/>
      <c r="P186" s="1"/>
      <c r="Q186" s="1"/>
      <c r="R186" s="1"/>
      <c r="S186" s="72"/>
      <c r="T186" s="1"/>
      <c r="U186" s="78"/>
      <c r="V186" s="78"/>
      <c r="W186" s="1"/>
      <c r="X186" s="78"/>
      <c r="Y186" s="78"/>
      <c r="Z186" s="44"/>
      <c r="AA186" s="343"/>
      <c r="AB186" s="78"/>
      <c r="AC186" s="78"/>
      <c r="AD186" s="44"/>
    </row>
    <row r="187" spans="1:30" ht="25.5" hidden="1" customHeight="1" x14ac:dyDescent="0.25">
      <c r="B187" s="54"/>
      <c r="C187" s="2"/>
      <c r="D187" s="625" t="s">
        <v>558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73"/>
        <v>0</v>
      </c>
      <c r="K187" s="151"/>
      <c r="L187" s="159">
        <f t="shared" si="57"/>
        <v>0</v>
      </c>
      <c r="M187" s="42"/>
      <c r="N187" s="1"/>
      <c r="O187" s="1"/>
      <c r="P187" s="1"/>
      <c r="Q187" s="1"/>
      <c r="R187" s="1"/>
      <c r="S187" s="72"/>
      <c r="T187" s="1"/>
      <c r="U187" s="78"/>
      <c r="V187" s="78"/>
      <c r="W187" s="1"/>
      <c r="X187" s="78"/>
      <c r="Y187" s="78"/>
      <c r="Z187" s="44"/>
      <c r="AA187" s="343"/>
      <c r="AB187" s="78"/>
      <c r="AC187" s="78"/>
      <c r="AD187" s="44"/>
    </row>
    <row r="188" spans="1:30" ht="25.5" hidden="1" customHeight="1" x14ac:dyDescent="0.25">
      <c r="B188" s="54"/>
      <c r="C188" s="2"/>
      <c r="D188" s="625" t="s">
        <v>560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73"/>
        <v>0</v>
      </c>
      <c r="K188" s="151"/>
      <c r="L188" s="159">
        <f t="shared" si="57"/>
        <v>0</v>
      </c>
      <c r="M188" s="42"/>
      <c r="N188" s="1"/>
      <c r="O188" s="1"/>
      <c r="P188" s="1"/>
      <c r="Q188" s="1"/>
      <c r="R188" s="1"/>
      <c r="S188" s="72"/>
      <c r="T188" s="1"/>
      <c r="U188" s="78"/>
      <c r="V188" s="78"/>
      <c r="W188" s="1"/>
      <c r="X188" s="78"/>
      <c r="Y188" s="78"/>
      <c r="Z188" s="44"/>
      <c r="AA188" s="343"/>
      <c r="AB188" s="78"/>
      <c r="AC188" s="78"/>
      <c r="AD188" s="44"/>
    </row>
    <row r="189" spans="1:30" ht="25.5" hidden="1" customHeight="1" x14ac:dyDescent="0.25">
      <c r="B189" s="54"/>
      <c r="C189" s="2"/>
      <c r="D189" s="625" t="s">
        <v>563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73"/>
        <v>0</v>
      </c>
      <c r="K189" s="151"/>
      <c r="L189" s="159">
        <f t="shared" si="57"/>
        <v>0</v>
      </c>
      <c r="M189" s="42"/>
      <c r="N189" s="1"/>
      <c r="O189" s="1"/>
      <c r="P189" s="1"/>
      <c r="Q189" s="1"/>
      <c r="R189" s="1"/>
      <c r="S189" s="72"/>
      <c r="T189" s="1"/>
      <c r="U189" s="78"/>
      <c r="V189" s="78"/>
      <c r="W189" s="1"/>
      <c r="X189" s="78"/>
      <c r="Y189" s="78"/>
      <c r="Z189" s="44"/>
      <c r="AA189" s="343"/>
      <c r="AB189" s="78"/>
      <c r="AC189" s="78"/>
      <c r="AD189" s="44"/>
    </row>
    <row r="190" spans="1:30" s="18" customFormat="1" ht="25.5" hidden="1" customHeight="1" x14ac:dyDescent="0.25">
      <c r="A190" s="121" t="s">
        <v>273</v>
      </c>
      <c r="B190" s="88" t="s">
        <v>684</v>
      </c>
      <c r="C190" s="716" t="s">
        <v>605</v>
      </c>
      <c r="D190" s="717"/>
      <c r="E190" s="717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D190" si="74">K191+K192+K193+K194+K195+K196+K197+K198+K199+K200</f>
        <v>0</v>
      </c>
      <c r="L190" s="158">
        <f t="shared" si="57"/>
        <v>0</v>
      </c>
      <c r="M190" s="93">
        <f t="shared" ref="M190:R190" si="75">M191+M192+M193+M194+M195+M196+M197+M198+M199+M200</f>
        <v>0</v>
      </c>
      <c r="N190" s="91">
        <f t="shared" si="75"/>
        <v>0</v>
      </c>
      <c r="O190" s="91">
        <f t="shared" si="75"/>
        <v>0</v>
      </c>
      <c r="P190" s="91">
        <f t="shared" si="75"/>
        <v>0</v>
      </c>
      <c r="Q190" s="91"/>
      <c r="R190" s="91">
        <f t="shared" si="75"/>
        <v>0</v>
      </c>
      <c r="S190" s="90">
        <f t="shared" si="74"/>
        <v>0</v>
      </c>
      <c r="T190" s="91">
        <f t="shared" si="74"/>
        <v>0</v>
      </c>
      <c r="U190" s="94">
        <f t="shared" si="74"/>
        <v>0</v>
      </c>
      <c r="V190" s="94">
        <f t="shared" si="74"/>
        <v>0</v>
      </c>
      <c r="W190" s="91">
        <f t="shared" si="74"/>
        <v>0</v>
      </c>
      <c r="X190" s="94">
        <f t="shared" si="74"/>
        <v>0</v>
      </c>
      <c r="Y190" s="94">
        <f t="shared" si="74"/>
        <v>0</v>
      </c>
      <c r="Z190" s="95">
        <f t="shared" si="74"/>
        <v>0</v>
      </c>
      <c r="AA190" s="341">
        <f t="shared" si="74"/>
        <v>0</v>
      </c>
      <c r="AB190" s="94">
        <f t="shared" si="74"/>
        <v>0</v>
      </c>
      <c r="AC190" s="94">
        <f t="shared" si="74"/>
        <v>0</v>
      </c>
      <c r="AD190" s="95">
        <f t="shared" si="74"/>
        <v>0</v>
      </c>
    </row>
    <row r="191" spans="1:30" ht="15" hidden="1" customHeight="1" x14ac:dyDescent="0.25">
      <c r="B191" s="54"/>
      <c r="C191" s="2"/>
      <c r="D191" s="624" t="s">
        <v>814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76">SUM(S191:AD191)</f>
        <v>0</v>
      </c>
      <c r="K191" s="141"/>
      <c r="L191" s="159">
        <f t="shared" si="57"/>
        <v>0</v>
      </c>
      <c r="M191" s="42"/>
      <c r="N191" s="1"/>
      <c r="O191" s="1"/>
      <c r="P191" s="1"/>
      <c r="Q191" s="1"/>
      <c r="R191" s="1"/>
      <c r="S191" s="72"/>
      <c r="T191" s="1"/>
      <c r="U191" s="78"/>
      <c r="V191" s="78"/>
      <c r="W191" s="1"/>
      <c r="X191" s="78"/>
      <c r="Y191" s="78"/>
      <c r="Z191" s="44"/>
      <c r="AA191" s="343"/>
      <c r="AB191" s="78"/>
      <c r="AC191" s="78"/>
      <c r="AD191" s="44"/>
    </row>
    <row r="192" spans="1:30" ht="15" hidden="1" customHeight="1" x14ac:dyDescent="0.25">
      <c r="B192" s="54"/>
      <c r="C192" s="2"/>
      <c r="D192" s="624" t="s">
        <v>815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76"/>
        <v>0</v>
      </c>
      <c r="K192" s="141"/>
      <c r="L192" s="159">
        <f t="shared" si="57"/>
        <v>0</v>
      </c>
      <c r="M192" s="42"/>
      <c r="N192" s="1"/>
      <c r="O192" s="1"/>
      <c r="P192" s="1"/>
      <c r="Q192" s="1"/>
      <c r="R192" s="1"/>
      <c r="S192" s="72"/>
      <c r="T192" s="1"/>
      <c r="U192" s="78"/>
      <c r="V192" s="78"/>
      <c r="W192" s="1"/>
      <c r="X192" s="78"/>
      <c r="Y192" s="78"/>
      <c r="Z192" s="44"/>
      <c r="AA192" s="343"/>
      <c r="AB192" s="78"/>
      <c r="AC192" s="78"/>
      <c r="AD192" s="44"/>
    </row>
    <row r="193" spans="1:30" ht="15" hidden="1" customHeight="1" x14ac:dyDescent="0.25">
      <c r="B193" s="54"/>
      <c r="C193" s="2"/>
      <c r="D193" s="624" t="s">
        <v>546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76"/>
        <v>0</v>
      </c>
      <c r="K193" s="141"/>
      <c r="L193" s="159">
        <f t="shared" si="57"/>
        <v>0</v>
      </c>
      <c r="M193" s="42"/>
      <c r="N193" s="1"/>
      <c r="O193" s="1"/>
      <c r="P193" s="1"/>
      <c r="Q193" s="1"/>
      <c r="R193" s="1"/>
      <c r="S193" s="72"/>
      <c r="T193" s="1"/>
      <c r="U193" s="78"/>
      <c r="V193" s="78"/>
      <c r="W193" s="1"/>
      <c r="X193" s="78"/>
      <c r="Y193" s="78"/>
      <c r="Z193" s="44"/>
      <c r="AA193" s="343"/>
      <c r="AB193" s="78"/>
      <c r="AC193" s="78"/>
      <c r="AD193" s="44"/>
    </row>
    <row r="194" spans="1:30" ht="25.5" hidden="1" customHeight="1" x14ac:dyDescent="0.25">
      <c r="B194" s="54"/>
      <c r="C194" s="2"/>
      <c r="D194" s="625" t="s">
        <v>549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76"/>
        <v>0</v>
      </c>
      <c r="K194" s="151"/>
      <c r="L194" s="159">
        <f t="shared" si="57"/>
        <v>0</v>
      </c>
      <c r="M194" s="42"/>
      <c r="N194" s="1"/>
      <c r="O194" s="1"/>
      <c r="P194" s="1"/>
      <c r="Q194" s="1"/>
      <c r="R194" s="1"/>
      <c r="S194" s="72"/>
      <c r="T194" s="1"/>
      <c r="U194" s="78"/>
      <c r="V194" s="78"/>
      <c r="W194" s="1"/>
      <c r="X194" s="78"/>
      <c r="Y194" s="78"/>
      <c r="Z194" s="44"/>
      <c r="AA194" s="343"/>
      <c r="AB194" s="78"/>
      <c r="AC194" s="78"/>
      <c r="AD194" s="44"/>
    </row>
    <row r="195" spans="1:30" ht="15" hidden="1" customHeight="1" x14ac:dyDescent="0.25">
      <c r="B195" s="54"/>
      <c r="C195" s="2"/>
      <c r="D195" s="624" t="s">
        <v>552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76"/>
        <v>0</v>
      </c>
      <c r="K195" s="141"/>
      <c r="L195" s="159">
        <f t="shared" si="57"/>
        <v>0</v>
      </c>
      <c r="M195" s="42"/>
      <c r="N195" s="1"/>
      <c r="O195" s="1"/>
      <c r="P195" s="1"/>
      <c r="Q195" s="1"/>
      <c r="R195" s="1"/>
      <c r="S195" s="72"/>
      <c r="T195" s="1"/>
      <c r="U195" s="78"/>
      <c r="V195" s="78"/>
      <c r="W195" s="1"/>
      <c r="X195" s="78"/>
      <c r="Y195" s="78"/>
      <c r="Z195" s="44"/>
      <c r="AA195" s="343"/>
      <c r="AB195" s="78"/>
      <c r="AC195" s="78"/>
      <c r="AD195" s="44"/>
    </row>
    <row r="196" spans="1:30" ht="15" hidden="1" customHeight="1" x14ac:dyDescent="0.25">
      <c r="B196" s="54"/>
      <c r="C196" s="2"/>
      <c r="D196" s="624" t="s">
        <v>816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76"/>
        <v>0</v>
      </c>
      <c r="K196" s="141"/>
      <c r="L196" s="159">
        <f t="shared" si="57"/>
        <v>0</v>
      </c>
      <c r="M196" s="42"/>
      <c r="N196" s="1"/>
      <c r="O196" s="1"/>
      <c r="P196" s="1"/>
      <c r="Q196" s="1"/>
      <c r="R196" s="1"/>
      <c r="S196" s="72"/>
      <c r="T196" s="1"/>
      <c r="U196" s="78"/>
      <c r="V196" s="78"/>
      <c r="W196" s="1"/>
      <c r="X196" s="78"/>
      <c r="Y196" s="78"/>
      <c r="Z196" s="44"/>
      <c r="AA196" s="343"/>
      <c r="AB196" s="78"/>
      <c r="AC196" s="78"/>
      <c r="AD196" s="44"/>
    </row>
    <row r="197" spans="1:30" ht="25.5" hidden="1" customHeight="1" x14ac:dyDescent="0.25">
      <c r="B197" s="54"/>
      <c r="C197" s="2"/>
      <c r="D197" s="625" t="s">
        <v>556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76"/>
        <v>0</v>
      </c>
      <c r="K197" s="151"/>
      <c r="L197" s="159">
        <f t="shared" si="57"/>
        <v>0</v>
      </c>
      <c r="M197" s="42"/>
      <c r="N197" s="1"/>
      <c r="O197" s="1"/>
      <c r="P197" s="1"/>
      <c r="Q197" s="1"/>
      <c r="R197" s="1"/>
      <c r="S197" s="72"/>
      <c r="T197" s="1"/>
      <c r="U197" s="78"/>
      <c r="V197" s="78"/>
      <c r="W197" s="1"/>
      <c r="X197" s="78"/>
      <c r="Y197" s="78"/>
      <c r="Z197" s="44"/>
      <c r="AA197" s="343"/>
      <c r="AB197" s="78"/>
      <c r="AC197" s="78"/>
      <c r="AD197" s="44"/>
    </row>
    <row r="198" spans="1:30" ht="25.5" hidden="1" customHeight="1" x14ac:dyDescent="0.25">
      <c r="B198" s="54"/>
      <c r="C198" s="2"/>
      <c r="D198" s="625" t="s">
        <v>559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76"/>
        <v>0</v>
      </c>
      <c r="K198" s="151"/>
      <c r="L198" s="159">
        <f t="shared" si="57"/>
        <v>0</v>
      </c>
      <c r="M198" s="42"/>
      <c r="N198" s="1"/>
      <c r="O198" s="1"/>
      <c r="P198" s="1"/>
      <c r="Q198" s="1"/>
      <c r="R198" s="1"/>
      <c r="S198" s="72"/>
      <c r="T198" s="1"/>
      <c r="U198" s="78"/>
      <c r="V198" s="78"/>
      <c r="W198" s="1"/>
      <c r="X198" s="78"/>
      <c r="Y198" s="78"/>
      <c r="Z198" s="44"/>
      <c r="AA198" s="343"/>
      <c r="AB198" s="78"/>
      <c r="AC198" s="78"/>
      <c r="AD198" s="44"/>
    </row>
    <row r="199" spans="1:30" ht="25.5" hidden="1" customHeight="1" x14ac:dyDescent="0.25">
      <c r="B199" s="54"/>
      <c r="C199" s="2"/>
      <c r="D199" s="625" t="s">
        <v>561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76"/>
        <v>0</v>
      </c>
      <c r="K199" s="151"/>
      <c r="L199" s="159">
        <f t="shared" si="57"/>
        <v>0</v>
      </c>
      <c r="M199" s="42"/>
      <c r="N199" s="1"/>
      <c r="O199" s="1"/>
      <c r="P199" s="1"/>
      <c r="Q199" s="1"/>
      <c r="R199" s="1"/>
      <c r="S199" s="72"/>
      <c r="T199" s="1"/>
      <c r="U199" s="78"/>
      <c r="V199" s="78"/>
      <c r="W199" s="1"/>
      <c r="X199" s="78"/>
      <c r="Y199" s="78"/>
      <c r="Z199" s="44"/>
      <c r="AA199" s="343"/>
      <c r="AB199" s="78"/>
      <c r="AC199" s="78"/>
      <c r="AD199" s="44"/>
    </row>
    <row r="200" spans="1:30" ht="25.5" hidden="1" customHeight="1" x14ac:dyDescent="0.25">
      <c r="B200" s="54"/>
      <c r="C200" s="2"/>
      <c r="D200" s="625" t="s">
        <v>564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76"/>
        <v>0</v>
      </c>
      <c r="K200" s="151"/>
      <c r="L200" s="159">
        <f t="shared" si="57"/>
        <v>0</v>
      </c>
      <c r="M200" s="42"/>
      <c r="N200" s="1"/>
      <c r="O200" s="1"/>
      <c r="P200" s="1"/>
      <c r="Q200" s="1"/>
      <c r="R200" s="1"/>
      <c r="S200" s="72"/>
      <c r="T200" s="1"/>
      <c r="U200" s="78"/>
      <c r="V200" s="78"/>
      <c r="W200" s="1"/>
      <c r="X200" s="78"/>
      <c r="Y200" s="78"/>
      <c r="Z200" s="44"/>
      <c r="AA200" s="343"/>
      <c r="AB200" s="78"/>
      <c r="AC200" s="78"/>
      <c r="AD200" s="44"/>
    </row>
    <row r="201" spans="1:30" s="18" customFormat="1" ht="15" hidden="1" customHeight="1" x14ac:dyDescent="0.25">
      <c r="A201" s="118" t="s">
        <v>274</v>
      </c>
      <c r="B201" s="88" t="s">
        <v>685</v>
      </c>
      <c r="C201" s="626" t="s">
        <v>275</v>
      </c>
      <c r="D201" s="627"/>
      <c r="E201" s="627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D201" si="77">K202+K203+K204+K205+K206+K207+K208+K209+K210+K211</f>
        <v>0</v>
      </c>
      <c r="L201" s="158">
        <f t="shared" si="57"/>
        <v>0</v>
      </c>
      <c r="M201" s="93">
        <f t="shared" ref="M201:R201" si="78">M202+M203+M204+M205+M206+M207+M208+M209+M210+M211</f>
        <v>0</v>
      </c>
      <c r="N201" s="91">
        <f t="shared" si="78"/>
        <v>0</v>
      </c>
      <c r="O201" s="91">
        <f t="shared" si="78"/>
        <v>0</v>
      </c>
      <c r="P201" s="91">
        <f t="shared" si="78"/>
        <v>0</v>
      </c>
      <c r="Q201" s="91"/>
      <c r="R201" s="91">
        <f t="shared" si="78"/>
        <v>0</v>
      </c>
      <c r="S201" s="90">
        <f t="shared" si="77"/>
        <v>0</v>
      </c>
      <c r="T201" s="91">
        <f t="shared" si="77"/>
        <v>0</v>
      </c>
      <c r="U201" s="94">
        <f t="shared" si="77"/>
        <v>0</v>
      </c>
      <c r="V201" s="94">
        <f t="shared" si="77"/>
        <v>0</v>
      </c>
      <c r="W201" s="91">
        <f t="shared" si="77"/>
        <v>0</v>
      </c>
      <c r="X201" s="94">
        <f t="shared" si="77"/>
        <v>0</v>
      </c>
      <c r="Y201" s="94">
        <f t="shared" si="77"/>
        <v>0</v>
      </c>
      <c r="Z201" s="95">
        <f t="shared" si="77"/>
        <v>0</v>
      </c>
      <c r="AA201" s="341">
        <f t="shared" si="77"/>
        <v>0</v>
      </c>
      <c r="AB201" s="94">
        <f t="shared" si="77"/>
        <v>0</v>
      </c>
      <c r="AC201" s="94">
        <f t="shared" si="77"/>
        <v>0</v>
      </c>
      <c r="AD201" s="95">
        <f t="shared" si="77"/>
        <v>0</v>
      </c>
    </row>
    <row r="202" spans="1:30" ht="15" hidden="1" customHeight="1" x14ac:dyDescent="0.25">
      <c r="B202" s="54"/>
      <c r="C202" s="2"/>
      <c r="D202" s="624" t="s">
        <v>371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79">SUM(S202:AD202)</f>
        <v>0</v>
      </c>
      <c r="K202" s="141"/>
      <c r="L202" s="159">
        <f t="shared" si="57"/>
        <v>0</v>
      </c>
      <c r="M202" s="42"/>
      <c r="N202" s="1"/>
      <c r="O202" s="1"/>
      <c r="P202" s="1"/>
      <c r="Q202" s="1"/>
      <c r="R202" s="1"/>
      <c r="S202" s="72"/>
      <c r="T202" s="1"/>
      <c r="U202" s="78"/>
      <c r="V202" s="78"/>
      <c r="W202" s="1"/>
      <c r="X202" s="78"/>
      <c r="Y202" s="78"/>
      <c r="Z202" s="44"/>
      <c r="AA202" s="343"/>
      <c r="AB202" s="78"/>
      <c r="AC202" s="78"/>
      <c r="AD202" s="44"/>
    </row>
    <row r="203" spans="1:30" ht="15" hidden="1" customHeight="1" x14ac:dyDescent="0.25">
      <c r="B203" s="54"/>
      <c r="C203" s="2"/>
      <c r="D203" s="624" t="s">
        <v>544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79"/>
        <v>0</v>
      </c>
      <c r="K203" s="141"/>
      <c r="L203" s="159">
        <f t="shared" si="57"/>
        <v>0</v>
      </c>
      <c r="M203" s="42"/>
      <c r="N203" s="1"/>
      <c r="O203" s="1"/>
      <c r="P203" s="1"/>
      <c r="Q203" s="1"/>
      <c r="R203" s="1"/>
      <c r="S203" s="72"/>
      <c r="T203" s="1"/>
      <c r="U203" s="78"/>
      <c r="V203" s="78"/>
      <c r="W203" s="1"/>
      <c r="X203" s="78"/>
      <c r="Y203" s="78"/>
      <c r="Z203" s="44"/>
      <c r="AA203" s="343"/>
      <c r="AB203" s="78"/>
      <c r="AC203" s="78"/>
      <c r="AD203" s="44"/>
    </row>
    <row r="204" spans="1:30" ht="15" hidden="1" customHeight="1" x14ac:dyDescent="0.25">
      <c r="B204" s="54"/>
      <c r="C204" s="2"/>
      <c r="D204" s="624" t="s">
        <v>547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79"/>
        <v>0</v>
      </c>
      <c r="K204" s="141"/>
      <c r="L204" s="159">
        <f t="shared" si="57"/>
        <v>0</v>
      </c>
      <c r="M204" s="42"/>
      <c r="N204" s="1"/>
      <c r="O204" s="1"/>
      <c r="P204" s="1"/>
      <c r="Q204" s="1"/>
      <c r="R204" s="1"/>
      <c r="S204" s="72"/>
      <c r="T204" s="1"/>
      <c r="U204" s="78"/>
      <c r="V204" s="78"/>
      <c r="W204" s="1"/>
      <c r="X204" s="78"/>
      <c r="Y204" s="78"/>
      <c r="Z204" s="44"/>
      <c r="AA204" s="343"/>
      <c r="AB204" s="78"/>
      <c r="AC204" s="78"/>
      <c r="AD204" s="44"/>
    </row>
    <row r="205" spans="1:30" ht="15" hidden="1" customHeight="1" x14ac:dyDescent="0.25">
      <c r="B205" s="54"/>
      <c r="C205" s="2"/>
      <c r="D205" s="625" t="s">
        <v>817</v>
      </c>
      <c r="E205" s="625"/>
      <c r="F205" s="159">
        <v>0</v>
      </c>
      <c r="G205" s="343">
        <v>0</v>
      </c>
      <c r="H205" s="313">
        <v>0</v>
      </c>
      <c r="I205" s="513">
        <v>0</v>
      </c>
      <c r="J205" s="242">
        <f t="shared" si="79"/>
        <v>0</v>
      </c>
      <c r="K205" s="151"/>
      <c r="L205" s="159">
        <f t="shared" si="57"/>
        <v>0</v>
      </c>
      <c r="M205" s="42"/>
      <c r="N205" s="1"/>
      <c r="O205" s="1"/>
      <c r="P205" s="1"/>
      <c r="Q205" s="1"/>
      <c r="R205" s="1"/>
      <c r="S205" s="72"/>
      <c r="T205" s="1"/>
      <c r="U205" s="78"/>
      <c r="V205" s="78"/>
      <c r="W205" s="1"/>
      <c r="X205" s="78"/>
      <c r="Y205" s="78"/>
      <c r="Z205" s="44"/>
      <c r="AA205" s="343"/>
      <c r="AB205" s="78"/>
      <c r="AC205" s="78"/>
      <c r="AD205" s="44"/>
    </row>
    <row r="206" spans="1:30" ht="15" hidden="1" customHeight="1" x14ac:dyDescent="0.25">
      <c r="B206" s="54"/>
      <c r="C206" s="2"/>
      <c r="D206" s="624" t="s">
        <v>554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79"/>
        <v>0</v>
      </c>
      <c r="K206" s="141"/>
      <c r="L206" s="159">
        <f t="shared" si="57"/>
        <v>0</v>
      </c>
      <c r="M206" s="42"/>
      <c r="N206" s="1"/>
      <c r="O206" s="1"/>
      <c r="P206" s="1"/>
      <c r="Q206" s="1"/>
      <c r="R206" s="1"/>
      <c r="S206" s="72"/>
      <c r="T206" s="1"/>
      <c r="U206" s="78"/>
      <c r="V206" s="78"/>
      <c r="W206" s="1"/>
      <c r="X206" s="78"/>
      <c r="Y206" s="78"/>
      <c r="Z206" s="44"/>
      <c r="AA206" s="343"/>
      <c r="AB206" s="78"/>
      <c r="AC206" s="78"/>
      <c r="AD206" s="44"/>
    </row>
    <row r="207" spans="1:30" ht="15" hidden="1" customHeight="1" x14ac:dyDescent="0.25">
      <c r="B207" s="54"/>
      <c r="C207" s="2"/>
      <c r="D207" s="624" t="s">
        <v>553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79"/>
        <v>0</v>
      </c>
      <c r="K207" s="141"/>
      <c r="L207" s="159">
        <f t="shared" si="57"/>
        <v>0</v>
      </c>
      <c r="M207" s="42"/>
      <c r="N207" s="1"/>
      <c r="O207" s="1"/>
      <c r="P207" s="1"/>
      <c r="Q207" s="1"/>
      <c r="R207" s="1"/>
      <c r="S207" s="72"/>
      <c r="T207" s="1"/>
      <c r="U207" s="78"/>
      <c r="V207" s="78"/>
      <c r="W207" s="1"/>
      <c r="X207" s="78"/>
      <c r="Y207" s="78"/>
      <c r="Z207" s="44"/>
      <c r="AA207" s="343"/>
      <c r="AB207" s="78"/>
      <c r="AC207" s="78"/>
      <c r="AD207" s="44"/>
    </row>
    <row r="208" spans="1:30" ht="25.5" hidden="1" customHeight="1" x14ac:dyDescent="0.25">
      <c r="B208" s="54"/>
      <c r="C208" s="2"/>
      <c r="D208" s="625" t="s">
        <v>557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79"/>
        <v>0</v>
      </c>
      <c r="K208" s="151"/>
      <c r="L208" s="159">
        <f t="shared" si="57"/>
        <v>0</v>
      </c>
      <c r="M208" s="42"/>
      <c r="N208" s="1"/>
      <c r="O208" s="1"/>
      <c r="P208" s="1"/>
      <c r="Q208" s="1"/>
      <c r="R208" s="1"/>
      <c r="S208" s="72"/>
      <c r="T208" s="1"/>
      <c r="U208" s="78"/>
      <c r="V208" s="78"/>
      <c r="W208" s="1"/>
      <c r="X208" s="78"/>
      <c r="Y208" s="78"/>
      <c r="Z208" s="44"/>
      <c r="AA208" s="343"/>
      <c r="AB208" s="78"/>
      <c r="AC208" s="78"/>
      <c r="AD208" s="44"/>
    </row>
    <row r="209" spans="1:30" ht="15" hidden="1" customHeight="1" x14ac:dyDescent="0.25">
      <c r="B209" s="54"/>
      <c r="C209" s="2"/>
      <c r="D209" s="624" t="s">
        <v>818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79"/>
        <v>0</v>
      </c>
      <c r="K209" s="141"/>
      <c r="L209" s="159">
        <f t="shared" si="57"/>
        <v>0</v>
      </c>
      <c r="M209" s="42"/>
      <c r="N209" s="1"/>
      <c r="O209" s="1"/>
      <c r="P209" s="1"/>
      <c r="Q209" s="1"/>
      <c r="R209" s="1"/>
      <c r="S209" s="72"/>
      <c r="T209" s="1"/>
      <c r="U209" s="78"/>
      <c r="V209" s="78"/>
      <c r="W209" s="1"/>
      <c r="X209" s="78"/>
      <c r="Y209" s="78"/>
      <c r="Z209" s="44"/>
      <c r="AA209" s="343"/>
      <c r="AB209" s="78"/>
      <c r="AC209" s="78"/>
      <c r="AD209" s="44"/>
    </row>
    <row r="210" spans="1:30" ht="25.5" hidden="1" customHeight="1" x14ac:dyDescent="0.25">
      <c r="B210" s="54"/>
      <c r="C210" s="2"/>
      <c r="D210" s="625" t="s">
        <v>562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79"/>
        <v>0</v>
      </c>
      <c r="K210" s="151"/>
      <c r="L210" s="159">
        <f t="shared" si="57"/>
        <v>0</v>
      </c>
      <c r="M210" s="42"/>
      <c r="N210" s="1"/>
      <c r="O210" s="1"/>
      <c r="P210" s="1"/>
      <c r="Q210" s="1"/>
      <c r="R210" s="1"/>
      <c r="S210" s="72"/>
      <c r="T210" s="1"/>
      <c r="U210" s="78"/>
      <c r="V210" s="78"/>
      <c r="W210" s="1"/>
      <c r="X210" s="78"/>
      <c r="Y210" s="78"/>
      <c r="Z210" s="44"/>
      <c r="AA210" s="343"/>
      <c r="AB210" s="78"/>
      <c r="AC210" s="78"/>
      <c r="AD210" s="44"/>
    </row>
    <row r="211" spans="1:30" ht="25.5" hidden="1" customHeight="1" x14ac:dyDescent="0.25">
      <c r="B211" s="54"/>
      <c r="C211" s="2"/>
      <c r="D211" s="625" t="s">
        <v>565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79"/>
        <v>0</v>
      </c>
      <c r="K211" s="151"/>
      <c r="L211" s="159">
        <f t="shared" si="57"/>
        <v>0</v>
      </c>
      <c r="M211" s="42"/>
      <c r="N211" s="1"/>
      <c r="O211" s="1"/>
      <c r="P211" s="1"/>
      <c r="Q211" s="1"/>
      <c r="R211" s="1"/>
      <c r="S211" s="72"/>
      <c r="T211" s="1"/>
      <c r="U211" s="78"/>
      <c r="V211" s="78"/>
      <c r="W211" s="1"/>
      <c r="X211" s="78"/>
      <c r="Y211" s="78"/>
      <c r="Z211" s="44"/>
      <c r="AA211" s="343"/>
      <c r="AB211" s="78"/>
      <c r="AC211" s="78"/>
      <c r="AD211" s="44"/>
    </row>
    <row r="212" spans="1:30" s="18" customFormat="1" ht="25.5" hidden="1" customHeight="1" x14ac:dyDescent="0.25">
      <c r="A212" s="118" t="s">
        <v>276</v>
      </c>
      <c r="B212" s="88" t="s">
        <v>686</v>
      </c>
      <c r="C212" s="716" t="s">
        <v>606</v>
      </c>
      <c r="D212" s="717"/>
      <c r="E212" s="717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D212" si="80">K213+K214</f>
        <v>0</v>
      </c>
      <c r="L212" s="158">
        <f t="shared" si="57"/>
        <v>0</v>
      </c>
      <c r="M212" s="93">
        <f t="shared" ref="M212:R212" si="81">M213+M214</f>
        <v>0</v>
      </c>
      <c r="N212" s="91">
        <f t="shared" si="81"/>
        <v>0</v>
      </c>
      <c r="O212" s="91">
        <f t="shared" si="81"/>
        <v>0</v>
      </c>
      <c r="P212" s="91">
        <f t="shared" si="81"/>
        <v>0</v>
      </c>
      <c r="Q212" s="91"/>
      <c r="R212" s="91">
        <f t="shared" si="81"/>
        <v>0</v>
      </c>
      <c r="S212" s="90">
        <f t="shared" si="80"/>
        <v>0</v>
      </c>
      <c r="T212" s="91">
        <f t="shared" si="80"/>
        <v>0</v>
      </c>
      <c r="U212" s="94">
        <f t="shared" si="80"/>
        <v>0</v>
      </c>
      <c r="V212" s="94">
        <f t="shared" si="80"/>
        <v>0</v>
      </c>
      <c r="W212" s="91">
        <f t="shared" si="80"/>
        <v>0</v>
      </c>
      <c r="X212" s="94">
        <f t="shared" si="80"/>
        <v>0</v>
      </c>
      <c r="Y212" s="94">
        <f t="shared" si="80"/>
        <v>0</v>
      </c>
      <c r="Z212" s="95">
        <f t="shared" si="80"/>
        <v>0</v>
      </c>
      <c r="AA212" s="341">
        <f t="shared" si="80"/>
        <v>0</v>
      </c>
      <c r="AB212" s="94">
        <f t="shared" si="80"/>
        <v>0</v>
      </c>
      <c r="AC212" s="94">
        <f t="shared" si="80"/>
        <v>0</v>
      </c>
      <c r="AD212" s="95">
        <f t="shared" si="80"/>
        <v>0</v>
      </c>
    </row>
    <row r="213" spans="1:30" ht="25.5" hidden="1" customHeight="1" x14ac:dyDescent="0.25">
      <c r="B213" s="54"/>
      <c r="C213" s="2"/>
      <c r="D213" s="625" t="s">
        <v>568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>SUM(S213:AD213)</f>
        <v>0</v>
      </c>
      <c r="K213" s="151"/>
      <c r="L213" s="159">
        <f t="shared" ref="L213:L269" si="82">SUM(J213:K213)</f>
        <v>0</v>
      </c>
      <c r="M213" s="42"/>
      <c r="N213" s="1"/>
      <c r="O213" s="1"/>
      <c r="P213" s="1"/>
      <c r="Q213" s="1"/>
      <c r="R213" s="1"/>
      <c r="S213" s="72"/>
      <c r="T213" s="1"/>
      <c r="U213" s="78"/>
      <c r="V213" s="78"/>
      <c r="W213" s="1"/>
      <c r="X213" s="78"/>
      <c r="Y213" s="78"/>
      <c r="Z213" s="44"/>
      <c r="AA213" s="343"/>
      <c r="AB213" s="78"/>
      <c r="AC213" s="78"/>
      <c r="AD213" s="44"/>
    </row>
    <row r="214" spans="1:30" ht="25.5" hidden="1" customHeight="1" x14ac:dyDescent="0.25">
      <c r="B214" s="54"/>
      <c r="C214" s="2"/>
      <c r="D214" s="625" t="s">
        <v>569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>SUM(S214:AD214)</f>
        <v>0</v>
      </c>
      <c r="K214" s="151"/>
      <c r="L214" s="159">
        <f t="shared" si="82"/>
        <v>0</v>
      </c>
      <c r="M214" s="42"/>
      <c r="N214" s="1"/>
      <c r="O214" s="1"/>
      <c r="P214" s="1"/>
      <c r="Q214" s="1"/>
      <c r="R214" s="1"/>
      <c r="S214" s="72"/>
      <c r="T214" s="1"/>
      <c r="U214" s="78"/>
      <c r="V214" s="78"/>
      <c r="W214" s="1"/>
      <c r="X214" s="78"/>
      <c r="Y214" s="78"/>
      <c r="Z214" s="44"/>
      <c r="AA214" s="343"/>
      <c r="AB214" s="78"/>
      <c r="AC214" s="78"/>
      <c r="AD214" s="44"/>
    </row>
    <row r="215" spans="1:30" s="18" customFormat="1" ht="15" hidden="1" customHeight="1" x14ac:dyDescent="0.25">
      <c r="A215" s="118" t="s">
        <v>277</v>
      </c>
      <c r="B215" s="88" t="s">
        <v>687</v>
      </c>
      <c r="C215" s="716" t="s">
        <v>819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D215" si="83">K216+K217+K218+K219+K220+K221+K222+K223+K224+K225+K226</f>
        <v>0</v>
      </c>
      <c r="L215" s="158">
        <f t="shared" si="82"/>
        <v>0</v>
      </c>
      <c r="M215" s="93">
        <f t="shared" ref="M215:R215" si="84">M216+M217+M218+M219+M220+M221+M222+M223+M224+M225+M226</f>
        <v>0</v>
      </c>
      <c r="N215" s="91">
        <f t="shared" si="84"/>
        <v>0</v>
      </c>
      <c r="O215" s="91">
        <f t="shared" si="84"/>
        <v>0</v>
      </c>
      <c r="P215" s="91">
        <f t="shared" si="84"/>
        <v>0</v>
      </c>
      <c r="Q215" s="91"/>
      <c r="R215" s="91">
        <f t="shared" si="84"/>
        <v>0</v>
      </c>
      <c r="S215" s="90">
        <f t="shared" si="83"/>
        <v>0</v>
      </c>
      <c r="T215" s="91">
        <f t="shared" si="83"/>
        <v>0</v>
      </c>
      <c r="U215" s="94">
        <f t="shared" si="83"/>
        <v>0</v>
      </c>
      <c r="V215" s="94">
        <f t="shared" si="83"/>
        <v>0</v>
      </c>
      <c r="W215" s="91">
        <f t="shared" si="83"/>
        <v>0</v>
      </c>
      <c r="X215" s="94">
        <f t="shared" si="83"/>
        <v>0</v>
      </c>
      <c r="Y215" s="94">
        <f t="shared" si="83"/>
        <v>0</v>
      </c>
      <c r="Z215" s="95">
        <f t="shared" si="83"/>
        <v>0</v>
      </c>
      <c r="AA215" s="341">
        <f t="shared" si="83"/>
        <v>0</v>
      </c>
      <c r="AB215" s="94">
        <f t="shared" si="83"/>
        <v>0</v>
      </c>
      <c r="AC215" s="94">
        <f t="shared" si="83"/>
        <v>0</v>
      </c>
      <c r="AD215" s="95">
        <f t="shared" si="83"/>
        <v>0</v>
      </c>
    </row>
    <row r="216" spans="1:30" ht="15" hidden="1" customHeight="1" x14ac:dyDescent="0.25">
      <c r="B216" s="54"/>
      <c r="C216" s="2"/>
      <c r="D216" s="624" t="s">
        <v>372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85">SUM(S216:AD216)</f>
        <v>0</v>
      </c>
      <c r="K216" s="141"/>
      <c r="L216" s="159">
        <f t="shared" si="82"/>
        <v>0</v>
      </c>
      <c r="M216" s="42"/>
      <c r="N216" s="1"/>
      <c r="O216" s="1"/>
      <c r="P216" s="1"/>
      <c r="Q216" s="1"/>
      <c r="R216" s="1"/>
      <c r="S216" s="72"/>
      <c r="T216" s="1"/>
      <c r="U216" s="78"/>
      <c r="V216" s="78"/>
      <c r="W216" s="1"/>
      <c r="X216" s="78"/>
      <c r="Y216" s="78"/>
      <c r="Z216" s="44"/>
      <c r="AA216" s="343"/>
      <c r="AB216" s="78"/>
      <c r="AC216" s="78"/>
      <c r="AD216" s="44"/>
    </row>
    <row r="217" spans="1:30" ht="15" hidden="1" customHeight="1" x14ac:dyDescent="0.25">
      <c r="B217" s="54"/>
      <c r="C217" s="2"/>
      <c r="D217" s="624" t="s">
        <v>820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85"/>
        <v>0</v>
      </c>
      <c r="K217" s="141"/>
      <c r="L217" s="159">
        <f t="shared" si="82"/>
        <v>0</v>
      </c>
      <c r="M217" s="42"/>
      <c r="N217" s="1"/>
      <c r="O217" s="1"/>
      <c r="P217" s="1"/>
      <c r="Q217" s="1"/>
      <c r="R217" s="1"/>
      <c r="S217" s="72"/>
      <c r="T217" s="1"/>
      <c r="U217" s="78"/>
      <c r="V217" s="78"/>
      <c r="W217" s="1"/>
      <c r="X217" s="78"/>
      <c r="Y217" s="78"/>
      <c r="Z217" s="44"/>
      <c r="AA217" s="343"/>
      <c r="AB217" s="78"/>
      <c r="AC217" s="78"/>
      <c r="AD217" s="44"/>
    </row>
    <row r="218" spans="1:30" ht="15" hidden="1" customHeight="1" x14ac:dyDescent="0.25">
      <c r="B218" s="54"/>
      <c r="C218" s="2"/>
      <c r="D218" s="624" t="s">
        <v>375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85"/>
        <v>0</v>
      </c>
      <c r="K218" s="141"/>
      <c r="L218" s="159">
        <f t="shared" si="82"/>
        <v>0</v>
      </c>
      <c r="M218" s="42"/>
      <c r="N218" s="1"/>
      <c r="O218" s="1"/>
      <c r="P218" s="1"/>
      <c r="Q218" s="1"/>
      <c r="R218" s="1"/>
      <c r="S218" s="72"/>
      <c r="T218" s="1"/>
      <c r="U218" s="78"/>
      <c r="V218" s="78"/>
      <c r="W218" s="1"/>
      <c r="X218" s="78"/>
      <c r="Y218" s="78"/>
      <c r="Z218" s="44"/>
      <c r="AA218" s="343"/>
      <c r="AB218" s="78"/>
      <c r="AC218" s="78"/>
      <c r="AD218" s="44"/>
    </row>
    <row r="219" spans="1:30" ht="15" hidden="1" customHeight="1" x14ac:dyDescent="0.25">
      <c r="B219" s="54"/>
      <c r="C219" s="2"/>
      <c r="D219" s="624" t="s">
        <v>373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85"/>
        <v>0</v>
      </c>
      <c r="K219" s="141"/>
      <c r="L219" s="159">
        <f t="shared" si="82"/>
        <v>0</v>
      </c>
      <c r="M219" s="42"/>
      <c r="N219" s="1"/>
      <c r="O219" s="1"/>
      <c r="P219" s="1"/>
      <c r="Q219" s="1"/>
      <c r="R219" s="1"/>
      <c r="S219" s="72"/>
      <c r="T219" s="1"/>
      <c r="U219" s="78"/>
      <c r="V219" s="78"/>
      <c r="W219" s="1"/>
      <c r="X219" s="78"/>
      <c r="Y219" s="78"/>
      <c r="Z219" s="44"/>
      <c r="AA219" s="343"/>
      <c r="AB219" s="78"/>
      <c r="AC219" s="78"/>
      <c r="AD219" s="44"/>
    </row>
    <row r="220" spans="1:30" ht="15" hidden="1" customHeight="1" x14ac:dyDescent="0.25">
      <c r="B220" s="54"/>
      <c r="C220" s="2"/>
      <c r="D220" s="624" t="s">
        <v>821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85"/>
        <v>0</v>
      </c>
      <c r="K220" s="141"/>
      <c r="L220" s="159">
        <f t="shared" si="82"/>
        <v>0</v>
      </c>
      <c r="M220" s="42"/>
      <c r="N220" s="1"/>
      <c r="O220" s="1"/>
      <c r="P220" s="1"/>
      <c r="Q220" s="1"/>
      <c r="R220" s="1"/>
      <c r="S220" s="72"/>
      <c r="T220" s="1"/>
      <c r="U220" s="78"/>
      <c r="V220" s="78"/>
      <c r="W220" s="1"/>
      <c r="X220" s="78"/>
      <c r="Y220" s="78"/>
      <c r="Z220" s="44"/>
      <c r="AA220" s="343"/>
      <c r="AB220" s="78"/>
      <c r="AC220" s="78"/>
      <c r="AD220" s="44"/>
    </row>
    <row r="221" spans="1:30" ht="25.5" hidden="1" customHeight="1" x14ac:dyDescent="0.25">
      <c r="B221" s="54"/>
      <c r="C221" s="2"/>
      <c r="D221" s="625" t="s">
        <v>537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85"/>
        <v>0</v>
      </c>
      <c r="K221" s="151"/>
      <c r="L221" s="159">
        <f t="shared" si="82"/>
        <v>0</v>
      </c>
      <c r="M221" s="42"/>
      <c r="N221" s="1"/>
      <c r="O221" s="1"/>
      <c r="P221" s="1"/>
      <c r="Q221" s="1"/>
      <c r="R221" s="1"/>
      <c r="S221" s="72"/>
      <c r="T221" s="1"/>
      <c r="U221" s="78"/>
      <c r="V221" s="78"/>
      <c r="W221" s="1"/>
      <c r="X221" s="78"/>
      <c r="Y221" s="78"/>
      <c r="Z221" s="44"/>
      <c r="AA221" s="343"/>
      <c r="AB221" s="78"/>
      <c r="AC221" s="78"/>
      <c r="AD221" s="44"/>
    </row>
    <row r="222" spans="1:30" ht="25.5" hidden="1" customHeight="1" x14ac:dyDescent="0.25">
      <c r="B222" s="54"/>
      <c r="C222" s="2"/>
      <c r="D222" s="625" t="s">
        <v>540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85"/>
        <v>0</v>
      </c>
      <c r="K222" s="151"/>
      <c r="L222" s="159">
        <f t="shared" si="82"/>
        <v>0</v>
      </c>
      <c r="M222" s="42"/>
      <c r="N222" s="1"/>
      <c r="O222" s="1"/>
      <c r="P222" s="1"/>
      <c r="Q222" s="1"/>
      <c r="R222" s="1"/>
      <c r="S222" s="72"/>
      <c r="T222" s="1"/>
      <c r="U222" s="78"/>
      <c r="V222" s="78"/>
      <c r="W222" s="1"/>
      <c r="X222" s="78"/>
      <c r="Y222" s="78"/>
      <c r="Z222" s="44"/>
      <c r="AA222" s="343"/>
      <c r="AB222" s="78"/>
      <c r="AC222" s="78"/>
      <c r="AD222" s="44"/>
    </row>
    <row r="223" spans="1:30" ht="15" hidden="1" customHeight="1" x14ac:dyDescent="0.25">
      <c r="B223" s="54"/>
      <c r="C223" s="2"/>
      <c r="D223" s="624" t="s">
        <v>822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85"/>
        <v>0</v>
      </c>
      <c r="K223" s="141"/>
      <c r="L223" s="159">
        <f t="shared" si="82"/>
        <v>0</v>
      </c>
      <c r="M223" s="42"/>
      <c r="N223" s="1"/>
      <c r="O223" s="1"/>
      <c r="P223" s="1"/>
      <c r="Q223" s="1"/>
      <c r="R223" s="1"/>
      <c r="S223" s="72"/>
      <c r="T223" s="1"/>
      <c r="U223" s="78"/>
      <c r="V223" s="78"/>
      <c r="W223" s="1"/>
      <c r="X223" s="78"/>
      <c r="Y223" s="78"/>
      <c r="Z223" s="44"/>
      <c r="AA223" s="343"/>
      <c r="AB223" s="78"/>
      <c r="AC223" s="78"/>
      <c r="AD223" s="44"/>
    </row>
    <row r="224" spans="1:30" ht="15" hidden="1" customHeight="1" x14ac:dyDescent="0.25">
      <c r="B224" s="54"/>
      <c r="C224" s="2"/>
      <c r="D224" s="624" t="s">
        <v>374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85"/>
        <v>0</v>
      </c>
      <c r="K224" s="141"/>
      <c r="L224" s="159">
        <f t="shared" si="82"/>
        <v>0</v>
      </c>
      <c r="M224" s="42"/>
      <c r="N224" s="1"/>
      <c r="O224" s="1"/>
      <c r="P224" s="1"/>
      <c r="Q224" s="1"/>
      <c r="R224" s="1"/>
      <c r="S224" s="72"/>
      <c r="T224" s="1"/>
      <c r="U224" s="78"/>
      <c r="V224" s="78"/>
      <c r="W224" s="1"/>
      <c r="X224" s="78"/>
      <c r="Y224" s="78"/>
      <c r="Z224" s="44"/>
      <c r="AA224" s="343"/>
      <c r="AB224" s="78"/>
      <c r="AC224" s="78"/>
      <c r="AD224" s="44"/>
    </row>
    <row r="225" spans="1:30" ht="15" hidden="1" customHeight="1" x14ac:dyDescent="0.25">
      <c r="B225" s="54"/>
      <c r="C225" s="2"/>
      <c r="D225" s="624" t="s">
        <v>823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85"/>
        <v>0</v>
      </c>
      <c r="K225" s="141"/>
      <c r="L225" s="159">
        <f t="shared" si="82"/>
        <v>0</v>
      </c>
      <c r="M225" s="42"/>
      <c r="N225" s="1"/>
      <c r="O225" s="1"/>
      <c r="P225" s="1"/>
      <c r="Q225" s="1"/>
      <c r="R225" s="1"/>
      <c r="S225" s="72"/>
      <c r="T225" s="1"/>
      <c r="U225" s="78"/>
      <c r="V225" s="78"/>
      <c r="W225" s="1"/>
      <c r="X225" s="78"/>
      <c r="Y225" s="78"/>
      <c r="Z225" s="44"/>
      <c r="AA225" s="343"/>
      <c r="AB225" s="78"/>
      <c r="AC225" s="78"/>
      <c r="AD225" s="44"/>
    </row>
    <row r="226" spans="1:30" ht="15" hidden="1" customHeight="1" x14ac:dyDescent="0.25">
      <c r="B226" s="54"/>
      <c r="C226" s="2"/>
      <c r="D226" s="624" t="s">
        <v>566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85"/>
        <v>0</v>
      </c>
      <c r="K226" s="141"/>
      <c r="L226" s="159">
        <f t="shared" si="82"/>
        <v>0</v>
      </c>
      <c r="M226" s="42"/>
      <c r="N226" s="1"/>
      <c r="O226" s="1"/>
      <c r="P226" s="1"/>
      <c r="Q226" s="1"/>
      <c r="R226" s="1"/>
      <c r="S226" s="72"/>
      <c r="T226" s="1"/>
      <c r="U226" s="78"/>
      <c r="V226" s="78"/>
      <c r="W226" s="1"/>
      <c r="X226" s="78"/>
      <c r="Y226" s="78"/>
      <c r="Z226" s="44"/>
      <c r="AA226" s="343"/>
      <c r="AB226" s="78"/>
      <c r="AC226" s="78"/>
      <c r="AD226" s="44"/>
    </row>
    <row r="227" spans="1:30" s="18" customFormat="1" ht="15" hidden="1" customHeight="1" x14ac:dyDescent="0.25">
      <c r="A227" s="118" t="s">
        <v>278</v>
      </c>
      <c r="B227" s="88" t="s">
        <v>688</v>
      </c>
      <c r="C227" s="626" t="s">
        <v>279</v>
      </c>
      <c r="D227" s="627"/>
      <c r="E227" s="627"/>
      <c r="F227" s="158">
        <v>0</v>
      </c>
      <c r="G227" s="341">
        <v>0</v>
      </c>
      <c r="H227" s="311">
        <v>0</v>
      </c>
      <c r="I227" s="509">
        <v>0</v>
      </c>
      <c r="J227" s="233">
        <f t="shared" si="85"/>
        <v>0</v>
      </c>
      <c r="K227" s="142"/>
      <c r="L227" s="158">
        <f t="shared" si="82"/>
        <v>0</v>
      </c>
      <c r="M227" s="93"/>
      <c r="N227" s="91"/>
      <c r="O227" s="91"/>
      <c r="P227" s="91"/>
      <c r="Q227" s="91"/>
      <c r="R227" s="91"/>
      <c r="S227" s="90"/>
      <c r="T227" s="91"/>
      <c r="U227" s="94"/>
      <c r="V227" s="94"/>
      <c r="W227" s="91"/>
      <c r="X227" s="94"/>
      <c r="Y227" s="94"/>
      <c r="Z227" s="95"/>
      <c r="AA227" s="341"/>
      <c r="AB227" s="94"/>
      <c r="AC227" s="94"/>
      <c r="AD227" s="95"/>
    </row>
    <row r="228" spans="1:30" s="18" customFormat="1" ht="15" hidden="1" customHeight="1" x14ac:dyDescent="0.25">
      <c r="A228" s="118" t="s">
        <v>280</v>
      </c>
      <c r="B228" s="88" t="s">
        <v>689</v>
      </c>
      <c r="C228" s="626" t="s">
        <v>281</v>
      </c>
      <c r="D228" s="627"/>
      <c r="E228" s="627"/>
      <c r="F228" s="158">
        <v>0</v>
      </c>
      <c r="G228" s="341">
        <v>0</v>
      </c>
      <c r="H228" s="311">
        <v>0</v>
      </c>
      <c r="I228" s="509">
        <v>0</v>
      </c>
      <c r="J228" s="233">
        <f t="shared" si="85"/>
        <v>0</v>
      </c>
      <c r="K228" s="142"/>
      <c r="L228" s="158">
        <f t="shared" si="82"/>
        <v>0</v>
      </c>
      <c r="M228" s="93"/>
      <c r="N228" s="91"/>
      <c r="O228" s="91"/>
      <c r="P228" s="91"/>
      <c r="Q228" s="91"/>
      <c r="R228" s="91"/>
      <c r="S228" s="90"/>
      <c r="T228" s="91"/>
      <c r="U228" s="94"/>
      <c r="V228" s="94"/>
      <c r="W228" s="91"/>
      <c r="X228" s="94"/>
      <c r="Y228" s="94"/>
      <c r="Z228" s="95"/>
      <c r="AA228" s="341"/>
      <c r="AB228" s="94"/>
      <c r="AC228" s="94"/>
      <c r="AD228" s="95"/>
    </row>
    <row r="229" spans="1:30" s="18" customFormat="1" x14ac:dyDescent="0.25">
      <c r="A229" s="118" t="s">
        <v>282</v>
      </c>
      <c r="B229" s="88" t="s">
        <v>690</v>
      </c>
      <c r="C229" s="626" t="s">
        <v>283</v>
      </c>
      <c r="D229" s="627"/>
      <c r="E229" s="627"/>
      <c r="F229" s="158">
        <v>50000</v>
      </c>
      <c r="G229" s="341">
        <v>50000</v>
      </c>
      <c r="H229" s="311">
        <v>50000</v>
      </c>
      <c r="I229" s="509">
        <v>50000</v>
      </c>
      <c r="J229" s="233">
        <f>J230+J231+J232+J233+J234+J235+J236+J237+J238+J239</f>
        <v>50000</v>
      </c>
      <c r="K229" s="142">
        <f t="shared" ref="K229:AD229" si="86">K230+K231+K232+K233+K234+K235+K236+K237+K238+K239</f>
        <v>0</v>
      </c>
      <c r="L229" s="158">
        <f t="shared" si="82"/>
        <v>50000</v>
      </c>
      <c r="M229" s="93">
        <f t="shared" ref="M229:R229" si="87">M230+M231+M232+M233+M234+M235+M236+M237+M238+M239</f>
        <v>0</v>
      </c>
      <c r="N229" s="91">
        <f t="shared" si="87"/>
        <v>50000</v>
      </c>
      <c r="O229" s="91">
        <f t="shared" si="87"/>
        <v>0</v>
      </c>
      <c r="P229" s="91">
        <f t="shared" si="87"/>
        <v>0</v>
      </c>
      <c r="Q229" s="91"/>
      <c r="R229" s="91">
        <f t="shared" si="87"/>
        <v>0</v>
      </c>
      <c r="S229" s="90">
        <f t="shared" si="86"/>
        <v>0</v>
      </c>
      <c r="T229" s="91">
        <f t="shared" si="86"/>
        <v>0</v>
      </c>
      <c r="U229" s="94">
        <f t="shared" si="86"/>
        <v>0</v>
      </c>
      <c r="V229" s="94">
        <f t="shared" si="86"/>
        <v>0</v>
      </c>
      <c r="W229" s="91">
        <f t="shared" si="86"/>
        <v>0</v>
      </c>
      <c r="X229" s="94">
        <f t="shared" si="86"/>
        <v>0</v>
      </c>
      <c r="Y229" s="94">
        <f t="shared" si="86"/>
        <v>0</v>
      </c>
      <c r="Z229" s="95">
        <f t="shared" si="86"/>
        <v>0</v>
      </c>
      <c r="AA229" s="341">
        <f t="shared" si="86"/>
        <v>0</v>
      </c>
      <c r="AB229" s="94">
        <f t="shared" si="86"/>
        <v>50000</v>
      </c>
      <c r="AC229" s="94">
        <f t="shared" si="86"/>
        <v>0</v>
      </c>
      <c r="AD229" s="95">
        <f t="shared" si="86"/>
        <v>0</v>
      </c>
    </row>
    <row r="230" spans="1:30" ht="15" hidden="1" customHeight="1" x14ac:dyDescent="0.25">
      <c r="B230" s="54"/>
      <c r="C230" s="2"/>
      <c r="D230" s="624" t="s">
        <v>376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88">SUM(S230:AD230)</f>
        <v>0</v>
      </c>
      <c r="K230" s="141"/>
      <c r="L230" s="159">
        <f t="shared" si="82"/>
        <v>0</v>
      </c>
      <c r="M230" s="42"/>
      <c r="N230" s="1"/>
      <c r="O230" s="1"/>
      <c r="P230" s="1"/>
      <c r="Q230" s="1"/>
      <c r="R230" s="1"/>
      <c r="S230" s="72"/>
      <c r="T230" s="1"/>
      <c r="U230" s="78"/>
      <c r="V230" s="78"/>
      <c r="W230" s="1"/>
      <c r="X230" s="78"/>
      <c r="Y230" s="78"/>
      <c r="Z230" s="44"/>
      <c r="AA230" s="343"/>
      <c r="AB230" s="78"/>
      <c r="AC230" s="78"/>
      <c r="AD230" s="44"/>
    </row>
    <row r="231" spans="1:30" ht="15" hidden="1" customHeight="1" x14ac:dyDescent="0.25">
      <c r="B231" s="54"/>
      <c r="C231" s="2"/>
      <c r="D231" s="624" t="s">
        <v>377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88"/>
        <v>0</v>
      </c>
      <c r="K231" s="141"/>
      <c r="L231" s="159">
        <f t="shared" si="82"/>
        <v>0</v>
      </c>
      <c r="M231" s="42"/>
      <c r="N231" s="1"/>
      <c r="O231" s="1"/>
      <c r="P231" s="1"/>
      <c r="Q231" s="1"/>
      <c r="R231" s="1"/>
      <c r="S231" s="72"/>
      <c r="T231" s="1"/>
      <c r="U231" s="78"/>
      <c r="V231" s="78"/>
      <c r="W231" s="1"/>
      <c r="X231" s="78"/>
      <c r="Y231" s="78"/>
      <c r="Z231" s="44"/>
      <c r="AA231" s="343"/>
      <c r="AB231" s="78"/>
      <c r="AC231" s="78"/>
      <c r="AD231" s="44"/>
    </row>
    <row r="232" spans="1:30" ht="15.75" thickBot="1" x14ac:dyDescent="0.3">
      <c r="B232" s="54"/>
      <c r="C232" s="2"/>
      <c r="D232" s="624" t="s">
        <v>378</v>
      </c>
      <c r="E232" s="624"/>
      <c r="F232" s="159">
        <v>50000</v>
      </c>
      <c r="G232" s="343">
        <v>50000</v>
      </c>
      <c r="H232" s="313">
        <v>50000</v>
      </c>
      <c r="I232" s="513">
        <v>50000</v>
      </c>
      <c r="J232" s="232">
        <f>SUM(S232:AD232)</f>
        <v>50000</v>
      </c>
      <c r="K232" s="141"/>
      <c r="L232" s="159">
        <f t="shared" si="82"/>
        <v>50000</v>
      </c>
      <c r="M232" s="42"/>
      <c r="N232" s="1">
        <f>L232</f>
        <v>50000</v>
      </c>
      <c r="O232" s="1"/>
      <c r="P232" s="1"/>
      <c r="Q232" s="1"/>
      <c r="R232" s="1"/>
      <c r="S232" s="72"/>
      <c r="T232" s="1"/>
      <c r="U232" s="78"/>
      <c r="V232" s="78"/>
      <c r="W232" s="1"/>
      <c r="X232" s="78"/>
      <c r="Y232" s="78"/>
      <c r="Z232" s="44"/>
      <c r="AA232" s="343"/>
      <c r="AB232" s="78">
        <v>50000</v>
      </c>
      <c r="AC232" s="78"/>
      <c r="AD232" s="44"/>
    </row>
    <row r="233" spans="1:30" ht="15.75" hidden="1" customHeight="1" thickBot="1" x14ac:dyDescent="0.3">
      <c r="B233" s="54"/>
      <c r="C233" s="2"/>
      <c r="D233" s="624" t="s">
        <v>379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88"/>
        <v>0</v>
      </c>
      <c r="K233" s="141"/>
      <c r="L233" s="159">
        <f t="shared" si="82"/>
        <v>0</v>
      </c>
      <c r="M233" s="42"/>
      <c r="N233" s="1"/>
      <c r="O233" s="1"/>
      <c r="P233" s="1"/>
      <c r="Q233" s="1"/>
      <c r="R233" s="1"/>
      <c r="S233" s="72"/>
      <c r="T233" s="1"/>
      <c r="U233" s="78"/>
      <c r="V233" s="78"/>
      <c r="W233" s="1"/>
      <c r="X233" s="78"/>
      <c r="Y233" s="78"/>
      <c r="Z233" s="44"/>
      <c r="AA233" s="343"/>
      <c r="AB233" s="78"/>
      <c r="AC233" s="78"/>
      <c r="AD233" s="44"/>
    </row>
    <row r="234" spans="1:30" ht="15.75" hidden="1" customHeight="1" thickBot="1" x14ac:dyDescent="0.3">
      <c r="B234" s="54"/>
      <c r="C234" s="2"/>
      <c r="D234" s="624" t="s">
        <v>380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88"/>
        <v>0</v>
      </c>
      <c r="K234" s="141"/>
      <c r="L234" s="159">
        <f t="shared" si="82"/>
        <v>0</v>
      </c>
      <c r="M234" s="42"/>
      <c r="N234" s="1"/>
      <c r="O234" s="1"/>
      <c r="P234" s="1"/>
      <c r="Q234" s="1"/>
      <c r="R234" s="1"/>
      <c r="S234" s="72"/>
      <c r="T234" s="1"/>
      <c r="U234" s="78"/>
      <c r="V234" s="78"/>
      <c r="W234" s="1"/>
      <c r="X234" s="78"/>
      <c r="Y234" s="78"/>
      <c r="Z234" s="44"/>
      <c r="AA234" s="343"/>
      <c r="AB234" s="78"/>
      <c r="AC234" s="78"/>
      <c r="AD234" s="44"/>
    </row>
    <row r="235" spans="1:30" ht="25.5" hidden="1" customHeight="1" x14ac:dyDescent="0.25">
      <c r="B235" s="54"/>
      <c r="C235" s="2"/>
      <c r="D235" s="625" t="s">
        <v>538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88"/>
        <v>0</v>
      </c>
      <c r="K235" s="151"/>
      <c r="L235" s="159">
        <f t="shared" si="82"/>
        <v>0</v>
      </c>
      <c r="M235" s="42"/>
      <c r="N235" s="1"/>
      <c r="O235" s="1"/>
      <c r="P235" s="1"/>
      <c r="Q235" s="1"/>
      <c r="R235" s="1"/>
      <c r="S235" s="72"/>
      <c r="T235" s="1"/>
      <c r="U235" s="78"/>
      <c r="V235" s="78"/>
      <c r="W235" s="1"/>
      <c r="X235" s="78"/>
      <c r="Y235" s="78"/>
      <c r="Z235" s="44"/>
      <c r="AA235" s="343"/>
      <c r="AB235" s="78"/>
      <c r="AC235" s="78"/>
      <c r="AD235" s="44"/>
    </row>
    <row r="236" spans="1:30" ht="25.5" hidden="1" customHeight="1" x14ac:dyDescent="0.25">
      <c r="B236" s="54"/>
      <c r="C236" s="2"/>
      <c r="D236" s="625" t="s">
        <v>541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88"/>
        <v>0</v>
      </c>
      <c r="K236" s="151"/>
      <c r="L236" s="159">
        <f t="shared" si="82"/>
        <v>0</v>
      </c>
      <c r="M236" s="42"/>
      <c r="N236" s="1"/>
      <c r="O236" s="1"/>
      <c r="P236" s="1"/>
      <c r="Q236" s="1"/>
      <c r="R236" s="1"/>
      <c r="S236" s="72"/>
      <c r="T236" s="1"/>
      <c r="U236" s="78"/>
      <c r="V236" s="78"/>
      <c r="W236" s="1"/>
      <c r="X236" s="78"/>
      <c r="Y236" s="78"/>
      <c r="Z236" s="44"/>
      <c r="AA236" s="343"/>
      <c r="AB236" s="78"/>
      <c r="AC236" s="78"/>
      <c r="AD236" s="44"/>
    </row>
    <row r="237" spans="1:30" ht="15.75" hidden="1" customHeight="1" thickBot="1" x14ac:dyDescent="0.3">
      <c r="B237" s="54"/>
      <c r="C237" s="2"/>
      <c r="D237" s="624" t="s">
        <v>381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88"/>
        <v>0</v>
      </c>
      <c r="K237" s="141"/>
      <c r="L237" s="159">
        <f t="shared" si="82"/>
        <v>0</v>
      </c>
      <c r="M237" s="42"/>
      <c r="N237" s="1"/>
      <c r="O237" s="1"/>
      <c r="P237" s="1"/>
      <c r="Q237" s="1"/>
      <c r="R237" s="1"/>
      <c r="S237" s="72"/>
      <c r="T237" s="1"/>
      <c r="U237" s="78"/>
      <c r="V237" s="78"/>
      <c r="W237" s="1"/>
      <c r="X237" s="78"/>
      <c r="Y237" s="78"/>
      <c r="Z237" s="44"/>
      <c r="AA237" s="343"/>
      <c r="AB237" s="78"/>
      <c r="AC237" s="78"/>
      <c r="AD237" s="44"/>
    </row>
    <row r="238" spans="1:30" ht="15.75" hidden="1" customHeight="1" thickBot="1" x14ac:dyDescent="0.3">
      <c r="B238" s="54"/>
      <c r="C238" s="2"/>
      <c r="D238" s="624" t="s">
        <v>382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88"/>
        <v>0</v>
      </c>
      <c r="K238" s="141"/>
      <c r="L238" s="159">
        <f t="shared" si="82"/>
        <v>0</v>
      </c>
      <c r="M238" s="42"/>
      <c r="N238" s="1"/>
      <c r="O238" s="1"/>
      <c r="P238" s="1"/>
      <c r="Q238" s="1"/>
      <c r="R238" s="1"/>
      <c r="S238" s="72"/>
      <c r="T238" s="1"/>
      <c r="U238" s="78"/>
      <c r="V238" s="78"/>
      <c r="W238" s="1"/>
      <c r="X238" s="78"/>
      <c r="Y238" s="78"/>
      <c r="Z238" s="44"/>
      <c r="AA238" s="343"/>
      <c r="AB238" s="78"/>
      <c r="AC238" s="78"/>
      <c r="AD238" s="44"/>
    </row>
    <row r="239" spans="1:30" ht="15.75" hidden="1" customHeight="1" thickBot="1" x14ac:dyDescent="0.3">
      <c r="B239" s="56"/>
      <c r="C239" s="20"/>
      <c r="D239" s="631" t="s">
        <v>567</v>
      </c>
      <c r="E239" s="631"/>
      <c r="F239" s="159">
        <v>0</v>
      </c>
      <c r="G239" s="467">
        <v>0</v>
      </c>
      <c r="H239" s="486">
        <v>0</v>
      </c>
      <c r="I239" s="514">
        <v>0</v>
      </c>
      <c r="J239" s="234">
        <f t="shared" si="88"/>
        <v>0</v>
      </c>
      <c r="K239" s="143"/>
      <c r="L239" s="159">
        <f t="shared" si="82"/>
        <v>0</v>
      </c>
      <c r="M239" s="42"/>
      <c r="N239" s="1"/>
      <c r="O239" s="1"/>
      <c r="P239" s="1"/>
      <c r="Q239" s="1"/>
      <c r="R239" s="1"/>
      <c r="S239" s="72"/>
      <c r="T239" s="1"/>
      <c r="U239" s="78"/>
      <c r="V239" s="78"/>
      <c r="W239" s="1"/>
      <c r="X239" s="78"/>
      <c r="Y239" s="78"/>
      <c r="Z239" s="44"/>
      <c r="AA239" s="343"/>
      <c r="AB239" s="78"/>
      <c r="AC239" s="78"/>
      <c r="AD239" s="44"/>
    </row>
    <row r="240" spans="1:30" ht="15.75" thickBot="1" x14ac:dyDescent="0.3">
      <c r="B240" s="96" t="s">
        <v>284</v>
      </c>
      <c r="C240" s="632" t="s">
        <v>285</v>
      </c>
      <c r="D240" s="633"/>
      <c r="E240" s="633"/>
      <c r="F240" s="156">
        <v>748453</v>
      </c>
      <c r="G240" s="338">
        <v>748453</v>
      </c>
      <c r="H240" s="308">
        <v>748453</v>
      </c>
      <c r="I240" s="506">
        <v>748453</v>
      </c>
      <c r="J240" s="235">
        <f>J241+J262+J268+J269</f>
        <v>748453</v>
      </c>
      <c r="K240" s="144">
        <f t="shared" ref="K240:AD240" si="89">K241+K262+K268+K269</f>
        <v>0</v>
      </c>
      <c r="L240" s="156">
        <f t="shared" si="82"/>
        <v>748453</v>
      </c>
      <c r="M240" s="85">
        <f t="shared" ref="M240:R240" si="90">M241+M262+M268+M269</f>
        <v>748453</v>
      </c>
      <c r="N240" s="83">
        <f t="shared" si="90"/>
        <v>0</v>
      </c>
      <c r="O240" s="83">
        <f t="shared" si="90"/>
        <v>0</v>
      </c>
      <c r="P240" s="83">
        <f t="shared" si="90"/>
        <v>0</v>
      </c>
      <c r="Q240" s="83"/>
      <c r="R240" s="83">
        <f t="shared" si="90"/>
        <v>0</v>
      </c>
      <c r="S240" s="82">
        <f t="shared" si="89"/>
        <v>748453</v>
      </c>
      <c r="T240" s="83">
        <f t="shared" si="89"/>
        <v>0</v>
      </c>
      <c r="U240" s="86">
        <f t="shared" si="89"/>
        <v>0</v>
      </c>
      <c r="V240" s="86">
        <f t="shared" si="89"/>
        <v>0</v>
      </c>
      <c r="W240" s="83">
        <f t="shared" si="89"/>
        <v>0</v>
      </c>
      <c r="X240" s="86">
        <f t="shared" si="89"/>
        <v>0</v>
      </c>
      <c r="Y240" s="86">
        <f t="shared" si="89"/>
        <v>0</v>
      </c>
      <c r="Z240" s="87">
        <f t="shared" si="89"/>
        <v>0</v>
      </c>
      <c r="AA240" s="338">
        <f t="shared" si="89"/>
        <v>0</v>
      </c>
      <c r="AB240" s="86">
        <f t="shared" si="89"/>
        <v>0</v>
      </c>
      <c r="AC240" s="86">
        <f t="shared" si="89"/>
        <v>0</v>
      </c>
      <c r="AD240" s="87">
        <f t="shared" si="89"/>
        <v>0</v>
      </c>
    </row>
    <row r="241" spans="1:30" ht="15" hidden="1" customHeight="1" x14ac:dyDescent="0.25">
      <c r="B241" s="108" t="s">
        <v>691</v>
      </c>
      <c r="C241" s="634" t="s">
        <v>286</v>
      </c>
      <c r="D241" s="635"/>
      <c r="E241" s="635"/>
      <c r="F241" s="157">
        <v>748453</v>
      </c>
      <c r="G241" s="339">
        <v>748453</v>
      </c>
      <c r="H241" s="309">
        <v>748453</v>
      </c>
      <c r="I241" s="507">
        <v>748453</v>
      </c>
      <c r="J241" s="231">
        <f>J242+J246+J253+J254+J255+J256+J257+J258+J259</f>
        <v>748453</v>
      </c>
      <c r="K241" s="140">
        <f t="shared" ref="K241:AD241" si="91">K242+K246+K253+K254+K255+K256+K257+K258+K259</f>
        <v>0</v>
      </c>
      <c r="L241" s="157">
        <f t="shared" si="82"/>
        <v>748453</v>
      </c>
      <c r="M241" s="112">
        <f t="shared" ref="M241:R241" si="92">M242+M246+M253+M254+M255+M256+M257+M258+M259</f>
        <v>748453</v>
      </c>
      <c r="N241" s="110">
        <f t="shared" si="92"/>
        <v>0</v>
      </c>
      <c r="O241" s="110">
        <f t="shared" si="92"/>
        <v>0</v>
      </c>
      <c r="P241" s="110">
        <f t="shared" si="92"/>
        <v>0</v>
      </c>
      <c r="Q241" s="110"/>
      <c r="R241" s="110">
        <f t="shared" si="92"/>
        <v>0</v>
      </c>
      <c r="S241" s="109">
        <f t="shared" si="91"/>
        <v>748453</v>
      </c>
      <c r="T241" s="110">
        <f t="shared" si="91"/>
        <v>0</v>
      </c>
      <c r="U241" s="113">
        <f t="shared" si="91"/>
        <v>0</v>
      </c>
      <c r="V241" s="113">
        <f t="shared" si="91"/>
        <v>0</v>
      </c>
      <c r="W241" s="110">
        <f t="shared" si="91"/>
        <v>0</v>
      </c>
      <c r="X241" s="113">
        <f t="shared" si="91"/>
        <v>0</v>
      </c>
      <c r="Y241" s="113">
        <f t="shared" si="91"/>
        <v>0</v>
      </c>
      <c r="Z241" s="114">
        <f t="shared" si="91"/>
        <v>0</v>
      </c>
      <c r="AA241" s="339">
        <f t="shared" si="91"/>
        <v>0</v>
      </c>
      <c r="AB241" s="113">
        <f t="shared" si="91"/>
        <v>0</v>
      </c>
      <c r="AC241" s="113">
        <f t="shared" si="91"/>
        <v>0</v>
      </c>
      <c r="AD241" s="114">
        <f t="shared" si="91"/>
        <v>0</v>
      </c>
    </row>
    <row r="242" spans="1:30" s="18" customFormat="1" ht="15" hidden="1" customHeight="1" x14ac:dyDescent="0.25">
      <c r="A242" s="118"/>
      <c r="B242" s="53" t="s">
        <v>692</v>
      </c>
      <c r="C242" s="628" t="s">
        <v>287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D242" si="93">K243+K244+K245</f>
        <v>0</v>
      </c>
      <c r="L242" s="160">
        <f t="shared" si="82"/>
        <v>0</v>
      </c>
      <c r="M242" s="43">
        <f t="shared" ref="M242:R242" si="94">M243+M244+M245</f>
        <v>0</v>
      </c>
      <c r="N242" s="13">
        <f t="shared" si="94"/>
        <v>0</v>
      </c>
      <c r="O242" s="13">
        <f t="shared" si="94"/>
        <v>0</v>
      </c>
      <c r="P242" s="13">
        <f t="shared" si="94"/>
        <v>0</v>
      </c>
      <c r="Q242" s="13"/>
      <c r="R242" s="13">
        <f t="shared" si="94"/>
        <v>0</v>
      </c>
      <c r="S242" s="74">
        <f t="shared" si="93"/>
        <v>0</v>
      </c>
      <c r="T242" s="13">
        <f t="shared" si="93"/>
        <v>0</v>
      </c>
      <c r="U242" s="79">
        <f t="shared" si="93"/>
        <v>0</v>
      </c>
      <c r="V242" s="79">
        <f t="shared" si="93"/>
        <v>0</v>
      </c>
      <c r="W242" s="13">
        <f t="shared" si="93"/>
        <v>0</v>
      </c>
      <c r="X242" s="79">
        <f t="shared" si="93"/>
        <v>0</v>
      </c>
      <c r="Y242" s="79">
        <f t="shared" si="93"/>
        <v>0</v>
      </c>
      <c r="Z242" s="45">
        <f t="shared" si="93"/>
        <v>0</v>
      </c>
      <c r="AA242" s="342">
        <f t="shared" si="93"/>
        <v>0</v>
      </c>
      <c r="AB242" s="79">
        <f t="shared" si="93"/>
        <v>0</v>
      </c>
      <c r="AC242" s="79">
        <f t="shared" si="93"/>
        <v>0</v>
      </c>
      <c r="AD242" s="45">
        <f t="shared" si="93"/>
        <v>0</v>
      </c>
    </row>
    <row r="243" spans="1:30" s="199" customFormat="1" ht="15" hidden="1" customHeight="1" x14ac:dyDescent="0.25">
      <c r="A243" s="118" t="s">
        <v>288</v>
      </c>
      <c r="B243" s="181" t="s">
        <v>693</v>
      </c>
      <c r="C243" s="228"/>
      <c r="D243" s="724" t="s">
        <v>705</v>
      </c>
      <c r="E243" s="724"/>
      <c r="F243" s="183">
        <v>0</v>
      </c>
      <c r="G243" s="340">
        <v>0</v>
      </c>
      <c r="H243" s="310">
        <v>0</v>
      </c>
      <c r="I243" s="508">
        <v>0</v>
      </c>
      <c r="J243" s="268">
        <f>SUM(S243:AD243)</f>
        <v>0</v>
      </c>
      <c r="K243" s="269"/>
      <c r="L243" s="183">
        <f t="shared" si="82"/>
        <v>0</v>
      </c>
      <c r="M243" s="184"/>
      <c r="N243" s="185"/>
      <c r="O243" s="185"/>
      <c r="P243" s="185"/>
      <c r="Q243" s="185"/>
      <c r="R243" s="185"/>
      <c r="S243" s="191"/>
      <c r="T243" s="185"/>
      <c r="U243" s="186"/>
      <c r="V243" s="186"/>
      <c r="W243" s="185"/>
      <c r="X243" s="186"/>
      <c r="Y243" s="186"/>
      <c r="Z243" s="187"/>
      <c r="AA243" s="340"/>
      <c r="AB243" s="186"/>
      <c r="AC243" s="186"/>
      <c r="AD243" s="187"/>
    </row>
    <row r="244" spans="1:30" s="199" customFormat="1" ht="15" hidden="1" customHeight="1" x14ac:dyDescent="0.25">
      <c r="A244" s="118" t="s">
        <v>289</v>
      </c>
      <c r="B244" s="181" t="s">
        <v>694</v>
      </c>
      <c r="C244" s="190"/>
      <c r="D244" s="630" t="s">
        <v>706</v>
      </c>
      <c r="E244" s="630"/>
      <c r="F244" s="183">
        <v>0</v>
      </c>
      <c r="G244" s="340">
        <v>0</v>
      </c>
      <c r="H244" s="310">
        <v>0</v>
      </c>
      <c r="I244" s="508">
        <v>0</v>
      </c>
      <c r="J244" s="251">
        <f>SUM(S244:AD244)</f>
        <v>0</v>
      </c>
      <c r="K244" s="182"/>
      <c r="L244" s="183">
        <f t="shared" si="82"/>
        <v>0</v>
      </c>
      <c r="M244" s="184"/>
      <c r="N244" s="185"/>
      <c r="O244" s="185"/>
      <c r="P244" s="185"/>
      <c r="Q244" s="185"/>
      <c r="R244" s="185"/>
      <c r="S244" s="191"/>
      <c r="T244" s="185"/>
      <c r="U244" s="186"/>
      <c r="V244" s="186"/>
      <c r="W244" s="185"/>
      <c r="X244" s="186"/>
      <c r="Y244" s="186"/>
      <c r="Z244" s="187"/>
      <c r="AA244" s="340"/>
      <c r="AB244" s="186"/>
      <c r="AC244" s="186"/>
      <c r="AD244" s="187"/>
    </row>
    <row r="245" spans="1:30" s="199" customFormat="1" ht="15" hidden="1" customHeight="1" x14ac:dyDescent="0.25">
      <c r="A245" s="118" t="s">
        <v>290</v>
      </c>
      <c r="B245" s="181" t="s">
        <v>695</v>
      </c>
      <c r="C245" s="190"/>
      <c r="D245" s="630" t="s">
        <v>707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SUM(S245:AD245)</f>
        <v>0</v>
      </c>
      <c r="K245" s="182"/>
      <c r="L245" s="183">
        <f t="shared" si="82"/>
        <v>0</v>
      </c>
      <c r="M245" s="184"/>
      <c r="N245" s="185"/>
      <c r="O245" s="185"/>
      <c r="P245" s="185"/>
      <c r="Q245" s="185"/>
      <c r="R245" s="185"/>
      <c r="S245" s="191"/>
      <c r="T245" s="185"/>
      <c r="U245" s="186"/>
      <c r="V245" s="186"/>
      <c r="W245" s="185"/>
      <c r="X245" s="186"/>
      <c r="Y245" s="186"/>
      <c r="Z245" s="187"/>
      <c r="AA245" s="340"/>
      <c r="AB245" s="186"/>
      <c r="AC245" s="186"/>
      <c r="AD245" s="187"/>
    </row>
    <row r="246" spans="1:30" s="18" customFormat="1" ht="15" hidden="1" customHeight="1" x14ac:dyDescent="0.25">
      <c r="A246" s="118"/>
      <c r="B246" s="53" t="s">
        <v>696</v>
      </c>
      <c r="C246" s="628" t="s">
        <v>291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D246" si="95">K247+K248+K249+K250+K251+K252</f>
        <v>0</v>
      </c>
      <c r="L246" s="160">
        <f t="shared" si="82"/>
        <v>0</v>
      </c>
      <c r="M246" s="43">
        <f t="shared" ref="M246:R246" si="96">M247+M248+M249+M250+M251+M252</f>
        <v>0</v>
      </c>
      <c r="N246" s="13">
        <f t="shared" si="96"/>
        <v>0</v>
      </c>
      <c r="O246" s="13">
        <f t="shared" si="96"/>
        <v>0</v>
      </c>
      <c r="P246" s="13">
        <f t="shared" si="96"/>
        <v>0</v>
      </c>
      <c r="Q246" s="13"/>
      <c r="R246" s="13">
        <f t="shared" si="96"/>
        <v>0</v>
      </c>
      <c r="S246" s="74">
        <f t="shared" si="95"/>
        <v>0</v>
      </c>
      <c r="T246" s="13">
        <f t="shared" si="95"/>
        <v>0</v>
      </c>
      <c r="U246" s="79">
        <f t="shared" si="95"/>
        <v>0</v>
      </c>
      <c r="V246" s="79">
        <f t="shared" si="95"/>
        <v>0</v>
      </c>
      <c r="W246" s="13">
        <f t="shared" si="95"/>
        <v>0</v>
      </c>
      <c r="X246" s="79">
        <f t="shared" si="95"/>
        <v>0</v>
      </c>
      <c r="Y246" s="79">
        <f t="shared" si="95"/>
        <v>0</v>
      </c>
      <c r="Z246" s="45">
        <f t="shared" si="95"/>
        <v>0</v>
      </c>
      <c r="AA246" s="342">
        <f t="shared" si="95"/>
        <v>0</v>
      </c>
      <c r="AB246" s="79">
        <f t="shared" si="95"/>
        <v>0</v>
      </c>
      <c r="AC246" s="79">
        <f t="shared" si="95"/>
        <v>0</v>
      </c>
      <c r="AD246" s="45">
        <f t="shared" si="95"/>
        <v>0</v>
      </c>
    </row>
    <row r="247" spans="1:30" s="199" customFormat="1" ht="15" hidden="1" customHeight="1" x14ac:dyDescent="0.25">
      <c r="A247" s="118" t="s">
        <v>292</v>
      </c>
      <c r="B247" s="181" t="s">
        <v>697</v>
      </c>
      <c r="C247" s="190"/>
      <c r="D247" s="630" t="s">
        <v>383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97">SUM(S247:AD247)</f>
        <v>0</v>
      </c>
      <c r="K247" s="182"/>
      <c r="L247" s="183">
        <f t="shared" si="82"/>
        <v>0</v>
      </c>
      <c r="M247" s="184"/>
      <c r="N247" s="185"/>
      <c r="O247" s="185"/>
      <c r="P247" s="185"/>
      <c r="Q247" s="185"/>
      <c r="R247" s="185"/>
      <c r="S247" s="191"/>
      <c r="T247" s="185"/>
      <c r="U247" s="186"/>
      <c r="V247" s="186"/>
      <c r="W247" s="185"/>
      <c r="X247" s="186"/>
      <c r="Y247" s="186"/>
      <c r="Z247" s="187"/>
      <c r="AA247" s="340"/>
      <c r="AB247" s="186"/>
      <c r="AC247" s="186"/>
      <c r="AD247" s="187"/>
    </row>
    <row r="248" spans="1:30" s="199" customFormat="1" ht="15" hidden="1" customHeight="1" x14ac:dyDescent="0.25">
      <c r="A248" s="118" t="s">
        <v>293</v>
      </c>
      <c r="B248" s="181" t="s">
        <v>698</v>
      </c>
      <c r="C248" s="190"/>
      <c r="D248" s="630" t="s">
        <v>384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 t="shared" si="97"/>
        <v>0</v>
      </c>
      <c r="K248" s="182"/>
      <c r="L248" s="183">
        <f t="shared" si="82"/>
        <v>0</v>
      </c>
      <c r="M248" s="184"/>
      <c r="N248" s="185"/>
      <c r="O248" s="185"/>
      <c r="P248" s="185"/>
      <c r="Q248" s="185"/>
      <c r="R248" s="185"/>
      <c r="S248" s="191"/>
      <c r="T248" s="185"/>
      <c r="U248" s="186"/>
      <c r="V248" s="186"/>
      <c r="W248" s="185"/>
      <c r="X248" s="186"/>
      <c r="Y248" s="186"/>
      <c r="Z248" s="187"/>
      <c r="AA248" s="340"/>
      <c r="AB248" s="186"/>
      <c r="AC248" s="186"/>
      <c r="AD248" s="187"/>
    </row>
    <row r="249" spans="1:30" s="199" customFormat="1" ht="15" hidden="1" customHeight="1" x14ac:dyDescent="0.25">
      <c r="A249" s="118" t="s">
        <v>885</v>
      </c>
      <c r="B249" s="181" t="s">
        <v>886</v>
      </c>
      <c r="C249" s="190"/>
      <c r="D249" s="630" t="s">
        <v>887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 t="shared" si="97"/>
        <v>0</v>
      </c>
      <c r="K249" s="182"/>
      <c r="L249" s="183">
        <f t="shared" si="82"/>
        <v>0</v>
      </c>
      <c r="M249" s="184"/>
      <c r="N249" s="185"/>
      <c r="O249" s="185"/>
      <c r="P249" s="185"/>
      <c r="Q249" s="185"/>
      <c r="R249" s="185"/>
      <c r="S249" s="191"/>
      <c r="T249" s="185"/>
      <c r="U249" s="186"/>
      <c r="V249" s="186"/>
      <c r="W249" s="185"/>
      <c r="X249" s="186"/>
      <c r="Y249" s="186"/>
      <c r="Z249" s="187"/>
      <c r="AA249" s="340"/>
      <c r="AB249" s="186"/>
      <c r="AC249" s="186"/>
      <c r="AD249" s="187"/>
    </row>
    <row r="250" spans="1:30" s="199" customFormat="1" ht="15" hidden="1" customHeight="1" x14ac:dyDescent="0.25">
      <c r="A250" s="118" t="s">
        <v>294</v>
      </c>
      <c r="B250" s="181" t="s">
        <v>699</v>
      </c>
      <c r="C250" s="190"/>
      <c r="D250" s="630" t="s">
        <v>295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 t="shared" si="97"/>
        <v>0</v>
      </c>
      <c r="K250" s="182"/>
      <c r="L250" s="183">
        <f t="shared" si="82"/>
        <v>0</v>
      </c>
      <c r="M250" s="184"/>
      <c r="N250" s="185"/>
      <c r="O250" s="185"/>
      <c r="P250" s="185"/>
      <c r="Q250" s="185"/>
      <c r="R250" s="185"/>
      <c r="S250" s="191"/>
      <c r="T250" s="185"/>
      <c r="U250" s="186"/>
      <c r="V250" s="186"/>
      <c r="W250" s="185"/>
      <c r="X250" s="186"/>
      <c r="Y250" s="186"/>
      <c r="Z250" s="187"/>
      <c r="AA250" s="340"/>
      <c r="AB250" s="186"/>
      <c r="AC250" s="186"/>
      <c r="AD250" s="187"/>
    </row>
    <row r="251" spans="1:30" s="199" customFormat="1" ht="15" hidden="1" customHeight="1" x14ac:dyDescent="0.25">
      <c r="A251" s="118" t="s">
        <v>296</v>
      </c>
      <c r="B251" s="181" t="s">
        <v>700</v>
      </c>
      <c r="C251" s="190"/>
      <c r="D251" s="630" t="s">
        <v>297</v>
      </c>
      <c r="E251" s="630"/>
      <c r="F251" s="183">
        <v>0</v>
      </c>
      <c r="G251" s="340">
        <v>0</v>
      </c>
      <c r="H251" s="310">
        <v>0</v>
      </c>
      <c r="I251" s="508">
        <v>0</v>
      </c>
      <c r="J251" s="251">
        <f t="shared" si="97"/>
        <v>0</v>
      </c>
      <c r="K251" s="182"/>
      <c r="L251" s="183">
        <f t="shared" si="82"/>
        <v>0</v>
      </c>
      <c r="M251" s="184"/>
      <c r="N251" s="185"/>
      <c r="O251" s="185"/>
      <c r="P251" s="185"/>
      <c r="Q251" s="185"/>
      <c r="R251" s="185"/>
      <c r="S251" s="191"/>
      <c r="T251" s="185"/>
      <c r="U251" s="186"/>
      <c r="V251" s="186"/>
      <c r="W251" s="185"/>
      <c r="X251" s="186"/>
      <c r="Y251" s="186"/>
      <c r="Z251" s="187"/>
      <c r="AA251" s="340"/>
      <c r="AB251" s="186"/>
      <c r="AC251" s="186"/>
      <c r="AD251" s="187"/>
    </row>
    <row r="252" spans="1:30" s="199" customFormat="1" ht="15" hidden="1" customHeight="1" x14ac:dyDescent="0.25">
      <c r="A252" s="118" t="s">
        <v>888</v>
      </c>
      <c r="B252" s="181" t="s">
        <v>889</v>
      </c>
      <c r="C252" s="190"/>
      <c r="D252" s="630" t="s">
        <v>890</v>
      </c>
      <c r="E252" s="630"/>
      <c r="F252" s="183">
        <v>0</v>
      </c>
      <c r="G252" s="340">
        <v>0</v>
      </c>
      <c r="H252" s="310">
        <v>0</v>
      </c>
      <c r="I252" s="508">
        <v>0</v>
      </c>
      <c r="J252" s="251">
        <f t="shared" si="97"/>
        <v>0</v>
      </c>
      <c r="K252" s="182"/>
      <c r="L252" s="183">
        <f t="shared" si="82"/>
        <v>0</v>
      </c>
      <c r="M252" s="184"/>
      <c r="N252" s="185"/>
      <c r="O252" s="185"/>
      <c r="P252" s="185"/>
      <c r="Q252" s="185"/>
      <c r="R252" s="185"/>
      <c r="S252" s="191"/>
      <c r="T252" s="185"/>
      <c r="U252" s="186"/>
      <c r="V252" s="186"/>
      <c r="W252" s="185"/>
      <c r="X252" s="186"/>
      <c r="Y252" s="186"/>
      <c r="Z252" s="187"/>
      <c r="AA252" s="340"/>
      <c r="AB252" s="186"/>
      <c r="AC252" s="186"/>
      <c r="AD252" s="187"/>
    </row>
    <row r="253" spans="1:30" s="41" customFormat="1" ht="15" hidden="1" customHeight="1" x14ac:dyDescent="0.25">
      <c r="A253" s="118" t="s">
        <v>891</v>
      </c>
      <c r="B253" s="53" t="s">
        <v>892</v>
      </c>
      <c r="C253" s="628" t="s">
        <v>893</v>
      </c>
      <c r="D253" s="629"/>
      <c r="E253" s="629"/>
      <c r="F253" s="160">
        <v>0</v>
      </c>
      <c r="G253" s="342">
        <v>0</v>
      </c>
      <c r="H253" s="312">
        <v>0</v>
      </c>
      <c r="I253" s="510">
        <v>0</v>
      </c>
      <c r="J253" s="239">
        <f t="shared" si="97"/>
        <v>0</v>
      </c>
      <c r="K253" s="148"/>
      <c r="L253" s="160">
        <f t="shared" si="82"/>
        <v>0</v>
      </c>
      <c r="M253" s="43"/>
      <c r="N253" s="13"/>
      <c r="O253" s="13"/>
      <c r="P253" s="13"/>
      <c r="Q253" s="13"/>
      <c r="R253" s="13"/>
      <c r="S253" s="74"/>
      <c r="T253" s="13"/>
      <c r="U253" s="79"/>
      <c r="V253" s="79"/>
      <c r="W253" s="13"/>
      <c r="X253" s="79"/>
      <c r="Y253" s="79"/>
      <c r="Z253" s="45"/>
      <c r="AA253" s="342"/>
      <c r="AB253" s="79"/>
      <c r="AC253" s="79"/>
      <c r="AD253" s="45"/>
    </row>
    <row r="254" spans="1:30" s="41" customFormat="1" ht="15.75" thickBot="1" x14ac:dyDescent="0.3">
      <c r="A254" s="118" t="s">
        <v>298</v>
      </c>
      <c r="B254" s="53" t="s">
        <v>701</v>
      </c>
      <c r="C254" s="628" t="s">
        <v>299</v>
      </c>
      <c r="D254" s="629"/>
      <c r="E254" s="629"/>
      <c r="F254" s="160">
        <v>748453</v>
      </c>
      <c r="G254" s="342">
        <v>748453</v>
      </c>
      <c r="H254" s="312">
        <v>748453</v>
      </c>
      <c r="I254" s="510">
        <v>748453</v>
      </c>
      <c r="J254" s="239">
        <f t="shared" si="97"/>
        <v>748453</v>
      </c>
      <c r="K254" s="148"/>
      <c r="L254" s="160">
        <f t="shared" si="82"/>
        <v>748453</v>
      </c>
      <c r="M254" s="43">
        <f>L254</f>
        <v>748453</v>
      </c>
      <c r="N254" s="13"/>
      <c r="O254" s="13"/>
      <c r="P254" s="13"/>
      <c r="Q254" s="13"/>
      <c r="R254" s="13"/>
      <c r="S254" s="74">
        <v>748453</v>
      </c>
      <c r="T254" s="13"/>
      <c r="U254" s="79"/>
      <c r="V254" s="79"/>
      <c r="W254" s="13"/>
      <c r="X254" s="79"/>
      <c r="Y254" s="79"/>
      <c r="Z254" s="45"/>
      <c r="AA254" s="342"/>
      <c r="AB254" s="79"/>
      <c r="AC254" s="79"/>
      <c r="AD254" s="45"/>
    </row>
    <row r="255" spans="1:30" s="41" customFormat="1" ht="15.75" hidden="1" customHeight="1" thickBot="1" x14ac:dyDescent="0.3">
      <c r="A255" s="118" t="s">
        <v>300</v>
      </c>
      <c r="B255" s="53" t="s">
        <v>702</v>
      </c>
      <c r="C255" s="628" t="s">
        <v>894</v>
      </c>
      <c r="D255" s="629"/>
      <c r="E255" s="629"/>
      <c r="F255" s="160">
        <v>0</v>
      </c>
      <c r="G255" s="342">
        <v>0</v>
      </c>
      <c r="H255" s="312">
        <v>0</v>
      </c>
      <c r="I255" s="510">
        <v>0</v>
      </c>
      <c r="J255" s="239">
        <f t="shared" si="97"/>
        <v>0</v>
      </c>
      <c r="K255" s="148"/>
      <c r="L255" s="160">
        <f t="shared" si="82"/>
        <v>0</v>
      </c>
      <c r="M255" s="43"/>
      <c r="N255" s="13"/>
      <c r="O255" s="13"/>
      <c r="P255" s="13"/>
      <c r="Q255" s="13"/>
      <c r="R255" s="13"/>
      <c r="S255" s="74"/>
      <c r="T255" s="13"/>
      <c r="U255" s="79"/>
      <c r="V255" s="79"/>
      <c r="W255" s="13"/>
      <c r="X255" s="79"/>
      <c r="Y255" s="79"/>
      <c r="Z255" s="45"/>
      <c r="AA255" s="342"/>
      <c r="AB255" s="79"/>
      <c r="AC255" s="79"/>
      <c r="AD255" s="45"/>
    </row>
    <row r="256" spans="1:30" s="41" customFormat="1" ht="15.75" hidden="1" customHeight="1" thickBot="1" x14ac:dyDescent="0.3">
      <c r="A256" s="118" t="s">
        <v>301</v>
      </c>
      <c r="B256" s="53" t="s">
        <v>703</v>
      </c>
      <c r="C256" s="628" t="s">
        <v>895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 t="shared" si="97"/>
        <v>0</v>
      </c>
      <c r="K256" s="148"/>
      <c r="L256" s="160">
        <f t="shared" si="82"/>
        <v>0</v>
      </c>
      <c r="M256" s="43"/>
      <c r="N256" s="13"/>
      <c r="O256" s="13"/>
      <c r="P256" s="13"/>
      <c r="Q256" s="13"/>
      <c r="R256" s="13"/>
      <c r="S256" s="74"/>
      <c r="T256" s="13"/>
      <c r="U256" s="79"/>
      <c r="V256" s="79"/>
      <c r="W256" s="13"/>
      <c r="X256" s="79"/>
      <c r="Y256" s="79"/>
      <c r="Z256" s="45"/>
      <c r="AA256" s="342"/>
      <c r="AB256" s="79"/>
      <c r="AC256" s="79"/>
      <c r="AD256" s="45"/>
    </row>
    <row r="257" spans="1:30" s="41" customFormat="1" ht="15.75" hidden="1" customHeight="1" thickBot="1" x14ac:dyDescent="0.3">
      <c r="A257" s="118" t="s">
        <v>302</v>
      </c>
      <c r="B257" s="53" t="s">
        <v>704</v>
      </c>
      <c r="C257" s="628" t="s">
        <v>303</v>
      </c>
      <c r="D257" s="629"/>
      <c r="E257" s="629"/>
      <c r="F257" s="160">
        <v>0</v>
      </c>
      <c r="G257" s="342">
        <v>0</v>
      </c>
      <c r="H257" s="312">
        <v>0</v>
      </c>
      <c r="I257" s="510">
        <v>0</v>
      </c>
      <c r="J257" s="239">
        <f t="shared" si="97"/>
        <v>0</v>
      </c>
      <c r="K257" s="148"/>
      <c r="L257" s="160">
        <f t="shared" si="82"/>
        <v>0</v>
      </c>
      <c r="M257" s="43"/>
      <c r="N257" s="13"/>
      <c r="O257" s="13"/>
      <c r="P257" s="13"/>
      <c r="Q257" s="13"/>
      <c r="R257" s="13"/>
      <c r="S257" s="74"/>
      <c r="T257" s="13"/>
      <c r="U257" s="79"/>
      <c r="V257" s="79"/>
      <c r="W257" s="13"/>
      <c r="X257" s="79"/>
      <c r="Y257" s="79"/>
      <c r="Z257" s="45"/>
      <c r="AA257" s="342"/>
      <c r="AB257" s="79"/>
      <c r="AC257" s="79"/>
      <c r="AD257" s="45"/>
    </row>
    <row r="258" spans="1:30" s="41" customFormat="1" ht="15.75" hidden="1" customHeight="1" thickBot="1" x14ac:dyDescent="0.3">
      <c r="A258" s="118" t="s">
        <v>896</v>
      </c>
      <c r="B258" s="53" t="s">
        <v>897</v>
      </c>
      <c r="C258" s="628" t="s">
        <v>899</v>
      </c>
      <c r="D258" s="629"/>
      <c r="E258" s="629"/>
      <c r="F258" s="160">
        <v>0</v>
      </c>
      <c r="G258" s="342">
        <v>0</v>
      </c>
      <c r="H258" s="312">
        <v>0</v>
      </c>
      <c r="I258" s="510">
        <v>0</v>
      </c>
      <c r="J258" s="239">
        <f t="shared" si="97"/>
        <v>0</v>
      </c>
      <c r="K258" s="148"/>
      <c r="L258" s="160">
        <f t="shared" si="82"/>
        <v>0</v>
      </c>
      <c r="M258" s="43"/>
      <c r="N258" s="13"/>
      <c r="O258" s="13"/>
      <c r="P258" s="13"/>
      <c r="Q258" s="13"/>
      <c r="R258" s="13"/>
      <c r="S258" s="74"/>
      <c r="T258" s="13"/>
      <c r="U258" s="79"/>
      <c r="V258" s="79"/>
      <c r="W258" s="13"/>
      <c r="X258" s="79"/>
      <c r="Y258" s="79"/>
      <c r="Z258" s="45"/>
      <c r="AA258" s="342"/>
      <c r="AB258" s="79"/>
      <c r="AC258" s="79"/>
      <c r="AD258" s="45"/>
    </row>
    <row r="259" spans="1:30" s="41" customFormat="1" ht="15.75" hidden="1" customHeight="1" thickBot="1" x14ac:dyDescent="0.3">
      <c r="A259" s="118"/>
      <c r="B259" s="53" t="s">
        <v>898</v>
      </c>
      <c r="C259" s="628" t="s">
        <v>900</v>
      </c>
      <c r="D259" s="629"/>
      <c r="E259" s="629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D259" si="98">K260+K261</f>
        <v>0</v>
      </c>
      <c r="L259" s="160">
        <f t="shared" si="82"/>
        <v>0</v>
      </c>
      <c r="M259" s="43">
        <f t="shared" ref="M259:R259" si="99">M260+M261</f>
        <v>0</v>
      </c>
      <c r="N259" s="13">
        <f t="shared" si="99"/>
        <v>0</v>
      </c>
      <c r="O259" s="13">
        <f t="shared" si="99"/>
        <v>0</v>
      </c>
      <c r="P259" s="13">
        <f t="shared" si="99"/>
        <v>0</v>
      </c>
      <c r="Q259" s="13"/>
      <c r="R259" s="13">
        <f t="shared" si="99"/>
        <v>0</v>
      </c>
      <c r="S259" s="74">
        <f t="shared" si="98"/>
        <v>0</v>
      </c>
      <c r="T259" s="13">
        <f t="shared" si="98"/>
        <v>0</v>
      </c>
      <c r="U259" s="79">
        <f t="shared" si="98"/>
        <v>0</v>
      </c>
      <c r="V259" s="79">
        <f t="shared" si="98"/>
        <v>0</v>
      </c>
      <c r="W259" s="13">
        <f t="shared" si="98"/>
        <v>0</v>
      </c>
      <c r="X259" s="79">
        <f t="shared" si="98"/>
        <v>0</v>
      </c>
      <c r="Y259" s="79">
        <f t="shared" si="98"/>
        <v>0</v>
      </c>
      <c r="Z259" s="45">
        <f t="shared" si="98"/>
        <v>0</v>
      </c>
      <c r="AA259" s="342">
        <f t="shared" si="98"/>
        <v>0</v>
      </c>
      <c r="AB259" s="79">
        <f t="shared" si="98"/>
        <v>0</v>
      </c>
      <c r="AC259" s="79">
        <f t="shared" si="98"/>
        <v>0</v>
      </c>
      <c r="AD259" s="45">
        <f t="shared" si="98"/>
        <v>0</v>
      </c>
    </row>
    <row r="260" spans="1:30" s="199" customFormat="1" ht="15.75" hidden="1" customHeight="1" thickBot="1" x14ac:dyDescent="0.3">
      <c r="A260" s="118" t="s">
        <v>902</v>
      </c>
      <c r="B260" s="181" t="s">
        <v>901</v>
      </c>
      <c r="C260" s="190"/>
      <c r="D260" s="630" t="s">
        <v>905</v>
      </c>
      <c r="E260" s="630"/>
      <c r="F260" s="183">
        <v>0</v>
      </c>
      <c r="G260" s="340">
        <v>0</v>
      </c>
      <c r="H260" s="310">
        <v>0</v>
      </c>
      <c r="I260" s="508">
        <v>0</v>
      </c>
      <c r="J260" s="251">
        <f>SUM(S260:AD260)</f>
        <v>0</v>
      </c>
      <c r="K260" s="182"/>
      <c r="L260" s="183">
        <f t="shared" si="82"/>
        <v>0</v>
      </c>
      <c r="M260" s="184"/>
      <c r="N260" s="185"/>
      <c r="O260" s="185"/>
      <c r="P260" s="185"/>
      <c r="Q260" s="185"/>
      <c r="R260" s="185"/>
      <c r="S260" s="191"/>
      <c r="T260" s="185"/>
      <c r="U260" s="186"/>
      <c r="V260" s="186"/>
      <c r="W260" s="185"/>
      <c r="X260" s="186"/>
      <c r="Y260" s="186"/>
      <c r="Z260" s="187"/>
      <c r="AA260" s="340"/>
      <c r="AB260" s="186"/>
      <c r="AC260" s="186"/>
      <c r="AD260" s="187"/>
    </row>
    <row r="261" spans="1:30" s="199" customFormat="1" ht="15.75" hidden="1" customHeight="1" thickBot="1" x14ac:dyDescent="0.3">
      <c r="A261" s="118" t="s">
        <v>903</v>
      </c>
      <c r="B261" s="181" t="s">
        <v>904</v>
      </c>
      <c r="C261" s="190"/>
      <c r="D261" s="630" t="s">
        <v>906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>SUM(S261:AD261)</f>
        <v>0</v>
      </c>
      <c r="K261" s="182"/>
      <c r="L261" s="183">
        <f t="shared" si="82"/>
        <v>0</v>
      </c>
      <c r="M261" s="184"/>
      <c r="N261" s="185"/>
      <c r="O261" s="185"/>
      <c r="P261" s="185"/>
      <c r="Q261" s="185"/>
      <c r="R261" s="185"/>
      <c r="S261" s="191"/>
      <c r="T261" s="185"/>
      <c r="U261" s="186"/>
      <c r="V261" s="186"/>
      <c r="W261" s="185"/>
      <c r="X261" s="186"/>
      <c r="Y261" s="186"/>
      <c r="Z261" s="187"/>
      <c r="AA261" s="340"/>
      <c r="AB261" s="186"/>
      <c r="AC261" s="186"/>
      <c r="AD261" s="187"/>
    </row>
    <row r="262" spans="1:30" ht="15.75" hidden="1" customHeight="1" thickBot="1" x14ac:dyDescent="0.3">
      <c r="B262" s="88" t="s">
        <v>708</v>
      </c>
      <c r="C262" s="626" t="s">
        <v>304</v>
      </c>
      <c r="D262" s="627"/>
      <c r="E262" s="627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D262" si="100">K263+K264+K265+K266+K267</f>
        <v>0</v>
      </c>
      <c r="L262" s="158">
        <f t="shared" si="82"/>
        <v>0</v>
      </c>
      <c r="M262" s="93">
        <f t="shared" ref="M262:R262" si="101">M263+M264+M265+M266+M267</f>
        <v>0</v>
      </c>
      <c r="N262" s="91">
        <f t="shared" si="101"/>
        <v>0</v>
      </c>
      <c r="O262" s="91">
        <f t="shared" si="101"/>
        <v>0</v>
      </c>
      <c r="P262" s="91">
        <f t="shared" si="101"/>
        <v>0</v>
      </c>
      <c r="Q262" s="91"/>
      <c r="R262" s="91">
        <f t="shared" si="101"/>
        <v>0</v>
      </c>
      <c r="S262" s="90">
        <f t="shared" si="100"/>
        <v>0</v>
      </c>
      <c r="T262" s="91">
        <f t="shared" si="100"/>
        <v>0</v>
      </c>
      <c r="U262" s="94">
        <f t="shared" si="100"/>
        <v>0</v>
      </c>
      <c r="V262" s="94">
        <f t="shared" si="100"/>
        <v>0</v>
      </c>
      <c r="W262" s="91">
        <f t="shared" si="100"/>
        <v>0</v>
      </c>
      <c r="X262" s="94">
        <f t="shared" si="100"/>
        <v>0</v>
      </c>
      <c r="Y262" s="94">
        <f t="shared" si="100"/>
        <v>0</v>
      </c>
      <c r="Z262" s="95">
        <f t="shared" si="100"/>
        <v>0</v>
      </c>
      <c r="AA262" s="341">
        <f t="shared" si="100"/>
        <v>0</v>
      </c>
      <c r="AB262" s="94">
        <f t="shared" si="100"/>
        <v>0</v>
      </c>
      <c r="AC262" s="94">
        <f t="shared" si="100"/>
        <v>0</v>
      </c>
      <c r="AD262" s="95">
        <f t="shared" si="100"/>
        <v>0</v>
      </c>
    </row>
    <row r="263" spans="1:30" s="41" customFormat="1" ht="15.75" hidden="1" customHeight="1" thickBot="1" x14ac:dyDescent="0.3">
      <c r="A263" s="118" t="s">
        <v>305</v>
      </c>
      <c r="B263" s="188" t="s">
        <v>709</v>
      </c>
      <c r="C263" s="706" t="s">
        <v>385</v>
      </c>
      <c r="D263" s="707"/>
      <c r="E263" s="707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102">SUM(S263:AD263)</f>
        <v>0</v>
      </c>
      <c r="K263" s="189"/>
      <c r="L263" s="201">
        <f t="shared" si="82"/>
        <v>0</v>
      </c>
      <c r="M263" s="205"/>
      <c r="N263" s="203"/>
      <c r="O263" s="203"/>
      <c r="P263" s="203"/>
      <c r="Q263" s="203"/>
      <c r="R263" s="203"/>
      <c r="S263" s="202"/>
      <c r="T263" s="203"/>
      <c r="U263" s="206"/>
      <c r="V263" s="206"/>
      <c r="W263" s="203"/>
      <c r="X263" s="206"/>
      <c r="Y263" s="206"/>
      <c r="Z263" s="204"/>
      <c r="AA263" s="347"/>
      <c r="AB263" s="206"/>
      <c r="AC263" s="206"/>
      <c r="AD263" s="204"/>
    </row>
    <row r="264" spans="1:30" s="41" customFormat="1" ht="15.75" hidden="1" customHeight="1" thickBot="1" x14ac:dyDescent="0.3">
      <c r="A264" s="118" t="s">
        <v>306</v>
      </c>
      <c r="B264" s="188" t="s">
        <v>710</v>
      </c>
      <c r="C264" s="706" t="s">
        <v>386</v>
      </c>
      <c r="D264" s="707"/>
      <c r="E264" s="707"/>
      <c r="F264" s="201">
        <v>0</v>
      </c>
      <c r="G264" s="347">
        <v>0</v>
      </c>
      <c r="H264" s="319">
        <v>0</v>
      </c>
      <c r="I264" s="511">
        <v>0</v>
      </c>
      <c r="J264" s="252">
        <f t="shared" si="102"/>
        <v>0</v>
      </c>
      <c r="K264" s="189"/>
      <c r="L264" s="201">
        <f t="shared" si="82"/>
        <v>0</v>
      </c>
      <c r="M264" s="205"/>
      <c r="N264" s="203"/>
      <c r="O264" s="203"/>
      <c r="P264" s="203"/>
      <c r="Q264" s="203"/>
      <c r="R264" s="203"/>
      <c r="S264" s="202"/>
      <c r="T264" s="203"/>
      <c r="U264" s="206"/>
      <c r="V264" s="206"/>
      <c r="W264" s="203"/>
      <c r="X264" s="206"/>
      <c r="Y264" s="206"/>
      <c r="Z264" s="204"/>
      <c r="AA264" s="347"/>
      <c r="AB264" s="206"/>
      <c r="AC264" s="206"/>
      <c r="AD264" s="204"/>
    </row>
    <row r="265" spans="1:30" s="41" customFormat="1" ht="15.75" hidden="1" customHeight="1" thickBot="1" x14ac:dyDescent="0.3">
      <c r="A265" s="118" t="s">
        <v>307</v>
      </c>
      <c r="B265" s="188" t="s">
        <v>711</v>
      </c>
      <c r="C265" s="706" t="s">
        <v>308</v>
      </c>
      <c r="D265" s="707"/>
      <c r="E265" s="707"/>
      <c r="F265" s="201">
        <v>0</v>
      </c>
      <c r="G265" s="347">
        <v>0</v>
      </c>
      <c r="H265" s="319">
        <v>0</v>
      </c>
      <c r="I265" s="511">
        <v>0</v>
      </c>
      <c r="J265" s="252">
        <f t="shared" si="102"/>
        <v>0</v>
      </c>
      <c r="K265" s="189"/>
      <c r="L265" s="201">
        <f t="shared" si="82"/>
        <v>0</v>
      </c>
      <c r="M265" s="205"/>
      <c r="N265" s="203"/>
      <c r="O265" s="203"/>
      <c r="P265" s="203"/>
      <c r="Q265" s="203"/>
      <c r="R265" s="203"/>
      <c r="S265" s="202"/>
      <c r="T265" s="203"/>
      <c r="U265" s="206"/>
      <c r="V265" s="206"/>
      <c r="W265" s="203"/>
      <c r="X265" s="206"/>
      <c r="Y265" s="206"/>
      <c r="Z265" s="204"/>
      <c r="AA265" s="347"/>
      <c r="AB265" s="206"/>
      <c r="AC265" s="206"/>
      <c r="AD265" s="204"/>
    </row>
    <row r="266" spans="1:30" s="41" customFormat="1" ht="15.75" hidden="1" customHeight="1" thickBot="1" x14ac:dyDescent="0.3">
      <c r="A266" s="118" t="s">
        <v>309</v>
      </c>
      <c r="B266" s="188" t="s">
        <v>712</v>
      </c>
      <c r="C266" s="706" t="s">
        <v>310</v>
      </c>
      <c r="D266" s="707"/>
      <c r="E266" s="707"/>
      <c r="F266" s="201">
        <v>0</v>
      </c>
      <c r="G266" s="347">
        <v>0</v>
      </c>
      <c r="H266" s="319">
        <v>0</v>
      </c>
      <c r="I266" s="511">
        <v>0</v>
      </c>
      <c r="J266" s="252">
        <f t="shared" si="102"/>
        <v>0</v>
      </c>
      <c r="K266" s="189"/>
      <c r="L266" s="201">
        <f t="shared" si="82"/>
        <v>0</v>
      </c>
      <c r="M266" s="205"/>
      <c r="N266" s="203"/>
      <c r="O266" s="203"/>
      <c r="P266" s="203"/>
      <c r="Q266" s="203"/>
      <c r="R266" s="203"/>
      <c r="S266" s="202"/>
      <c r="T266" s="203"/>
      <c r="U266" s="206"/>
      <c r="V266" s="206"/>
      <c r="W266" s="203"/>
      <c r="X266" s="206"/>
      <c r="Y266" s="206"/>
      <c r="Z266" s="204"/>
      <c r="AA266" s="347"/>
      <c r="AB266" s="206"/>
      <c r="AC266" s="206"/>
      <c r="AD266" s="204"/>
    </row>
    <row r="267" spans="1:30" s="41" customFormat="1" ht="15.75" hidden="1" customHeight="1" thickBot="1" x14ac:dyDescent="0.3">
      <c r="A267" s="118" t="s">
        <v>311</v>
      </c>
      <c r="B267" s="188" t="s">
        <v>713</v>
      </c>
      <c r="C267" s="706" t="s">
        <v>387</v>
      </c>
      <c r="D267" s="707"/>
      <c r="E267" s="707"/>
      <c r="F267" s="201">
        <v>0</v>
      </c>
      <c r="G267" s="347">
        <v>0</v>
      </c>
      <c r="H267" s="319">
        <v>0</v>
      </c>
      <c r="I267" s="511">
        <v>0</v>
      </c>
      <c r="J267" s="252">
        <f t="shared" si="102"/>
        <v>0</v>
      </c>
      <c r="K267" s="189"/>
      <c r="L267" s="201">
        <f t="shared" si="82"/>
        <v>0</v>
      </c>
      <c r="M267" s="205"/>
      <c r="N267" s="203"/>
      <c r="O267" s="203"/>
      <c r="P267" s="203"/>
      <c r="Q267" s="203"/>
      <c r="R267" s="203"/>
      <c r="S267" s="202"/>
      <c r="T267" s="203"/>
      <c r="U267" s="206"/>
      <c r="V267" s="206"/>
      <c r="W267" s="203"/>
      <c r="X267" s="206"/>
      <c r="Y267" s="206"/>
      <c r="Z267" s="204"/>
      <c r="AA267" s="347"/>
      <c r="AB267" s="206"/>
      <c r="AC267" s="206"/>
      <c r="AD267" s="204"/>
    </row>
    <row r="268" spans="1:30" ht="15.75" hidden="1" customHeight="1" thickBot="1" x14ac:dyDescent="0.3">
      <c r="A268" s="118" t="s">
        <v>313</v>
      </c>
      <c r="B268" s="88" t="s">
        <v>714</v>
      </c>
      <c r="C268" s="626" t="s">
        <v>312</v>
      </c>
      <c r="D268" s="627"/>
      <c r="E268" s="627"/>
      <c r="F268" s="158">
        <v>0</v>
      </c>
      <c r="G268" s="341">
        <v>0</v>
      </c>
      <c r="H268" s="311">
        <v>0</v>
      </c>
      <c r="I268" s="509">
        <v>0</v>
      </c>
      <c r="J268" s="233">
        <f t="shared" si="102"/>
        <v>0</v>
      </c>
      <c r="K268" s="142"/>
      <c r="L268" s="158">
        <f t="shared" si="82"/>
        <v>0</v>
      </c>
      <c r="M268" s="93"/>
      <c r="N268" s="91"/>
      <c r="O268" s="91"/>
      <c r="P268" s="91"/>
      <c r="Q268" s="91"/>
      <c r="R268" s="91"/>
      <c r="S268" s="90"/>
      <c r="T268" s="91"/>
      <c r="U268" s="94"/>
      <c r="V268" s="94"/>
      <c r="W268" s="91"/>
      <c r="X268" s="94"/>
      <c r="Y268" s="94"/>
      <c r="Z268" s="95"/>
      <c r="AA268" s="341"/>
      <c r="AB268" s="94"/>
      <c r="AC268" s="94"/>
      <c r="AD268" s="95"/>
    </row>
    <row r="269" spans="1:30" ht="15.75" hidden="1" customHeight="1" thickBot="1" x14ac:dyDescent="0.3">
      <c r="A269" s="118" t="s">
        <v>907</v>
      </c>
      <c r="B269" s="88" t="s">
        <v>908</v>
      </c>
      <c r="C269" s="626" t="s">
        <v>909</v>
      </c>
      <c r="D269" s="627"/>
      <c r="E269" s="627"/>
      <c r="F269" s="158">
        <v>0</v>
      </c>
      <c r="G269" s="341">
        <v>0</v>
      </c>
      <c r="H269" s="311">
        <v>0</v>
      </c>
      <c r="I269" s="509">
        <v>0</v>
      </c>
      <c r="J269" s="233">
        <f t="shared" si="102"/>
        <v>0</v>
      </c>
      <c r="K269" s="142"/>
      <c r="L269" s="158">
        <f t="shared" si="82"/>
        <v>0</v>
      </c>
      <c r="M269" s="93"/>
      <c r="N269" s="91"/>
      <c r="O269" s="91"/>
      <c r="P269" s="91"/>
      <c r="Q269" s="91"/>
      <c r="R269" s="91"/>
      <c r="S269" s="90"/>
      <c r="T269" s="91"/>
      <c r="U269" s="94"/>
      <c r="V269" s="94"/>
      <c r="W269" s="91"/>
      <c r="X269" s="94"/>
      <c r="Y269" s="94"/>
      <c r="Z269" s="95"/>
      <c r="AA269" s="341"/>
      <c r="AB269" s="94"/>
      <c r="AC269" s="94"/>
      <c r="AD269" s="95"/>
    </row>
    <row r="270" spans="1:30" ht="15.75" thickBot="1" x14ac:dyDescent="0.3">
      <c r="B270" s="722" t="s">
        <v>314</v>
      </c>
      <c r="C270" s="723"/>
      <c r="D270" s="723"/>
      <c r="E270" s="723"/>
      <c r="F270" s="156">
        <v>6231000</v>
      </c>
      <c r="G270" s="338">
        <v>6231750</v>
      </c>
      <c r="H270" s="308">
        <v>6354718</v>
      </c>
      <c r="I270" s="506">
        <v>6451594</v>
      </c>
      <c r="J270" s="230">
        <f>J5+J24+J32+J59+J77+J162+J172+J177+J240</f>
        <v>7616879</v>
      </c>
      <c r="K270" s="139">
        <f>K5+K24+K32+K59+K77+K162+K172+K177+K240</f>
        <v>0</v>
      </c>
      <c r="L270" s="156">
        <f>SUM(J270:K270)</f>
        <v>7616879</v>
      </c>
      <c r="M270" s="85">
        <f>M5+M24+M32+M59+M77+M162+M172+M177+M240</f>
        <v>832129</v>
      </c>
      <c r="N270" s="83">
        <f>N5+N24+N32+N59+N77+N162+N172+N177+N240</f>
        <v>3081000</v>
      </c>
      <c r="O270" s="83">
        <f t="shared" ref="O270:AC270" si="103">O5+O24+O32+O59+O77+O162+O172+O177+O240</f>
        <v>691186</v>
      </c>
      <c r="P270" s="83">
        <f t="shared" si="103"/>
        <v>526061</v>
      </c>
      <c r="Q270" s="83">
        <f t="shared" si="103"/>
        <v>40200</v>
      </c>
      <c r="R270" s="83">
        <f t="shared" si="103"/>
        <v>2320449</v>
      </c>
      <c r="S270" s="82">
        <f t="shared" si="103"/>
        <v>1050492</v>
      </c>
      <c r="T270" s="83">
        <f t="shared" si="103"/>
        <v>129750</v>
      </c>
      <c r="U270" s="86">
        <f t="shared" si="103"/>
        <v>63000</v>
      </c>
      <c r="V270" s="86">
        <f t="shared" si="103"/>
        <v>97198</v>
      </c>
      <c r="W270" s="83">
        <f t="shared" si="103"/>
        <v>161676</v>
      </c>
      <c r="X270" s="86">
        <f t="shared" si="103"/>
        <v>242000</v>
      </c>
      <c r="Y270" s="86">
        <f t="shared" si="103"/>
        <v>110800</v>
      </c>
      <c r="Z270" s="87">
        <f t="shared" si="103"/>
        <v>229000</v>
      </c>
      <c r="AA270" s="338">
        <f t="shared" si="103"/>
        <v>2511373</v>
      </c>
      <c r="AB270" s="86">
        <f t="shared" si="103"/>
        <v>841931</v>
      </c>
      <c r="AC270" s="86">
        <f t="shared" si="103"/>
        <v>640225</v>
      </c>
      <c r="AD270" s="87">
        <f>AD5+AD24+AD32+AD59+AD77+AD162+AD172+AD177+AD240</f>
        <v>1539434</v>
      </c>
    </row>
    <row r="271" spans="1:30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30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30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30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30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30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30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30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30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30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30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30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30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30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30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30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30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30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30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30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30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30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30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30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30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30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30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30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30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30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30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30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30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30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30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30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</sheetData>
  <mergeCells count="253">
    <mergeCell ref="AA2:AD3"/>
    <mergeCell ref="S2:Z3"/>
    <mergeCell ref="B270:E270"/>
    <mergeCell ref="M2:R2"/>
    <mergeCell ref="M3:M4"/>
    <mergeCell ref="N3:N4"/>
    <mergeCell ref="O3:O4"/>
    <mergeCell ref="P3:P4"/>
    <mergeCell ref="R3:R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47:E147"/>
    <mergeCell ref="D148:E148"/>
    <mergeCell ref="D149:E149"/>
    <mergeCell ref="D150:E150"/>
    <mergeCell ref="D154:E154"/>
    <mergeCell ref="D155:E155"/>
    <mergeCell ref="D141:E141"/>
    <mergeCell ref="D142:E142"/>
    <mergeCell ref="D143:E143"/>
    <mergeCell ref="C144:E144"/>
    <mergeCell ref="C145:E145"/>
    <mergeCell ref="C146:E146"/>
    <mergeCell ref="D135:E135"/>
    <mergeCell ref="D136:E136"/>
    <mergeCell ref="D137:E137"/>
    <mergeCell ref="D138:E138"/>
    <mergeCell ref="D139:E139"/>
    <mergeCell ref="D140:E140"/>
    <mergeCell ref="C129:E129"/>
    <mergeCell ref="D130:E130"/>
    <mergeCell ref="D131:E131"/>
    <mergeCell ref="C132:E132"/>
    <mergeCell ref="D133:E133"/>
    <mergeCell ref="D134:E134"/>
    <mergeCell ref="D113:E113"/>
    <mergeCell ref="D114:E114"/>
    <mergeCell ref="D115:E115"/>
    <mergeCell ref="D121:E121"/>
    <mergeCell ref="D127:E127"/>
    <mergeCell ref="D128:E12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Q3:Q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H2:H4"/>
    <mergeCell ref="I2:I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Roman,Félkövér"&amp;12TámogatásokKiadások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3"/>
  <sheetViews>
    <sheetView view="pageLayout" zoomScaleNormal="100" zoomScaleSheetLayoutView="100" workbookViewId="0">
      <selection activeCell="N14" sqref="N14"/>
    </sheetView>
  </sheetViews>
  <sheetFormatPr defaultColWidth="9" defaultRowHeight="15" x14ac:dyDescent="0.25"/>
  <cols>
    <col min="1" max="1" width="2.7109375" style="130" customWidth="1"/>
    <col min="2" max="2" width="11.5703125" style="131" customWidth="1"/>
    <col min="3" max="4" width="12.42578125" style="131" bestFit="1" customWidth="1"/>
    <col min="5" max="6" width="12.42578125" style="131" customWidth="1"/>
    <col min="7" max="7" width="14.5703125" style="131" customWidth="1"/>
    <col min="8" max="8" width="12.5703125" style="130" bestFit="1" customWidth="1"/>
    <col min="9" max="9" width="9.5703125" style="130" customWidth="1"/>
    <col min="10" max="10" width="13" style="130" customWidth="1"/>
    <col min="11" max="11" width="12.7109375" style="130" customWidth="1"/>
    <col min="12" max="12" width="11.28515625" style="130" customWidth="1"/>
    <col min="13" max="14" width="12.140625" style="130" customWidth="1"/>
    <col min="15" max="15" width="11.42578125" style="130" bestFit="1" customWidth="1"/>
    <col min="16" max="16" width="10.85546875" style="130" customWidth="1"/>
    <col min="17" max="17" width="9.7109375" style="130" bestFit="1" customWidth="1"/>
    <col min="18" max="18" width="11.42578125" style="130" bestFit="1" customWidth="1"/>
    <col min="19" max="20" width="12" style="130" customWidth="1"/>
    <col min="21" max="21" width="11.42578125" style="130" bestFit="1" customWidth="1"/>
    <col min="22" max="22" width="12.28515625" style="130" customWidth="1"/>
    <col min="23" max="23" width="11.42578125" style="130" bestFit="1" customWidth="1"/>
    <col min="24" max="24" width="11.85546875" style="130" bestFit="1" customWidth="1"/>
    <col min="25" max="25" width="11.85546875" style="130" customWidth="1"/>
    <col min="26" max="16384" width="9" style="130"/>
  </cols>
  <sheetData>
    <row r="1" spans="1:25" ht="15.75" customHeight="1" thickBot="1" x14ac:dyDescent="0.3">
      <c r="X1" s="211"/>
      <c r="Y1" s="211" t="s">
        <v>827</v>
      </c>
    </row>
    <row r="2" spans="1:25" ht="84" customHeight="1" thickBot="1" x14ac:dyDescent="0.3">
      <c r="A2" s="622"/>
      <c r="B2" s="623"/>
      <c r="C2" s="451" t="s">
        <v>1049</v>
      </c>
      <c r="D2" s="451" t="s">
        <v>1052</v>
      </c>
      <c r="E2" s="451" t="s">
        <v>1054</v>
      </c>
      <c r="F2" s="451" t="s">
        <v>1055</v>
      </c>
      <c r="G2" s="450" t="s">
        <v>1047</v>
      </c>
      <c r="H2" s="270" t="s">
        <v>839</v>
      </c>
      <c r="I2" s="271" t="s">
        <v>840</v>
      </c>
      <c r="J2" s="271" t="s">
        <v>841</v>
      </c>
      <c r="K2" s="271" t="s">
        <v>855</v>
      </c>
      <c r="L2" s="271" t="s">
        <v>856</v>
      </c>
      <c r="M2" s="271" t="s">
        <v>842</v>
      </c>
      <c r="N2" s="271" t="s">
        <v>1056</v>
      </c>
      <c r="O2" s="271" t="s">
        <v>857</v>
      </c>
      <c r="P2" s="271" t="s">
        <v>868</v>
      </c>
      <c r="Q2" s="271" t="s">
        <v>844</v>
      </c>
      <c r="R2" s="271" t="s">
        <v>845</v>
      </c>
      <c r="S2" s="271" t="s">
        <v>846</v>
      </c>
      <c r="T2" s="271" t="s">
        <v>973</v>
      </c>
      <c r="U2" s="271" t="s">
        <v>850</v>
      </c>
      <c r="V2" s="271" t="s">
        <v>1031</v>
      </c>
      <c r="W2" s="272" t="s">
        <v>851</v>
      </c>
      <c r="X2" s="272" t="s">
        <v>852</v>
      </c>
      <c r="Y2" s="443" t="s">
        <v>1038</v>
      </c>
    </row>
    <row r="3" spans="1:25" ht="25.5" x14ac:dyDescent="0.25">
      <c r="A3" s="617" t="s">
        <v>847</v>
      </c>
      <c r="B3" s="207" t="s">
        <v>44</v>
      </c>
      <c r="C3" s="452">
        <v>31055373</v>
      </c>
      <c r="D3" s="462">
        <v>30872773</v>
      </c>
      <c r="E3" s="452">
        <v>30889024</v>
      </c>
      <c r="F3" s="501">
        <v>30947718</v>
      </c>
      <c r="G3" s="477">
        <f>SUM(H3:X3)</f>
        <v>29941636</v>
      </c>
      <c r="H3" s="212">
        <f>(Bevételek!L5+Bevételek!L94+Bevételek!L129+Bevételek!L185)</f>
        <v>503755</v>
      </c>
      <c r="I3" s="169">
        <f>(Bevételek!M5+Bevételek!M94+Bevételek!M129+Bevételek!M185)</f>
        <v>0</v>
      </c>
      <c r="J3" s="169">
        <f>(Bevételek!N5+Bevételek!N94+Bevételek!N129+Bevételek!N185)</f>
        <v>766296</v>
      </c>
      <c r="K3" s="169">
        <f>(Bevételek!O5+Bevételek!O94+Bevételek!O129+Bevételek!O185)</f>
        <v>18917085</v>
      </c>
      <c r="L3" s="169">
        <f>(Bevételek!P5+Bevételek!P94+Bevételek!P129+Bevételek!P185)</f>
        <v>0</v>
      </c>
      <c r="M3" s="169"/>
      <c r="N3" s="169"/>
      <c r="O3" s="169"/>
      <c r="P3" s="169"/>
      <c r="Q3" s="169"/>
      <c r="R3" s="169"/>
      <c r="S3" s="169"/>
      <c r="T3" s="169"/>
      <c r="U3" s="169"/>
      <c r="V3" s="170"/>
      <c r="W3" s="170"/>
      <c r="X3" s="170">
        <f>(Bevételek!R5+Bevételek!R94+Bevételek!R129+Bevételek!R185)</f>
        <v>9754500</v>
      </c>
      <c r="Y3" s="171">
        <f>(Bevételek!S5+Bevételek!S94+Bevételek!S129+Bevételek!S185)</f>
        <v>0</v>
      </c>
    </row>
    <row r="4" spans="1:25" s="132" customFormat="1" ht="25.5" x14ac:dyDescent="0.25">
      <c r="A4" s="618"/>
      <c r="B4" s="208" t="s">
        <v>59</v>
      </c>
      <c r="C4" s="453">
        <v>75090361</v>
      </c>
      <c r="D4" s="463">
        <v>75540361</v>
      </c>
      <c r="E4" s="453">
        <v>78286149</v>
      </c>
      <c r="F4" s="502">
        <v>78286149</v>
      </c>
      <c r="G4" s="478">
        <f>SUM(H4:X4)</f>
        <v>114659416</v>
      </c>
      <c r="H4" s="213">
        <f>(Bevételek!L58+Bevételek!L175+Bevételek!L211)</f>
        <v>0</v>
      </c>
      <c r="I4" s="172">
        <f>(Bevételek!M58+Bevételek!M175+Bevételek!M211)</f>
        <v>0</v>
      </c>
      <c r="J4" s="172">
        <f>(Bevételek!N58+Bevételek!N175+Bevételek!N211)</f>
        <v>2500000</v>
      </c>
      <c r="K4" s="172">
        <f>(Bevételek!O58+Bevételek!O175+Bevételek!O211)</f>
        <v>112059416</v>
      </c>
      <c r="L4" s="172">
        <f>(Bevételek!P58+Bevételek!P175+Bevételek!P211)</f>
        <v>0</v>
      </c>
      <c r="M4" s="172"/>
      <c r="N4" s="172"/>
      <c r="O4" s="172"/>
      <c r="P4" s="172"/>
      <c r="Q4" s="172"/>
      <c r="R4" s="172"/>
      <c r="S4" s="172">
        <v>100000</v>
      </c>
      <c r="T4" s="172"/>
      <c r="U4" s="172"/>
      <c r="V4" s="173"/>
      <c r="W4" s="173"/>
      <c r="X4" s="173">
        <f>(Bevételek!R58+Bevételek!R175+Bevételek!R211)</f>
        <v>0</v>
      </c>
      <c r="Y4" s="174">
        <f>(Bevételek!S58+Bevételek!S175+Bevételek!S211)</f>
        <v>0</v>
      </c>
    </row>
    <row r="5" spans="1:25" ht="25.5" x14ac:dyDescent="0.25">
      <c r="A5" s="618"/>
      <c r="B5" s="208" t="s">
        <v>570</v>
      </c>
      <c r="C5" s="453">
        <v>14518030</v>
      </c>
      <c r="D5" s="463">
        <v>14523030</v>
      </c>
      <c r="E5" s="453">
        <v>14523030</v>
      </c>
      <c r="F5" s="502">
        <v>14523030</v>
      </c>
      <c r="G5" s="478">
        <f>SUM(H5:X5)</f>
        <v>14523030</v>
      </c>
      <c r="H5" s="213">
        <f>Bevételek!L251</f>
        <v>0</v>
      </c>
      <c r="I5" s="172">
        <f>Bevételek!M251</f>
        <v>0</v>
      </c>
      <c r="J5" s="172">
        <f>Bevételek!N251</f>
        <v>0</v>
      </c>
      <c r="K5" s="172">
        <f>Bevételek!O251</f>
        <v>0</v>
      </c>
      <c r="L5" s="172">
        <f>Bevételek!P251</f>
        <v>14523030</v>
      </c>
      <c r="M5" s="172"/>
      <c r="N5" s="172"/>
      <c r="O5" s="172"/>
      <c r="P5" s="172"/>
      <c r="Q5" s="172"/>
      <c r="R5" s="172"/>
      <c r="S5" s="172"/>
      <c r="T5" s="172"/>
      <c r="U5" s="172"/>
      <c r="V5" s="173"/>
      <c r="W5" s="173"/>
      <c r="X5" s="173">
        <f>Bevételek!R251</f>
        <v>0</v>
      </c>
      <c r="Y5" s="174">
        <f>Bevételek!S251</f>
        <v>0</v>
      </c>
    </row>
    <row r="6" spans="1:25" ht="25.5" x14ac:dyDescent="0.25">
      <c r="A6" s="618"/>
      <c r="B6" s="208" t="s">
        <v>88</v>
      </c>
      <c r="C6" s="453">
        <v>20500000</v>
      </c>
      <c r="D6" s="463">
        <v>15000000</v>
      </c>
      <c r="E6" s="453">
        <v>15000000</v>
      </c>
      <c r="F6" s="502">
        <v>15000000</v>
      </c>
      <c r="G6" s="478">
        <f>SUM(H6:Y6)</f>
        <v>15000000</v>
      </c>
      <c r="H6" s="213">
        <f>(Bevételek!L237-Bevételek!L251)</f>
        <v>0</v>
      </c>
      <c r="I6" s="172">
        <f>(Bevételek!M237-Bevételek!M251)</f>
        <v>0</v>
      </c>
      <c r="J6" s="172">
        <f>(Bevételek!N237-Bevételek!N251)</f>
        <v>0</v>
      </c>
      <c r="K6" s="172">
        <f>(Bevételek!O237-Bevételek!O251)</f>
        <v>0</v>
      </c>
      <c r="L6" s="172">
        <f>(Bevételek!P237-Bevételek!P251)</f>
        <v>0</v>
      </c>
      <c r="M6" s="172"/>
      <c r="N6" s="172"/>
      <c r="O6" s="172"/>
      <c r="P6" s="172"/>
      <c r="Q6" s="172"/>
      <c r="R6" s="172"/>
      <c r="S6" s="172"/>
      <c r="T6" s="172"/>
      <c r="U6" s="172"/>
      <c r="V6" s="173"/>
      <c r="W6" s="173"/>
      <c r="X6" s="173">
        <f>(Bevételek!R237-Bevételek!R251)</f>
        <v>0</v>
      </c>
      <c r="Y6" s="174">
        <f>(Bevételek!S237-Bevételek!S251)</f>
        <v>15000000</v>
      </c>
    </row>
    <row r="7" spans="1:25" s="133" customFormat="1" ht="16.5" thickBot="1" x14ac:dyDescent="0.3">
      <c r="A7" s="619"/>
      <c r="B7" s="209" t="s">
        <v>571</v>
      </c>
      <c r="C7" s="454">
        <f>SUM(C3:C6)</f>
        <v>141163764</v>
      </c>
      <c r="D7" s="464">
        <v>135936164</v>
      </c>
      <c r="E7" s="454">
        <v>138698203</v>
      </c>
      <c r="F7" s="503">
        <v>138756897</v>
      </c>
      <c r="G7" s="479">
        <f>SUM(G3:G6)</f>
        <v>174124082</v>
      </c>
      <c r="H7" s="214">
        <f>SUM(H3:H6)</f>
        <v>503755</v>
      </c>
      <c r="I7" s="175">
        <f t="shared" ref="I7:Y7" si="0">SUM(I3:I6)</f>
        <v>0</v>
      </c>
      <c r="J7" s="175">
        <f t="shared" si="0"/>
        <v>3266296</v>
      </c>
      <c r="K7" s="175">
        <f t="shared" si="0"/>
        <v>130976501</v>
      </c>
      <c r="L7" s="175">
        <f t="shared" si="0"/>
        <v>14523030</v>
      </c>
      <c r="M7" s="175">
        <f t="shared" si="0"/>
        <v>0</v>
      </c>
      <c r="N7" s="175"/>
      <c r="O7" s="175">
        <f t="shared" si="0"/>
        <v>0</v>
      </c>
      <c r="P7" s="175">
        <f t="shared" si="0"/>
        <v>0</v>
      </c>
      <c r="Q7" s="175">
        <f t="shared" si="0"/>
        <v>0</v>
      </c>
      <c r="R7" s="175">
        <f t="shared" si="0"/>
        <v>0</v>
      </c>
      <c r="S7" s="175">
        <f t="shared" si="0"/>
        <v>100000</v>
      </c>
      <c r="T7" s="175">
        <f>SUM(T3:T6)</f>
        <v>0</v>
      </c>
      <c r="U7" s="175">
        <f t="shared" si="0"/>
        <v>0</v>
      </c>
      <c r="V7" s="176"/>
      <c r="W7" s="176">
        <f>SUM(W3:W6)</f>
        <v>0</v>
      </c>
      <c r="X7" s="176">
        <f t="shared" si="0"/>
        <v>9754500</v>
      </c>
      <c r="Y7" s="177">
        <f t="shared" si="0"/>
        <v>15000000</v>
      </c>
    </row>
    <row r="8" spans="1:25" ht="25.5" x14ac:dyDescent="0.25">
      <c r="A8" s="618" t="s">
        <v>848</v>
      </c>
      <c r="B8" s="210" t="s">
        <v>572</v>
      </c>
      <c r="C8" s="455">
        <v>34058070</v>
      </c>
      <c r="D8" s="465">
        <v>32488241</v>
      </c>
      <c r="E8" s="455">
        <v>34245614.319999993</v>
      </c>
      <c r="F8" s="504">
        <v>31889520.709999993</v>
      </c>
      <c r="G8" s="480">
        <f>SUM(H8:X8)</f>
        <v>32579438.82</v>
      </c>
      <c r="H8" s="215">
        <f>Igazgatás!L5+Igazgatás!L24+Igazgatás!L32+Igazgatás!L84+Igazgatás!L100</f>
        <v>16157632.129999999</v>
      </c>
      <c r="I8" s="178">
        <f>Községgazd!M5+Községgazd!M24+Községgazd!M32+Községgazd!M74+Községgazd!M90</f>
        <v>374156.12</v>
      </c>
      <c r="J8" s="178">
        <f>Vagyongazd!L5+Vagyongazd!L24+Vagyongazd!L32+Vagyongazd!L59+Vagyongazd!L75</f>
        <v>0</v>
      </c>
      <c r="K8" s="178">
        <f>Támogatás!M5+Támogatás!M24+Támogatás!M32+Támogatás!M59+Támogatás!M77</f>
        <v>83676</v>
      </c>
      <c r="L8" s="178">
        <f>Támogatás!N5+Támogatás!N24+Támogatás!N32+Támogatás!N59+Támogatás!N77</f>
        <v>3031000</v>
      </c>
      <c r="M8" s="178">
        <f>Közút!L5+Közút!L24+Közút!L32+Közút!L59+Közút!L75</f>
        <v>683555</v>
      </c>
      <c r="N8" s="178">
        <f>Szennyvíz!K4+Szennyvíz!K23+Szennyvíz!K31+Szennyvíz!K58+Szennyvíz!K74</f>
        <v>2794</v>
      </c>
      <c r="O8" s="178">
        <f>Községgazd!N5+Községgazd!N24+Községgazd!N32+Községgazd!N74+Községgazd!N90</f>
        <v>937170</v>
      </c>
      <c r="P8" s="178">
        <f>Községgazd!O5+Községgazd!O24+Községgazd!O32+Községgazd!O74+Községgazd!O90</f>
        <v>2534260.2199999997</v>
      </c>
      <c r="Q8" s="178">
        <f>Sport!J5+Sport!J24+Sport!J32+Sport!J61+Sport!J77</f>
        <v>191500</v>
      </c>
      <c r="R8" s="178">
        <f>Közművelődés!M5+Közművelődés!M36+Közművelődés!M50+Közművelődés!M100+Közművelődés!M116</f>
        <v>1409307.5</v>
      </c>
      <c r="S8" s="178">
        <f>Közművelődés!N5+Közművelődés!N36+Közművelődés!N50+Közművelődés!N100+Közművelődés!N116</f>
        <v>3636691.85</v>
      </c>
      <c r="T8" s="178">
        <f>Támogatás!O5+Támogatás!O24+Támogatás!O32+Támogatás!O59+Támogatás!O77</f>
        <v>691186</v>
      </c>
      <c r="U8" s="178">
        <f>Támogatás!P5+Támogatás!P24+Támogatás!P32+Támogatás!P59+Támogatás!P77</f>
        <v>526061</v>
      </c>
      <c r="V8" s="178">
        <f>Támogatás!Q5+Támogatás!Q24+Támogatás!Q32+Támogatás!Q59+Támogatás!Q77</f>
        <v>0</v>
      </c>
      <c r="W8" s="178">
        <f>Támogatás!R5+Támogatás!R24+Támogatás!R32+Támogatás!R59+Támogatás!R77</f>
        <v>2320449</v>
      </c>
      <c r="X8" s="442"/>
      <c r="Y8" s="179"/>
    </row>
    <row r="9" spans="1:25" ht="25.5" x14ac:dyDescent="0.25">
      <c r="A9" s="618"/>
      <c r="B9" s="208" t="s">
        <v>573</v>
      </c>
      <c r="C9" s="455">
        <v>85857241</v>
      </c>
      <c r="D9" s="465">
        <v>87699470</v>
      </c>
      <c r="E9" s="455">
        <v>88704136</v>
      </c>
      <c r="F9" s="504">
        <v>91118923</v>
      </c>
      <c r="G9" s="480">
        <f>SUM(H9:X9)</f>
        <v>125670336</v>
      </c>
      <c r="H9" s="213">
        <f>Igazgatás!L175+Igazgatás!L186+Igazgatás!L191</f>
        <v>50000</v>
      </c>
      <c r="I9" s="172">
        <f>Községgazd!M162+Községgazd!M172+Községgazd!M177</f>
        <v>0</v>
      </c>
      <c r="J9" s="172">
        <f>Vagyongazd!L147+Vagyongazd!L157+Vagyongazd!L162</f>
        <v>0</v>
      </c>
      <c r="K9" s="172">
        <f>Támogatás!M162+Támogatás!M172+Támogatás!M177</f>
        <v>0</v>
      </c>
      <c r="L9" s="172">
        <f>Támogatás!N162+Támogatás!N172+Támogatás!N177</f>
        <v>50000</v>
      </c>
      <c r="M9" s="172">
        <f>Közút!L147+Közút!L157+Közút!L166</f>
        <v>17037540</v>
      </c>
      <c r="N9" s="172">
        <f>Szennyvíz!K146+Szennyvíz!K156+Szennyvíz!K161</f>
        <v>73895439</v>
      </c>
      <c r="O9" s="172">
        <f>Közút!N147+Közút!N157+Közút!N166</f>
        <v>0</v>
      </c>
      <c r="P9" s="172">
        <f>Községgazd!O162+Községgazd!O172+Községgazd!O177</f>
        <v>0</v>
      </c>
      <c r="Q9" s="172">
        <f>Sport!J149+Sport!J159+Sport!J164</f>
        <v>0</v>
      </c>
      <c r="R9" s="172">
        <f>Közművelődés!M188+Közművelődés!M202+Közművelődés!M213</f>
        <v>0</v>
      </c>
      <c r="S9" s="172">
        <f>Közművelődés!N188+Közművelődés!N202+Közművelődés!N213</f>
        <v>34597157</v>
      </c>
      <c r="T9" s="172">
        <f>Támogatás!O162+Támogatás!O172+Támogatás!O177</f>
        <v>0</v>
      </c>
      <c r="U9" s="172">
        <f>Támogatás!P162+Támogatás!P172+Támogatás!P177</f>
        <v>0</v>
      </c>
      <c r="V9" s="172">
        <f>Támogatás!Q162+Támogatás!Q172+Támogatás!Q177</f>
        <v>40200</v>
      </c>
      <c r="W9" s="172">
        <f>Támogatás!R162+Támogatás!R172+Támogatás!R177</f>
        <v>0</v>
      </c>
      <c r="X9" s="173"/>
      <c r="Y9" s="174"/>
    </row>
    <row r="10" spans="1:25" ht="25.5" x14ac:dyDescent="0.25">
      <c r="A10" s="618"/>
      <c r="B10" s="208" t="s">
        <v>285</v>
      </c>
      <c r="C10" s="453">
        <v>21248453</v>
      </c>
      <c r="D10" s="463">
        <v>15748453</v>
      </c>
      <c r="E10" s="453">
        <v>15748453</v>
      </c>
      <c r="F10" s="502">
        <v>15748453</v>
      </c>
      <c r="G10" s="478">
        <f>SUM(H10:X10)</f>
        <v>15748453</v>
      </c>
      <c r="H10" s="213">
        <f>Igazgatás!L254</f>
        <v>0</v>
      </c>
      <c r="I10" s="172">
        <f>Községgazd!M240</f>
        <v>0</v>
      </c>
      <c r="J10" s="172">
        <f>Vagyongazd!L225</f>
        <v>0</v>
      </c>
      <c r="K10" s="172">
        <f>Támogatás!M240</f>
        <v>748453</v>
      </c>
      <c r="L10" s="172">
        <f>Támogatás!N240</f>
        <v>0</v>
      </c>
      <c r="M10" s="172">
        <f>Közút!L229</f>
        <v>0</v>
      </c>
      <c r="N10" s="172">
        <v>0</v>
      </c>
      <c r="O10" s="172">
        <f>Községgazd!N240</f>
        <v>0</v>
      </c>
      <c r="P10" s="172">
        <f>Községgazd!O240</f>
        <v>0</v>
      </c>
      <c r="Q10" s="172">
        <f>Sport!J227</f>
        <v>0</v>
      </c>
      <c r="R10" s="172">
        <f>Közművelődés!M276</f>
        <v>0</v>
      </c>
      <c r="S10" s="172">
        <f>Közművelődés!N276</f>
        <v>15000000</v>
      </c>
      <c r="T10" s="172">
        <f>Támogatás!O240</f>
        <v>0</v>
      </c>
      <c r="U10" s="172">
        <f>Támogatás!P240</f>
        <v>0</v>
      </c>
      <c r="V10" s="172">
        <f>Támogatás!Q240</f>
        <v>0</v>
      </c>
      <c r="W10" s="172">
        <f>Támogatás!R240</f>
        <v>0</v>
      </c>
      <c r="X10" s="173"/>
      <c r="Y10" s="174"/>
    </row>
    <row r="11" spans="1:25" s="134" customFormat="1" ht="16.5" thickBot="1" x14ac:dyDescent="0.3">
      <c r="A11" s="619"/>
      <c r="B11" s="209" t="s">
        <v>571</v>
      </c>
      <c r="C11" s="454">
        <f>SUM(C8:C10)</f>
        <v>141163764</v>
      </c>
      <c r="D11" s="464">
        <v>135936164</v>
      </c>
      <c r="E11" s="454">
        <v>138698203.31999999</v>
      </c>
      <c r="F11" s="503">
        <v>138756896.70999998</v>
      </c>
      <c r="G11" s="479">
        <f>SUM(G8:G10)</f>
        <v>173998227.81999999</v>
      </c>
      <c r="H11" s="214">
        <f>SUM(H8:H10)</f>
        <v>16207632.129999999</v>
      </c>
      <c r="I11" s="175">
        <f t="shared" ref="I11:X11" si="1">SUM(I8:I10)</f>
        <v>374156.12</v>
      </c>
      <c r="J11" s="175">
        <f t="shared" si="1"/>
        <v>0</v>
      </c>
      <c r="K11" s="175">
        <f t="shared" si="1"/>
        <v>832129</v>
      </c>
      <c r="L11" s="175">
        <f t="shared" si="1"/>
        <v>3081000</v>
      </c>
      <c r="M11" s="175">
        <f t="shared" si="1"/>
        <v>17721095</v>
      </c>
      <c r="N11" s="175">
        <f t="shared" si="1"/>
        <v>73898233</v>
      </c>
      <c r="O11" s="175">
        <f t="shared" si="1"/>
        <v>937170</v>
      </c>
      <c r="P11" s="175">
        <f t="shared" si="1"/>
        <v>2534260.2199999997</v>
      </c>
      <c r="Q11" s="175">
        <f t="shared" si="1"/>
        <v>191500</v>
      </c>
      <c r="R11" s="175">
        <f t="shared" si="1"/>
        <v>1409307.5</v>
      </c>
      <c r="S11" s="175">
        <f t="shared" si="1"/>
        <v>53233848.850000001</v>
      </c>
      <c r="T11" s="175">
        <f>SUM(T8:T10)</f>
        <v>691186</v>
      </c>
      <c r="U11" s="175">
        <f t="shared" si="1"/>
        <v>526061</v>
      </c>
      <c r="V11" s="175">
        <f>SUM(V8:V10)</f>
        <v>40200</v>
      </c>
      <c r="W11" s="176">
        <f>SUM(W8:W10)</f>
        <v>2320449</v>
      </c>
      <c r="X11" s="176">
        <f t="shared" si="1"/>
        <v>0</v>
      </c>
      <c r="Y11" s="177"/>
    </row>
    <row r="12" spans="1:25" s="136" customFormat="1" ht="15" customHeight="1" thickBot="1" x14ac:dyDescent="0.3">
      <c r="A12" s="620" t="s">
        <v>849</v>
      </c>
      <c r="B12" s="621"/>
      <c r="C12" s="456">
        <f>C7-C11</f>
        <v>0</v>
      </c>
      <c r="D12" s="466">
        <v>0</v>
      </c>
      <c r="E12" s="456">
        <v>-0.31999999284744263</v>
      </c>
      <c r="F12" s="505">
        <v>0.29000002145767212</v>
      </c>
      <c r="G12" s="481">
        <f>G7-G11</f>
        <v>125854.18000000715</v>
      </c>
      <c r="H12" s="216">
        <f>H7-H11</f>
        <v>-15703877.129999999</v>
      </c>
      <c r="I12" s="135">
        <f t="shared" ref="I12:Y12" si="2">I7-I11</f>
        <v>-374156.12</v>
      </c>
      <c r="J12" s="135">
        <f t="shared" si="2"/>
        <v>3266296</v>
      </c>
      <c r="K12" s="135">
        <f t="shared" si="2"/>
        <v>130144372</v>
      </c>
      <c r="L12" s="135">
        <f t="shared" si="2"/>
        <v>11442030</v>
      </c>
      <c r="M12" s="135">
        <f t="shared" si="2"/>
        <v>-17721095</v>
      </c>
      <c r="N12" s="135">
        <f t="shared" si="2"/>
        <v>-73898233</v>
      </c>
      <c r="O12" s="135">
        <f t="shared" si="2"/>
        <v>-937170</v>
      </c>
      <c r="P12" s="135">
        <f t="shared" si="2"/>
        <v>-2534260.2199999997</v>
      </c>
      <c r="Q12" s="135">
        <f t="shared" si="2"/>
        <v>-191500</v>
      </c>
      <c r="R12" s="135">
        <f t="shared" si="2"/>
        <v>-1409307.5</v>
      </c>
      <c r="S12" s="135">
        <f t="shared" si="2"/>
        <v>-53133848.850000001</v>
      </c>
      <c r="T12" s="135">
        <f>T7-T11</f>
        <v>-691186</v>
      </c>
      <c r="U12" s="135">
        <f t="shared" si="2"/>
        <v>-526061</v>
      </c>
      <c r="V12" s="135">
        <f>V7-V11</f>
        <v>-40200</v>
      </c>
      <c r="W12" s="164">
        <f>W7-W11</f>
        <v>-2320449</v>
      </c>
      <c r="X12" s="164">
        <f t="shared" si="2"/>
        <v>9754500</v>
      </c>
      <c r="Y12" s="164">
        <f t="shared" si="2"/>
        <v>15000000</v>
      </c>
    </row>
    <row r="13" spans="1:25" ht="15" customHeight="1" x14ac:dyDescent="0.25">
      <c r="A13" s="137"/>
      <c r="B13" s="138"/>
      <c r="C13" s="138"/>
      <c r="D13" s="138"/>
      <c r="E13" s="138"/>
      <c r="F13" s="138"/>
      <c r="G13" s="138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6" spans="1:25" x14ac:dyDescent="0.25">
      <c r="H16" s="335"/>
    </row>
    <row r="17" spans="8:17" x14ac:dyDescent="0.25">
      <c r="H17" s="335"/>
      <c r="J17" s="335"/>
    </row>
    <row r="18" spans="8:17" ht="22.5" customHeight="1" x14ac:dyDescent="0.25">
      <c r="H18" s="335"/>
      <c r="I18" s="616"/>
      <c r="J18" s="616"/>
      <c r="K18" s="616"/>
      <c r="L18" s="616"/>
      <c r="M18" s="616"/>
      <c r="N18" s="616"/>
      <c r="O18" s="616"/>
      <c r="P18" s="616"/>
      <c r="Q18" s="616"/>
    </row>
    <row r="21" spans="8:17" x14ac:dyDescent="0.25">
      <c r="I21" s="335"/>
    </row>
    <row r="23" spans="8:17" x14ac:dyDescent="0.25">
      <c r="P23" s="441"/>
    </row>
  </sheetData>
  <mergeCells count="5">
    <mergeCell ref="I18:Q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455"/>
  <sheetViews>
    <sheetView zoomScale="80" zoomScaleNormal="80" zoomScaleSheetLayoutView="66" workbookViewId="0">
      <pane ySplit="4" topLeftCell="A158" activePane="bottomLeft" state="frozen"/>
      <selection pane="bottomLeft" activeCell="K273" sqref="K273"/>
    </sheetView>
  </sheetViews>
  <sheetFormatPr defaultColWidth="9.140625" defaultRowHeight="15" x14ac:dyDescent="0.25"/>
  <cols>
    <col min="1" max="1" width="7.85546875" style="118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10" width="14.28515625" style="12" customWidth="1"/>
    <col min="11" max="11" width="17.5703125" style="12" customWidth="1"/>
    <col min="12" max="12" width="10.85546875" style="12" customWidth="1"/>
    <col min="13" max="13" width="10.5703125" style="12" customWidth="1"/>
    <col min="14" max="14" width="13.5703125" style="12" customWidth="1"/>
    <col min="15" max="15" width="16" style="12" customWidth="1"/>
    <col min="16" max="16" width="8.42578125" style="12" customWidth="1"/>
    <col min="17" max="17" width="10.28515625" style="12" customWidth="1"/>
    <col min="18" max="18" width="17.5703125" style="12" customWidth="1"/>
    <col min="19" max="19" width="16.5703125" style="12" customWidth="1"/>
    <col min="20" max="21" width="11.5703125" style="12" customWidth="1"/>
    <col min="22" max="22" width="14.28515625" style="12" customWidth="1"/>
    <col min="23" max="23" width="15.42578125" style="12" customWidth="1"/>
    <col min="24" max="24" width="12.85546875" style="12" customWidth="1"/>
    <col min="25" max="25" width="14.42578125" style="12" customWidth="1"/>
    <col min="26" max="26" width="12.7109375" style="12" customWidth="1"/>
    <col min="27" max="27" width="16.28515625" style="12" customWidth="1"/>
    <col min="28" max="28" width="16.42578125" style="12" customWidth="1"/>
    <col min="29" max="29" width="17.42578125" style="12" customWidth="1"/>
    <col min="30" max="30" width="15.7109375" style="12" customWidth="1"/>
    <col min="31" max="31" width="17.42578125" style="12" customWidth="1"/>
    <col min="32" max="32" width="21.7109375" style="50" bestFit="1" customWidth="1"/>
    <col min="33" max="33" width="9.140625" style="17"/>
    <col min="34" max="34" width="9.28515625" style="17" bestFit="1" customWidth="1"/>
    <col min="35" max="16384" width="9.140625" style="17"/>
  </cols>
  <sheetData>
    <row r="1" spans="1:34" ht="15.75" thickBot="1" x14ac:dyDescent="0.3">
      <c r="AE1" s="11" t="s">
        <v>827</v>
      </c>
    </row>
    <row r="2" spans="1:34" ht="15" customHeight="1" x14ac:dyDescent="0.25">
      <c r="B2" s="677" t="s">
        <v>0</v>
      </c>
      <c r="C2" s="668"/>
      <c r="D2" s="668"/>
      <c r="E2" s="668"/>
      <c r="F2" s="661" t="s">
        <v>1049</v>
      </c>
      <c r="G2" s="661" t="s">
        <v>1052</v>
      </c>
      <c r="H2" s="661" t="s">
        <v>1054</v>
      </c>
      <c r="I2" s="661" t="s">
        <v>1055</v>
      </c>
      <c r="J2" s="661" t="s">
        <v>1059</v>
      </c>
      <c r="K2" s="661" t="s">
        <v>1041</v>
      </c>
      <c r="L2" s="682" t="s">
        <v>1046</v>
      </c>
      <c r="M2" s="683"/>
      <c r="N2" s="683"/>
      <c r="O2" s="683"/>
      <c r="P2" s="683"/>
      <c r="Q2" s="683"/>
      <c r="R2" s="683"/>
      <c r="S2" s="684"/>
      <c r="T2" s="661" t="s">
        <v>1053</v>
      </c>
      <c r="U2" s="668"/>
      <c r="V2" s="668"/>
      <c r="W2" s="668"/>
      <c r="X2" s="668"/>
      <c r="Y2" s="668"/>
      <c r="Z2" s="668"/>
      <c r="AA2" s="669"/>
      <c r="AB2" s="668" t="s">
        <v>1050</v>
      </c>
      <c r="AC2" s="668"/>
      <c r="AD2" s="668"/>
      <c r="AE2" s="669"/>
      <c r="AF2" s="51"/>
    </row>
    <row r="3" spans="1:34" ht="15" customHeight="1" x14ac:dyDescent="0.25">
      <c r="B3" s="678"/>
      <c r="C3" s="679"/>
      <c r="D3" s="679"/>
      <c r="E3" s="679"/>
      <c r="F3" s="662"/>
      <c r="G3" s="662"/>
      <c r="H3" s="662"/>
      <c r="I3" s="662"/>
      <c r="J3" s="662"/>
      <c r="K3" s="662"/>
      <c r="L3" s="664" t="s">
        <v>839</v>
      </c>
      <c r="M3" s="666" t="s">
        <v>840</v>
      </c>
      <c r="N3" s="666" t="s">
        <v>841</v>
      </c>
      <c r="O3" s="666" t="s">
        <v>826</v>
      </c>
      <c r="P3" s="666" t="s">
        <v>856</v>
      </c>
      <c r="Q3" s="666" t="s">
        <v>998</v>
      </c>
      <c r="R3" s="673" t="s">
        <v>852</v>
      </c>
      <c r="S3" s="685" t="s">
        <v>1038</v>
      </c>
      <c r="T3" s="672"/>
      <c r="U3" s="670"/>
      <c r="V3" s="670"/>
      <c r="W3" s="670"/>
      <c r="X3" s="670"/>
      <c r="Y3" s="670"/>
      <c r="Z3" s="670"/>
      <c r="AA3" s="671"/>
      <c r="AB3" s="670"/>
      <c r="AC3" s="670"/>
      <c r="AD3" s="670"/>
      <c r="AE3" s="671"/>
      <c r="AF3" s="51"/>
    </row>
    <row r="4" spans="1:34" ht="74.25" customHeight="1" thickBot="1" x14ac:dyDescent="0.3">
      <c r="B4" s="680"/>
      <c r="C4" s="681"/>
      <c r="D4" s="681"/>
      <c r="E4" s="681"/>
      <c r="F4" s="663"/>
      <c r="G4" s="663"/>
      <c r="H4" s="663"/>
      <c r="I4" s="663"/>
      <c r="J4" s="663"/>
      <c r="K4" s="663"/>
      <c r="L4" s="665"/>
      <c r="M4" s="667"/>
      <c r="N4" s="667"/>
      <c r="O4" s="667"/>
      <c r="P4" s="667"/>
      <c r="Q4" s="667"/>
      <c r="R4" s="674"/>
      <c r="S4" s="686"/>
      <c r="T4" s="122" t="s">
        <v>592</v>
      </c>
      <c r="U4" s="63" t="s">
        <v>593</v>
      </c>
      <c r="V4" s="408" t="s">
        <v>594</v>
      </c>
      <c r="W4" s="408" t="s">
        <v>595</v>
      </c>
      <c r="X4" s="80" t="s">
        <v>596</v>
      </c>
      <c r="Y4" s="408" t="s">
        <v>597</v>
      </c>
      <c r="Z4" s="408" t="s">
        <v>598</v>
      </c>
      <c r="AA4" s="390" t="s">
        <v>599</v>
      </c>
      <c r="AB4" s="389" t="s">
        <v>600</v>
      </c>
      <c r="AC4" s="408" t="s">
        <v>601</v>
      </c>
      <c r="AD4" s="408" t="s">
        <v>602</v>
      </c>
      <c r="AE4" s="390" t="s">
        <v>603</v>
      </c>
      <c r="AF4" s="51" t="s">
        <v>1060</v>
      </c>
    </row>
    <row r="5" spans="1:34" ht="15.75" customHeight="1" thickBot="1" x14ac:dyDescent="0.3">
      <c r="B5" s="81" t="s">
        <v>1</v>
      </c>
      <c r="C5" s="660" t="s">
        <v>2</v>
      </c>
      <c r="D5" s="660"/>
      <c r="E5" s="648"/>
      <c r="F5" s="568">
        <v>18893937</v>
      </c>
      <c r="G5" s="568">
        <v>18711337</v>
      </c>
      <c r="H5" s="568">
        <v>18711337</v>
      </c>
      <c r="I5" s="568">
        <f>I6</f>
        <v>18770031</v>
      </c>
      <c r="J5" s="568">
        <f t="shared" ref="J5:K5" si="0">J6</f>
        <v>18917085</v>
      </c>
      <c r="K5" s="568">
        <f t="shared" si="0"/>
        <v>18917085</v>
      </c>
      <c r="L5" s="82">
        <f t="shared" ref="L5:R5" si="1">L6+L23+L24+L25+L36+L47</f>
        <v>0</v>
      </c>
      <c r="M5" s="85">
        <f t="shared" si="1"/>
        <v>0</v>
      </c>
      <c r="N5" s="85">
        <f t="shared" si="1"/>
        <v>0</v>
      </c>
      <c r="O5" s="85">
        <f>O6+O23+O24+O25+O36+O47</f>
        <v>18917085</v>
      </c>
      <c r="P5" s="83">
        <f t="shared" si="1"/>
        <v>0</v>
      </c>
      <c r="Q5" s="86"/>
      <c r="R5" s="86">
        <f t="shared" si="1"/>
        <v>0</v>
      </c>
      <c r="S5" s="84"/>
      <c r="T5" s="82">
        <f>T6+T23+T24+T25+T36+T47</f>
        <v>2266222</v>
      </c>
      <c r="U5" s="83">
        <f t="shared" ref="U5:AE5" si="2">U6+U23+U24+U25+U36+U47</f>
        <v>1524053</v>
      </c>
      <c r="V5" s="86">
        <f t="shared" si="2"/>
        <v>1512681</v>
      </c>
      <c r="W5" s="86">
        <f t="shared" si="2"/>
        <v>1512681</v>
      </c>
      <c r="X5" s="83">
        <f t="shared" si="2"/>
        <v>1512681</v>
      </c>
      <c r="Y5" s="86">
        <f t="shared" si="2"/>
        <v>1512681</v>
      </c>
      <c r="Z5" s="86">
        <f t="shared" si="2"/>
        <v>1512681</v>
      </c>
      <c r="AA5" s="87">
        <f t="shared" si="2"/>
        <v>1512681</v>
      </c>
      <c r="AB5" s="338">
        <f t="shared" si="2"/>
        <v>1480535</v>
      </c>
      <c r="AC5" s="86">
        <f t="shared" si="2"/>
        <v>1480535</v>
      </c>
      <c r="AD5" s="86">
        <f t="shared" si="2"/>
        <v>1466809</v>
      </c>
      <c r="AE5" s="87">
        <f t="shared" si="2"/>
        <v>1622845</v>
      </c>
      <c r="AF5" s="52">
        <f>K5-J5</f>
        <v>0</v>
      </c>
      <c r="AH5" s="180"/>
    </row>
    <row r="6" spans="1:34" s="18" customFormat="1" x14ac:dyDescent="0.25">
      <c r="A6" s="118"/>
      <c r="B6" s="115" t="s">
        <v>715</v>
      </c>
      <c r="C6" s="653" t="s">
        <v>3</v>
      </c>
      <c r="D6" s="654"/>
      <c r="E6" s="654"/>
      <c r="F6" s="569">
        <v>18893937</v>
      </c>
      <c r="G6" s="569">
        <v>18711337</v>
      </c>
      <c r="H6" s="569">
        <v>18711337</v>
      </c>
      <c r="I6" s="569">
        <f>I7+I19+I20+I21</f>
        <v>18770031</v>
      </c>
      <c r="J6" s="569">
        <f>J7+J19+J20+J21</f>
        <v>18917085</v>
      </c>
      <c r="K6" s="569">
        <f t="shared" ref="K6" si="3">K7+K19+K20+K21</f>
        <v>18917085</v>
      </c>
      <c r="L6" s="109">
        <f t="shared" ref="L6:R6" si="4">L7+L18+L19+L20+L21+L22</f>
        <v>0</v>
      </c>
      <c r="M6" s="112">
        <f t="shared" si="4"/>
        <v>0</v>
      </c>
      <c r="N6" s="112">
        <f t="shared" si="4"/>
        <v>0</v>
      </c>
      <c r="O6" s="112">
        <f>O7+O18+O19+O20+O21+O22</f>
        <v>18917085</v>
      </c>
      <c r="P6" s="110">
        <f t="shared" si="4"/>
        <v>0</v>
      </c>
      <c r="Q6" s="113"/>
      <c r="R6" s="113">
        <f t="shared" si="4"/>
        <v>0</v>
      </c>
      <c r="S6" s="111"/>
      <c r="T6" s="109">
        <f>T7+T18+T19+T20+T21+T22</f>
        <v>2266222</v>
      </c>
      <c r="U6" s="110">
        <f t="shared" ref="U6:AE6" si="5">U7+U18+U19+U20+U21+U22</f>
        <v>1524053</v>
      </c>
      <c r="V6" s="113">
        <f t="shared" si="5"/>
        <v>1512681</v>
      </c>
      <c r="W6" s="113">
        <f t="shared" si="5"/>
        <v>1512681</v>
      </c>
      <c r="X6" s="110">
        <f t="shared" si="5"/>
        <v>1512681</v>
      </c>
      <c r="Y6" s="113">
        <f t="shared" si="5"/>
        <v>1512681</v>
      </c>
      <c r="Z6" s="113">
        <f t="shared" si="5"/>
        <v>1512681</v>
      </c>
      <c r="AA6" s="114">
        <f t="shared" si="5"/>
        <v>1512681</v>
      </c>
      <c r="AB6" s="339">
        <f t="shared" si="5"/>
        <v>1480535</v>
      </c>
      <c r="AC6" s="113">
        <f t="shared" si="5"/>
        <v>1480535</v>
      </c>
      <c r="AD6" s="113">
        <f t="shared" si="5"/>
        <v>1466809</v>
      </c>
      <c r="AE6" s="114">
        <f t="shared" si="5"/>
        <v>1622845</v>
      </c>
      <c r="AF6" s="52">
        <f t="shared" ref="AF6:AF69" si="6">K6-J6</f>
        <v>0</v>
      </c>
      <c r="AH6" s="180"/>
    </row>
    <row r="7" spans="1:34" x14ac:dyDescent="0.25">
      <c r="A7" s="118" t="s">
        <v>4</v>
      </c>
      <c r="B7" s="53" t="s">
        <v>716</v>
      </c>
      <c r="C7" s="223" t="s">
        <v>5</v>
      </c>
      <c r="D7" s="224"/>
      <c r="E7" s="567"/>
      <c r="F7" s="77">
        <v>12421237</v>
      </c>
      <c r="G7" s="77">
        <v>14439337</v>
      </c>
      <c r="H7" s="77">
        <v>14439337</v>
      </c>
      <c r="I7" s="77">
        <v>14439337</v>
      </c>
      <c r="J7" s="77">
        <f>SUM(J8:J17)</f>
        <v>14460199</v>
      </c>
      <c r="K7" s="77">
        <f t="shared" ref="K7:K38" si="7">SUM(T7:AE7)</f>
        <v>14460199</v>
      </c>
      <c r="L7" s="74">
        <f t="shared" ref="L7:R7" si="8">SUM(L8:L16)</f>
        <v>0</v>
      </c>
      <c r="M7" s="43">
        <f t="shared" si="8"/>
        <v>0</v>
      </c>
      <c r="N7" s="43">
        <f t="shared" si="8"/>
        <v>0</v>
      </c>
      <c r="O7" s="43">
        <f>SUM(O8:O17)</f>
        <v>14460199</v>
      </c>
      <c r="P7" s="13">
        <f t="shared" si="8"/>
        <v>0</v>
      </c>
      <c r="Q7" s="79"/>
      <c r="R7" s="79">
        <f t="shared" si="8"/>
        <v>0</v>
      </c>
      <c r="S7" s="75"/>
      <c r="T7" s="74">
        <f>SUM(T8:T17)</f>
        <v>1753582</v>
      </c>
      <c r="U7" s="13">
        <f t="shared" ref="U7:AE7" si="9">SUM(U8:U17)</f>
        <v>1155147</v>
      </c>
      <c r="V7" s="79">
        <f t="shared" si="9"/>
        <v>1155147</v>
      </c>
      <c r="W7" s="79">
        <f t="shared" si="9"/>
        <v>1155147</v>
      </c>
      <c r="X7" s="13">
        <f t="shared" si="9"/>
        <v>1155147</v>
      </c>
      <c r="Y7" s="79">
        <f t="shared" si="9"/>
        <v>1155147</v>
      </c>
      <c r="Z7" s="79">
        <f t="shared" si="9"/>
        <v>1155147</v>
      </c>
      <c r="AA7" s="45">
        <f t="shared" si="9"/>
        <v>1155147</v>
      </c>
      <c r="AB7" s="43">
        <f t="shared" si="9"/>
        <v>1123001</v>
      </c>
      <c r="AC7" s="13">
        <f t="shared" si="9"/>
        <v>1123001</v>
      </c>
      <c r="AD7" s="13">
        <f t="shared" si="9"/>
        <v>1109275</v>
      </c>
      <c r="AE7" s="43">
        <f t="shared" si="9"/>
        <v>1265311</v>
      </c>
      <c r="AF7" s="52">
        <f t="shared" si="6"/>
        <v>0</v>
      </c>
      <c r="AG7" s="180"/>
      <c r="AH7" s="180"/>
    </row>
    <row r="8" spans="1:34" ht="15" customHeight="1" x14ac:dyDescent="0.25">
      <c r="B8" s="54"/>
      <c r="C8" s="166"/>
      <c r="D8" s="165" t="s">
        <v>858</v>
      </c>
      <c r="E8" s="565"/>
      <c r="F8" s="76">
        <v>1139530</v>
      </c>
      <c r="G8" s="76">
        <v>1139530</v>
      </c>
      <c r="H8" s="76">
        <v>1139530</v>
      </c>
      <c r="I8" s="76">
        <v>1139530</v>
      </c>
      <c r="J8" s="76">
        <v>1139530</v>
      </c>
      <c r="K8" s="76">
        <f t="shared" si="7"/>
        <v>1139530</v>
      </c>
      <c r="L8" s="72"/>
      <c r="M8" s="42"/>
      <c r="N8" s="42"/>
      <c r="O8" s="42">
        <f>K8</f>
        <v>1139530</v>
      </c>
      <c r="P8" s="1"/>
      <c r="Q8" s="78"/>
      <c r="R8" s="78"/>
      <c r="S8" s="73"/>
      <c r="T8" s="72">
        <f>17392+94960+13726+13726</f>
        <v>139804</v>
      </c>
      <c r="U8" s="1">
        <v>94960</v>
      </c>
      <c r="V8" s="78">
        <v>94960</v>
      </c>
      <c r="W8" s="78">
        <f>94960+27558</f>
        <v>122518</v>
      </c>
      <c r="X8" s="1">
        <f>23327+94960</f>
        <v>118287</v>
      </c>
      <c r="Y8" s="78">
        <f>26793+94960</f>
        <v>121753</v>
      </c>
      <c r="Z8" s="78">
        <f>30793+94960</f>
        <v>125753</v>
      </c>
      <c r="AA8" s="44">
        <f>94960-24439+32146</f>
        <v>102667</v>
      </c>
      <c r="AB8" s="42">
        <f>94960-24439</f>
        <v>70521</v>
      </c>
      <c r="AC8" s="1">
        <f>94960-24439</f>
        <v>70521</v>
      </c>
      <c r="AD8" s="343">
        <f>94960-24439-13726</f>
        <v>56795</v>
      </c>
      <c r="AE8" s="44">
        <f>94970-17392-24441-32146</f>
        <v>20991</v>
      </c>
      <c r="AF8" s="52">
        <f t="shared" si="6"/>
        <v>0</v>
      </c>
      <c r="AG8" s="180"/>
      <c r="AH8" s="180"/>
    </row>
    <row r="9" spans="1:34" x14ac:dyDescent="0.25">
      <c r="B9" s="54"/>
      <c r="C9" s="166"/>
      <c r="D9" s="165" t="s">
        <v>859</v>
      </c>
      <c r="E9" s="565"/>
      <c r="F9" s="76">
        <v>1600000</v>
      </c>
      <c r="G9" s="76">
        <v>1600000</v>
      </c>
      <c r="H9" s="76">
        <v>1600000</v>
      </c>
      <c r="I9" s="76">
        <v>1600000</v>
      </c>
      <c r="J9" s="76">
        <v>1600000</v>
      </c>
      <c r="K9" s="76">
        <f t="shared" si="7"/>
        <v>1600000</v>
      </c>
      <c r="L9" s="72"/>
      <c r="M9" s="42"/>
      <c r="N9" s="42"/>
      <c r="O9" s="42">
        <f t="shared" ref="O9:O16" si="10">K9</f>
        <v>1600000</v>
      </c>
      <c r="P9" s="1"/>
      <c r="Q9" s="78"/>
      <c r="R9" s="78"/>
      <c r="S9" s="73"/>
      <c r="T9" s="72">
        <f>17392+133333+13726</f>
        <v>164451</v>
      </c>
      <c r="U9" s="1">
        <f>133333-30834+23327</f>
        <v>125826</v>
      </c>
      <c r="V9" s="78">
        <f>133333-36300+28793</f>
        <v>125826</v>
      </c>
      <c r="W9" s="78">
        <f>133333+27558</f>
        <v>160891</v>
      </c>
      <c r="X9" s="1">
        <v>133333</v>
      </c>
      <c r="Y9" s="78">
        <v>133333</v>
      </c>
      <c r="Z9" s="78">
        <v>133333</v>
      </c>
      <c r="AA9" s="44">
        <v>133333</v>
      </c>
      <c r="AB9" s="42">
        <v>133333</v>
      </c>
      <c r="AC9" s="1">
        <v>133333</v>
      </c>
      <c r="AD9" s="343">
        <v>133333</v>
      </c>
      <c r="AE9" s="44">
        <f>133337+49742-93404</f>
        <v>89675</v>
      </c>
      <c r="AF9" s="52">
        <f t="shared" si="6"/>
        <v>0</v>
      </c>
      <c r="AG9" s="180"/>
      <c r="AH9" s="180"/>
    </row>
    <row r="10" spans="1:34" x14ac:dyDescent="0.25">
      <c r="B10" s="54"/>
      <c r="C10" s="166"/>
      <c r="D10" s="165" t="s">
        <v>860</v>
      </c>
      <c r="E10" s="565"/>
      <c r="F10" s="76">
        <v>100000</v>
      </c>
      <c r="G10" s="76">
        <v>100000</v>
      </c>
      <c r="H10" s="76">
        <v>100000</v>
      </c>
      <c r="I10" s="76">
        <v>100000</v>
      </c>
      <c r="J10" s="76">
        <v>100000</v>
      </c>
      <c r="K10" s="76">
        <f t="shared" si="7"/>
        <v>100000</v>
      </c>
      <c r="L10" s="72"/>
      <c r="M10" s="42"/>
      <c r="N10" s="42"/>
      <c r="O10" s="42">
        <f t="shared" si="10"/>
        <v>100000</v>
      </c>
      <c r="P10" s="1"/>
      <c r="Q10" s="78"/>
      <c r="R10" s="78"/>
      <c r="S10" s="73"/>
      <c r="T10" s="72">
        <f>17392+8333</f>
        <v>25725</v>
      </c>
      <c r="U10" s="1">
        <v>8333</v>
      </c>
      <c r="V10" s="78">
        <v>8333</v>
      </c>
      <c r="W10" s="78">
        <f>8333</f>
        <v>8333</v>
      </c>
      <c r="X10" s="1">
        <v>8333</v>
      </c>
      <c r="Y10" s="78">
        <v>8333</v>
      </c>
      <c r="Z10" s="78">
        <v>8333</v>
      </c>
      <c r="AA10" s="44">
        <f>8333-3478</f>
        <v>4855</v>
      </c>
      <c r="AB10" s="42">
        <v>4855</v>
      </c>
      <c r="AC10" s="1">
        <v>4855</v>
      </c>
      <c r="AD10" s="343">
        <v>4855</v>
      </c>
      <c r="AE10" s="44">
        <v>4857</v>
      </c>
      <c r="AF10" s="52">
        <f t="shared" si="6"/>
        <v>0</v>
      </c>
      <c r="AG10" s="180"/>
      <c r="AH10" s="180"/>
    </row>
    <row r="11" spans="1:34" ht="15" customHeight="1" x14ac:dyDescent="0.25">
      <c r="B11" s="54"/>
      <c r="C11" s="166"/>
      <c r="D11" s="165" t="s">
        <v>861</v>
      </c>
      <c r="E11" s="565"/>
      <c r="F11" s="76">
        <v>640140</v>
      </c>
      <c r="G11" s="76">
        <v>640140</v>
      </c>
      <c r="H11" s="76">
        <v>640140</v>
      </c>
      <c r="I11" s="76">
        <v>640140</v>
      </c>
      <c r="J11" s="76">
        <v>640140</v>
      </c>
      <c r="K11" s="76">
        <f t="shared" si="7"/>
        <v>640140</v>
      </c>
      <c r="L11" s="72"/>
      <c r="M11" s="42"/>
      <c r="N11" s="42"/>
      <c r="O11" s="42">
        <f t="shared" si="10"/>
        <v>640140</v>
      </c>
      <c r="P11" s="1"/>
      <c r="Q11" s="78"/>
      <c r="R11" s="78"/>
      <c r="S11" s="73"/>
      <c r="T11" s="72">
        <f>13726+53345+4</f>
        <v>67075</v>
      </c>
      <c r="U11" s="1">
        <v>53345</v>
      </c>
      <c r="V11" s="78">
        <v>53345</v>
      </c>
      <c r="W11" s="78">
        <f>27558+53348</f>
        <v>80906</v>
      </c>
      <c r="X11" s="1">
        <v>53345</v>
      </c>
      <c r="Y11" s="78">
        <v>53345</v>
      </c>
      <c r="Z11" s="78">
        <v>53345</v>
      </c>
      <c r="AA11" s="44">
        <f>53345-8258</f>
        <v>45087</v>
      </c>
      <c r="AB11" s="42">
        <f>53345-8258</f>
        <v>45087</v>
      </c>
      <c r="AC11" s="1">
        <f>53345-8258</f>
        <v>45087</v>
      </c>
      <c r="AD11" s="343">
        <f>53345-8258</f>
        <v>45087</v>
      </c>
      <c r="AE11" s="44">
        <f>53345-8259</f>
        <v>45086</v>
      </c>
      <c r="AF11" s="52">
        <f t="shared" si="6"/>
        <v>0</v>
      </c>
      <c r="AG11" s="180"/>
      <c r="AH11" s="180"/>
    </row>
    <row r="12" spans="1:34" x14ac:dyDescent="0.25">
      <c r="B12" s="54"/>
      <c r="C12" s="407"/>
      <c r="D12" s="406" t="s">
        <v>862</v>
      </c>
      <c r="E12" s="565"/>
      <c r="F12" s="76">
        <v>5000000</v>
      </c>
      <c r="G12" s="76">
        <v>5000000</v>
      </c>
      <c r="H12" s="76">
        <v>5000000</v>
      </c>
      <c r="I12" s="76">
        <v>5000000</v>
      </c>
      <c r="J12" s="76">
        <v>5000000</v>
      </c>
      <c r="K12" s="76">
        <f t="shared" si="7"/>
        <v>5000000</v>
      </c>
      <c r="L12" s="72"/>
      <c r="M12" s="42"/>
      <c r="N12" s="42"/>
      <c r="O12" s="42">
        <f t="shared" si="10"/>
        <v>5000000</v>
      </c>
      <c r="P12" s="1"/>
      <c r="Q12" s="78"/>
      <c r="R12" s="78"/>
      <c r="S12" s="73"/>
      <c r="T12" s="72">
        <f>382984+404212+17392-20862</f>
        <v>783726</v>
      </c>
      <c r="U12" s="1">
        <v>382984</v>
      </c>
      <c r="V12" s="78">
        <v>382984</v>
      </c>
      <c r="W12" s="78">
        <f>382984-145300+27558+27558</f>
        <v>292800</v>
      </c>
      <c r="X12" s="1">
        <f>382984-12300-18534</f>
        <v>352150</v>
      </c>
      <c r="Y12" s="78">
        <f>382984-34300</f>
        <v>348684</v>
      </c>
      <c r="Z12" s="78">
        <f>382984-38300</f>
        <v>344684</v>
      </c>
      <c r="AA12" s="44">
        <v>382984</v>
      </c>
      <c r="AB12" s="42">
        <v>382984</v>
      </c>
      <c r="AC12" s="1">
        <v>382984</v>
      </c>
      <c r="AD12" s="343">
        <v>382984</v>
      </c>
      <c r="AE12" s="44">
        <f>382964+252204-55116</f>
        <v>580052</v>
      </c>
      <c r="AF12" s="52">
        <f t="shared" si="6"/>
        <v>0</v>
      </c>
      <c r="AG12" s="180"/>
      <c r="AH12" s="180"/>
    </row>
    <row r="13" spans="1:34" x14ac:dyDescent="0.25">
      <c r="B13" s="54"/>
      <c r="C13" s="407"/>
      <c r="D13" s="406" t="s">
        <v>863</v>
      </c>
      <c r="E13" s="565"/>
      <c r="F13" s="76">
        <v>86700</v>
      </c>
      <c r="G13" s="76">
        <v>86700</v>
      </c>
      <c r="H13" s="76">
        <v>86700</v>
      </c>
      <c r="I13" s="76">
        <v>86700</v>
      </c>
      <c r="J13" s="76">
        <v>86700</v>
      </c>
      <c r="K13" s="76">
        <f t="shared" si="7"/>
        <v>86700</v>
      </c>
      <c r="L13" s="72"/>
      <c r="M13" s="42"/>
      <c r="N13" s="42"/>
      <c r="O13" s="42">
        <f t="shared" si="10"/>
        <v>86700</v>
      </c>
      <c r="P13" s="1"/>
      <c r="Q13" s="78"/>
      <c r="R13" s="78"/>
      <c r="S13" s="73"/>
      <c r="T13" s="72">
        <f>17392+7013</f>
        <v>24405</v>
      </c>
      <c r="U13" s="1">
        <v>7013</v>
      </c>
      <c r="V13" s="78">
        <v>7013</v>
      </c>
      <c r="W13" s="78">
        <v>7013</v>
      </c>
      <c r="X13" s="1">
        <v>7013</v>
      </c>
      <c r="Y13" s="78">
        <v>7013</v>
      </c>
      <c r="Z13" s="78">
        <v>7013</v>
      </c>
      <c r="AA13" s="44">
        <f>7013-3478</f>
        <v>3535</v>
      </c>
      <c r="AB13" s="42">
        <v>3535</v>
      </c>
      <c r="AC13" s="1">
        <v>3535</v>
      </c>
      <c r="AD13" s="343">
        <v>3535</v>
      </c>
      <c r="AE13" s="44">
        <f>7007+2550-3480</f>
        <v>6077</v>
      </c>
      <c r="AF13" s="52">
        <f t="shared" si="6"/>
        <v>0</v>
      </c>
      <c r="AG13" s="180"/>
      <c r="AH13" s="180"/>
    </row>
    <row r="14" spans="1:34" ht="15" customHeight="1" x14ac:dyDescent="0.25">
      <c r="B14" s="54"/>
      <c r="C14" s="337"/>
      <c r="D14" s="336" t="s">
        <v>965</v>
      </c>
      <c r="E14" s="565"/>
      <c r="F14" s="76">
        <v>3854867</v>
      </c>
      <c r="G14" s="76">
        <v>3854867</v>
      </c>
      <c r="H14" s="76">
        <v>3854867</v>
      </c>
      <c r="I14" s="76">
        <v>3854867</v>
      </c>
      <c r="J14" s="76">
        <v>3854867</v>
      </c>
      <c r="K14" s="76">
        <f t="shared" si="7"/>
        <v>3854867</v>
      </c>
      <c r="L14" s="72"/>
      <c r="M14" s="42"/>
      <c r="N14" s="42"/>
      <c r="O14" s="42">
        <f>K14</f>
        <v>3854867</v>
      </c>
      <c r="P14" s="1"/>
      <c r="Q14" s="78"/>
      <c r="R14" s="78"/>
      <c r="S14" s="73"/>
      <c r="T14" s="72">
        <f>128457+192781+17396+13726+13726</f>
        <v>366086</v>
      </c>
      <c r="U14" s="1">
        <f>128457+192781</f>
        <v>321238</v>
      </c>
      <c r="V14" s="78">
        <f t="shared" ref="V14:AD14" si="11">128457+192781</f>
        <v>321238</v>
      </c>
      <c r="W14" s="78">
        <f t="shared" si="11"/>
        <v>321238</v>
      </c>
      <c r="X14" s="1">
        <f t="shared" si="11"/>
        <v>321238</v>
      </c>
      <c r="Y14" s="78">
        <f t="shared" si="11"/>
        <v>321238</v>
      </c>
      <c r="Z14" s="78">
        <f t="shared" si="11"/>
        <v>321238</v>
      </c>
      <c r="AA14" s="44">
        <f t="shared" si="11"/>
        <v>321238</v>
      </c>
      <c r="AB14" s="42">
        <f t="shared" si="11"/>
        <v>321238</v>
      </c>
      <c r="AC14" s="1">
        <f t="shared" si="11"/>
        <v>321238</v>
      </c>
      <c r="AD14" s="42">
        <f t="shared" si="11"/>
        <v>321238</v>
      </c>
      <c r="AE14" s="1">
        <f>128457+192781+11-17397-27451</f>
        <v>276401</v>
      </c>
      <c r="AF14" s="52">
        <f t="shared" si="6"/>
        <v>0</v>
      </c>
      <c r="AG14" s="180"/>
      <c r="AH14" s="180"/>
    </row>
    <row r="15" spans="1:34" x14ac:dyDescent="0.25">
      <c r="B15" s="54"/>
      <c r="C15" s="226"/>
      <c r="D15" s="336" t="s">
        <v>1026</v>
      </c>
      <c r="E15" s="565"/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f t="shared" si="7"/>
        <v>0</v>
      </c>
      <c r="L15" s="72"/>
      <c r="M15" s="42"/>
      <c r="N15" s="42"/>
      <c r="O15" s="42">
        <f t="shared" si="10"/>
        <v>0</v>
      </c>
      <c r="P15" s="1"/>
      <c r="Q15" s="78"/>
      <c r="R15" s="78"/>
      <c r="S15" s="73"/>
      <c r="T15" s="72"/>
      <c r="U15" s="1"/>
      <c r="V15" s="78"/>
      <c r="W15" s="78"/>
      <c r="X15" s="1"/>
      <c r="Y15" s="78"/>
      <c r="Z15" s="78"/>
      <c r="AA15" s="44"/>
      <c r="AB15" s="343"/>
      <c r="AC15" s="1"/>
      <c r="AD15" s="343"/>
      <c r="AE15" s="44"/>
      <c r="AF15" s="52">
        <f t="shared" si="6"/>
        <v>0</v>
      </c>
      <c r="AG15" s="180"/>
      <c r="AH15" s="180"/>
    </row>
    <row r="16" spans="1:34" x14ac:dyDescent="0.25">
      <c r="B16" s="54"/>
      <c r="C16" s="166"/>
      <c r="D16" s="424" t="s">
        <v>1034</v>
      </c>
      <c r="E16" s="565"/>
      <c r="F16" s="76">
        <v>0</v>
      </c>
      <c r="G16" s="76">
        <v>0</v>
      </c>
      <c r="H16" s="76">
        <v>0</v>
      </c>
      <c r="I16" s="76">
        <v>0</v>
      </c>
      <c r="J16" s="76">
        <v>20862</v>
      </c>
      <c r="K16" s="76">
        <f t="shared" si="7"/>
        <v>20862</v>
      </c>
      <c r="L16" s="72"/>
      <c r="M16" s="42"/>
      <c r="N16" s="42"/>
      <c r="O16" s="42">
        <f t="shared" si="10"/>
        <v>20862</v>
      </c>
      <c r="P16" s="1"/>
      <c r="Q16" s="78"/>
      <c r="R16" s="78"/>
      <c r="S16" s="73"/>
      <c r="T16" s="72">
        <v>20862</v>
      </c>
      <c r="U16" s="1"/>
      <c r="V16" s="78"/>
      <c r="W16" s="78"/>
      <c r="X16" s="1"/>
      <c r="Y16" s="78"/>
      <c r="Z16" s="78"/>
      <c r="AA16" s="44"/>
      <c r="AB16" s="343"/>
      <c r="AC16" s="1"/>
      <c r="AD16" s="343"/>
      <c r="AE16" s="44"/>
      <c r="AF16" s="52">
        <f t="shared" si="6"/>
        <v>0</v>
      </c>
      <c r="AG16" s="180"/>
      <c r="AH16" s="180"/>
    </row>
    <row r="17" spans="1:34" x14ac:dyDescent="0.25">
      <c r="B17" s="54"/>
      <c r="C17" s="445"/>
      <c r="D17" s="444" t="s">
        <v>1039</v>
      </c>
      <c r="E17" s="565"/>
      <c r="F17" s="76"/>
      <c r="G17" s="76">
        <v>2018100</v>
      </c>
      <c r="H17" s="76">
        <v>2018100</v>
      </c>
      <c r="I17" s="76">
        <v>2018100</v>
      </c>
      <c r="J17" s="76">
        <v>2018100</v>
      </c>
      <c r="K17" s="76">
        <f t="shared" si="7"/>
        <v>2018100</v>
      </c>
      <c r="L17" s="72"/>
      <c r="M17" s="42"/>
      <c r="N17" s="42"/>
      <c r="O17" s="42">
        <f>K17</f>
        <v>2018100</v>
      </c>
      <c r="P17" s="1"/>
      <c r="Q17" s="78"/>
      <c r="R17" s="78"/>
      <c r="S17" s="73"/>
      <c r="T17" s="72">
        <f>17392+168175+58240-82359</f>
        <v>161448</v>
      </c>
      <c r="U17" s="1">
        <v>161448</v>
      </c>
      <c r="V17" s="1">
        <v>161448</v>
      </c>
      <c r="W17" s="1">
        <v>161448</v>
      </c>
      <c r="X17" s="1">
        <v>161448</v>
      </c>
      <c r="Y17" s="1">
        <v>161448</v>
      </c>
      <c r="Z17" s="78">
        <v>161448</v>
      </c>
      <c r="AA17" s="44">
        <v>161448</v>
      </c>
      <c r="AB17" s="42">
        <v>161448</v>
      </c>
      <c r="AC17" s="1">
        <v>161448</v>
      </c>
      <c r="AD17" s="1">
        <v>161448</v>
      </c>
      <c r="AE17" s="44">
        <f>80724+161448</f>
        <v>242172</v>
      </c>
      <c r="AF17" s="52">
        <f t="shared" si="6"/>
        <v>0</v>
      </c>
      <c r="AG17" s="180"/>
      <c r="AH17" s="180"/>
    </row>
    <row r="18" spans="1:34" ht="15" customHeight="1" x14ac:dyDescent="0.25">
      <c r="A18" s="118" t="s">
        <v>6</v>
      </c>
      <c r="B18" s="53" t="s">
        <v>717</v>
      </c>
      <c r="C18" s="167" t="s">
        <v>789</v>
      </c>
      <c r="D18" s="224"/>
      <c r="E18" s="567"/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f t="shared" si="7"/>
        <v>0</v>
      </c>
      <c r="L18" s="74"/>
      <c r="M18" s="43"/>
      <c r="N18" s="43"/>
      <c r="O18" s="43"/>
      <c r="P18" s="13"/>
      <c r="Q18" s="79"/>
      <c r="R18" s="79"/>
      <c r="S18" s="75"/>
      <c r="T18" s="74"/>
      <c r="U18" s="13"/>
      <c r="V18" s="79"/>
      <c r="W18" s="79"/>
      <c r="X18" s="13"/>
      <c r="Y18" s="79"/>
      <c r="Z18" s="79"/>
      <c r="AA18" s="45"/>
      <c r="AB18" s="342"/>
      <c r="AC18" s="79"/>
      <c r="AD18" s="79"/>
      <c r="AE18" s="45"/>
      <c r="AF18" s="52">
        <f t="shared" si="6"/>
        <v>0</v>
      </c>
      <c r="AG18" s="180"/>
      <c r="AH18" s="180"/>
    </row>
    <row r="19" spans="1:34" ht="27.75" customHeight="1" x14ac:dyDescent="0.25">
      <c r="A19" s="118" t="s">
        <v>7</v>
      </c>
      <c r="B19" s="53" t="s">
        <v>718</v>
      </c>
      <c r="C19" s="675" t="s">
        <v>8</v>
      </c>
      <c r="D19" s="676"/>
      <c r="E19" s="676"/>
      <c r="F19" s="77">
        <v>2472000</v>
      </c>
      <c r="G19" s="77">
        <v>2472000</v>
      </c>
      <c r="H19" s="77">
        <v>2472000</v>
      </c>
      <c r="I19" s="77">
        <v>2472000</v>
      </c>
      <c r="J19" s="77">
        <v>2472000</v>
      </c>
      <c r="K19" s="77">
        <f t="shared" si="7"/>
        <v>2472000</v>
      </c>
      <c r="L19" s="74"/>
      <c r="M19" s="43"/>
      <c r="N19" s="43"/>
      <c r="O19" s="43">
        <f>K19</f>
        <v>2472000</v>
      </c>
      <c r="P19" s="13"/>
      <c r="Q19" s="79"/>
      <c r="R19" s="79"/>
      <c r="S19" s="75"/>
      <c r="T19" s="74">
        <v>296640</v>
      </c>
      <c r="U19" s="13">
        <v>197760</v>
      </c>
      <c r="V19" s="13">
        <v>197760</v>
      </c>
      <c r="W19" s="13">
        <v>197760</v>
      </c>
      <c r="X19" s="13">
        <v>197760</v>
      </c>
      <c r="Y19" s="13">
        <v>197760</v>
      </c>
      <c r="Z19" s="79">
        <v>197760</v>
      </c>
      <c r="AA19" s="45">
        <v>197760</v>
      </c>
      <c r="AB19" s="43">
        <v>197760</v>
      </c>
      <c r="AC19" s="13">
        <v>197760</v>
      </c>
      <c r="AD19" s="13">
        <v>197760</v>
      </c>
      <c r="AE19" s="13">
        <v>197760</v>
      </c>
      <c r="AF19" s="52">
        <f t="shared" si="6"/>
        <v>0</v>
      </c>
      <c r="AG19" s="180"/>
      <c r="AH19" s="180"/>
    </row>
    <row r="20" spans="1:34" x14ac:dyDescent="0.25">
      <c r="A20" s="118" t="s">
        <v>9</v>
      </c>
      <c r="B20" s="53" t="s">
        <v>719</v>
      </c>
      <c r="C20" s="167" t="s">
        <v>10</v>
      </c>
      <c r="D20" s="224"/>
      <c r="E20" s="567"/>
      <c r="F20" s="77">
        <v>1800000</v>
      </c>
      <c r="G20" s="77">
        <v>1800000</v>
      </c>
      <c r="H20" s="77">
        <v>1800000</v>
      </c>
      <c r="I20" s="77">
        <v>1800000</v>
      </c>
      <c r="J20" s="77">
        <v>1800000</v>
      </c>
      <c r="K20" s="77">
        <f t="shared" si="7"/>
        <v>1800000</v>
      </c>
      <c r="L20" s="74"/>
      <c r="M20" s="43"/>
      <c r="N20" s="43"/>
      <c r="O20" s="43">
        <f>K20</f>
        <v>1800000</v>
      </c>
      <c r="P20" s="13"/>
      <c r="Q20" s="79"/>
      <c r="R20" s="79"/>
      <c r="S20" s="75"/>
      <c r="T20" s="74">
        <v>216000</v>
      </c>
      <c r="U20" s="13">
        <v>144000</v>
      </c>
      <c r="V20" s="13">
        <v>144000</v>
      </c>
      <c r="W20" s="13">
        <v>144000</v>
      </c>
      <c r="X20" s="13">
        <v>144000</v>
      </c>
      <c r="Y20" s="13">
        <v>144000</v>
      </c>
      <c r="Z20" s="79">
        <v>144000</v>
      </c>
      <c r="AA20" s="45">
        <v>144000</v>
      </c>
      <c r="AB20" s="43">
        <v>144000</v>
      </c>
      <c r="AC20" s="13">
        <v>144000</v>
      </c>
      <c r="AD20" s="13">
        <v>144000</v>
      </c>
      <c r="AE20" s="13">
        <v>144000</v>
      </c>
      <c r="AF20" s="52">
        <f t="shared" si="6"/>
        <v>0</v>
      </c>
      <c r="AG20" s="180"/>
      <c r="AH20" s="180"/>
    </row>
    <row r="21" spans="1:34" ht="15" customHeight="1" thickBot="1" x14ac:dyDescent="0.3">
      <c r="A21" s="118" t="s">
        <v>11</v>
      </c>
      <c r="B21" s="53" t="s">
        <v>720</v>
      </c>
      <c r="C21" s="167" t="s">
        <v>790</v>
      </c>
      <c r="D21" s="224"/>
      <c r="E21" s="567"/>
      <c r="F21" s="77">
        <v>2200700</v>
      </c>
      <c r="G21" s="77">
        <v>0</v>
      </c>
      <c r="H21" s="77">
        <v>0</v>
      </c>
      <c r="I21" s="77">
        <v>58694</v>
      </c>
      <c r="J21" s="77">
        <f>121790+63096</f>
        <v>184886</v>
      </c>
      <c r="K21" s="77">
        <f t="shared" si="7"/>
        <v>184886</v>
      </c>
      <c r="L21" s="74"/>
      <c r="M21" s="43"/>
      <c r="N21" s="43"/>
      <c r="O21" s="43">
        <f>K21</f>
        <v>184886</v>
      </c>
      <c r="P21" s="13"/>
      <c r="Q21" s="79"/>
      <c r="R21" s="79"/>
      <c r="S21" s="75"/>
      <c r="T21" s="74"/>
      <c r="U21" s="13">
        <v>27146</v>
      </c>
      <c r="V21" s="79">
        <v>15774</v>
      </c>
      <c r="W21" s="79">
        <v>15774</v>
      </c>
      <c r="X21" s="13">
        <v>15774</v>
      </c>
      <c r="Y21" s="79">
        <v>15774</v>
      </c>
      <c r="Z21" s="79">
        <v>15774</v>
      </c>
      <c r="AA21" s="45">
        <v>15774</v>
      </c>
      <c r="AB21" s="43">
        <v>15774</v>
      </c>
      <c r="AC21" s="13">
        <v>15774</v>
      </c>
      <c r="AD21" s="13">
        <v>15774</v>
      </c>
      <c r="AE21" s="13">
        <v>15774</v>
      </c>
      <c r="AF21" s="52">
        <f t="shared" si="6"/>
        <v>0</v>
      </c>
      <c r="AG21" s="180"/>
      <c r="AH21" s="180"/>
    </row>
    <row r="22" spans="1:34" ht="15" hidden="1" customHeight="1" x14ac:dyDescent="0.25">
      <c r="A22" s="118" t="s">
        <v>12</v>
      </c>
      <c r="B22" s="53" t="s">
        <v>721</v>
      </c>
      <c r="C22" s="167" t="s">
        <v>13</v>
      </c>
      <c r="D22" s="224"/>
      <c r="E22" s="567"/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f t="shared" si="7"/>
        <v>0</v>
      </c>
      <c r="L22" s="74"/>
      <c r="M22" s="43"/>
      <c r="N22" s="43"/>
      <c r="O22" s="43"/>
      <c r="P22" s="13"/>
      <c r="Q22" s="79"/>
      <c r="R22" s="79"/>
      <c r="S22" s="75"/>
      <c r="T22" s="74"/>
      <c r="U22" s="13"/>
      <c r="V22" s="79"/>
      <c r="W22" s="79"/>
      <c r="X22" s="13"/>
      <c r="Y22" s="79"/>
      <c r="Z22" s="79"/>
      <c r="AA22" s="45"/>
      <c r="AB22" s="342"/>
      <c r="AC22" s="79"/>
      <c r="AD22" s="79"/>
      <c r="AE22" s="45"/>
      <c r="AF22" s="52">
        <f t="shared" si="6"/>
        <v>0</v>
      </c>
      <c r="AG22" s="180"/>
      <c r="AH22" s="180"/>
    </row>
    <row r="23" spans="1:34" s="18" customFormat="1" ht="15.75" hidden="1" customHeight="1" thickBot="1" x14ac:dyDescent="0.3">
      <c r="A23" s="118" t="s">
        <v>14</v>
      </c>
      <c r="B23" s="88" t="s">
        <v>722</v>
      </c>
      <c r="C23" s="640" t="s">
        <v>393</v>
      </c>
      <c r="D23" s="641"/>
      <c r="E23" s="641"/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f t="shared" si="7"/>
        <v>0</v>
      </c>
      <c r="L23" s="90"/>
      <c r="M23" s="93"/>
      <c r="N23" s="93"/>
      <c r="O23" s="93"/>
      <c r="P23" s="91"/>
      <c r="Q23" s="94"/>
      <c r="R23" s="94"/>
      <c r="S23" s="92"/>
      <c r="T23" s="90"/>
      <c r="U23" s="91"/>
      <c r="V23" s="94"/>
      <c r="W23" s="94"/>
      <c r="X23" s="91"/>
      <c r="Y23" s="94"/>
      <c r="Z23" s="94"/>
      <c r="AA23" s="95"/>
      <c r="AB23" s="346"/>
      <c r="AC23" s="94"/>
      <c r="AD23" s="94"/>
      <c r="AE23" s="95"/>
      <c r="AF23" s="52">
        <f t="shared" si="6"/>
        <v>0</v>
      </c>
      <c r="AG23" s="180"/>
      <c r="AH23" s="180"/>
    </row>
    <row r="24" spans="1:34" s="18" customFormat="1" ht="25.5" hidden="1" customHeight="1" x14ac:dyDescent="0.25">
      <c r="A24" s="118" t="s">
        <v>15</v>
      </c>
      <c r="B24" s="88" t="s">
        <v>723</v>
      </c>
      <c r="C24" s="646" t="s">
        <v>350</v>
      </c>
      <c r="D24" s="647"/>
      <c r="E24" s="647"/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f t="shared" si="7"/>
        <v>0</v>
      </c>
      <c r="L24" s="90"/>
      <c r="M24" s="93"/>
      <c r="N24" s="93"/>
      <c r="O24" s="93"/>
      <c r="P24" s="91"/>
      <c r="Q24" s="94"/>
      <c r="R24" s="94"/>
      <c r="S24" s="92"/>
      <c r="T24" s="90"/>
      <c r="U24" s="91"/>
      <c r="V24" s="94"/>
      <c r="W24" s="94"/>
      <c r="X24" s="91"/>
      <c r="Y24" s="94"/>
      <c r="Z24" s="94"/>
      <c r="AA24" s="95"/>
      <c r="AB24" s="346"/>
      <c r="AC24" s="94"/>
      <c r="AD24" s="94"/>
      <c r="AE24" s="95"/>
      <c r="AF24" s="52">
        <f t="shared" si="6"/>
        <v>0</v>
      </c>
      <c r="AG24" s="180"/>
      <c r="AH24" s="180"/>
    </row>
    <row r="25" spans="1:34" s="18" customFormat="1" ht="25.5" hidden="1" customHeight="1" x14ac:dyDescent="0.25">
      <c r="A25" s="118" t="s">
        <v>16</v>
      </c>
      <c r="B25" s="88" t="s">
        <v>724</v>
      </c>
      <c r="C25" s="646" t="s">
        <v>607</v>
      </c>
      <c r="D25" s="647"/>
      <c r="E25" s="647"/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f t="shared" si="7"/>
        <v>0</v>
      </c>
      <c r="L25" s="90">
        <f t="shared" ref="L25:R25" si="12">L26+L27+L28+L29+L30+L31+L32+L33+L34+L35</f>
        <v>0</v>
      </c>
      <c r="M25" s="93">
        <f t="shared" si="12"/>
        <v>0</v>
      </c>
      <c r="N25" s="93">
        <f t="shared" si="12"/>
        <v>0</v>
      </c>
      <c r="O25" s="93">
        <f t="shared" si="12"/>
        <v>0</v>
      </c>
      <c r="P25" s="91">
        <f t="shared" si="12"/>
        <v>0</v>
      </c>
      <c r="Q25" s="94"/>
      <c r="R25" s="94">
        <f t="shared" si="12"/>
        <v>0</v>
      </c>
      <c r="S25" s="92"/>
      <c r="T25" s="90">
        <f>T26+T27+T28+T29+T30+T31+T32+T33+T34+T35</f>
        <v>0</v>
      </c>
      <c r="U25" s="91">
        <f t="shared" ref="U25:AE25" si="13">U26+U27+U28+U29+U30+U31+U32+U33+U34+U35</f>
        <v>0</v>
      </c>
      <c r="V25" s="94">
        <f t="shared" si="13"/>
        <v>0</v>
      </c>
      <c r="W25" s="94">
        <f t="shared" si="13"/>
        <v>0</v>
      </c>
      <c r="X25" s="91">
        <f t="shared" si="13"/>
        <v>0</v>
      </c>
      <c r="Y25" s="94">
        <f t="shared" si="13"/>
        <v>0</v>
      </c>
      <c r="Z25" s="94">
        <f t="shared" si="13"/>
        <v>0</v>
      </c>
      <c r="AA25" s="95">
        <f t="shared" si="13"/>
        <v>0</v>
      </c>
      <c r="AB25" s="346">
        <f t="shared" si="13"/>
        <v>0</v>
      </c>
      <c r="AC25" s="94">
        <f t="shared" si="13"/>
        <v>0</v>
      </c>
      <c r="AD25" s="94">
        <f t="shared" si="13"/>
        <v>0</v>
      </c>
      <c r="AE25" s="95">
        <f t="shared" si="13"/>
        <v>0</v>
      </c>
      <c r="AF25" s="52">
        <f t="shared" si="6"/>
        <v>0</v>
      </c>
      <c r="AG25" s="180"/>
      <c r="AH25" s="180"/>
    </row>
    <row r="26" spans="1:34" ht="25.5" hidden="1" customHeight="1" x14ac:dyDescent="0.25">
      <c r="B26" s="54"/>
      <c r="C26" s="47"/>
      <c r="D26" s="625" t="s">
        <v>443</v>
      </c>
      <c r="E26" s="625"/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f t="shared" si="7"/>
        <v>0</v>
      </c>
      <c r="L26" s="72"/>
      <c r="M26" s="42"/>
      <c r="N26" s="42"/>
      <c r="O26" s="42"/>
      <c r="P26" s="1"/>
      <c r="Q26" s="78"/>
      <c r="R26" s="78"/>
      <c r="S26" s="73"/>
      <c r="T26" s="72"/>
      <c r="U26" s="1"/>
      <c r="V26" s="78"/>
      <c r="W26" s="78"/>
      <c r="X26" s="1"/>
      <c r="Y26" s="78"/>
      <c r="Z26" s="78"/>
      <c r="AA26" s="44"/>
      <c r="AB26" s="343"/>
      <c r="AC26" s="78"/>
      <c r="AD26" s="78"/>
      <c r="AE26" s="44"/>
      <c r="AF26" s="52">
        <f t="shared" si="6"/>
        <v>0</v>
      </c>
      <c r="AG26" s="180"/>
      <c r="AH26" s="180"/>
    </row>
    <row r="27" spans="1:34" ht="15" hidden="1" customHeight="1" x14ac:dyDescent="0.25">
      <c r="B27" s="54"/>
      <c r="C27" s="47"/>
      <c r="D27" s="624" t="s">
        <v>467</v>
      </c>
      <c r="E27" s="624"/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f t="shared" si="7"/>
        <v>0</v>
      </c>
      <c r="L27" s="72"/>
      <c r="M27" s="42"/>
      <c r="N27" s="42"/>
      <c r="O27" s="42"/>
      <c r="P27" s="1"/>
      <c r="Q27" s="78"/>
      <c r="R27" s="78"/>
      <c r="S27" s="73"/>
      <c r="T27" s="72"/>
      <c r="U27" s="1"/>
      <c r="V27" s="78"/>
      <c r="W27" s="78"/>
      <c r="X27" s="1"/>
      <c r="Y27" s="78"/>
      <c r="Z27" s="78"/>
      <c r="AA27" s="44"/>
      <c r="AB27" s="343"/>
      <c r="AC27" s="78"/>
      <c r="AD27" s="78"/>
      <c r="AE27" s="44"/>
      <c r="AF27" s="52">
        <f t="shared" si="6"/>
        <v>0</v>
      </c>
      <c r="AG27" s="180"/>
      <c r="AH27" s="180"/>
    </row>
    <row r="28" spans="1:34" ht="15" hidden="1" customHeight="1" x14ac:dyDescent="0.25">
      <c r="B28" s="54"/>
      <c r="C28" s="47"/>
      <c r="D28" s="624" t="s">
        <v>444</v>
      </c>
      <c r="E28" s="624"/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f t="shared" si="7"/>
        <v>0</v>
      </c>
      <c r="L28" s="72"/>
      <c r="M28" s="42"/>
      <c r="N28" s="42"/>
      <c r="O28" s="42"/>
      <c r="P28" s="1"/>
      <c r="Q28" s="78"/>
      <c r="R28" s="78"/>
      <c r="S28" s="73"/>
      <c r="T28" s="72"/>
      <c r="U28" s="1"/>
      <c r="V28" s="78"/>
      <c r="W28" s="78"/>
      <c r="X28" s="1"/>
      <c r="Y28" s="78"/>
      <c r="Z28" s="78"/>
      <c r="AA28" s="44"/>
      <c r="AB28" s="343"/>
      <c r="AC28" s="78"/>
      <c r="AD28" s="78"/>
      <c r="AE28" s="44"/>
      <c r="AF28" s="52">
        <f t="shared" si="6"/>
        <v>0</v>
      </c>
      <c r="AG28" s="180"/>
      <c r="AH28" s="180"/>
    </row>
    <row r="29" spans="1:34" ht="25.5" hidden="1" customHeight="1" x14ac:dyDescent="0.25">
      <c r="B29" s="54"/>
      <c r="C29" s="47"/>
      <c r="D29" s="625" t="s">
        <v>445</v>
      </c>
      <c r="E29" s="625"/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f t="shared" si="7"/>
        <v>0</v>
      </c>
      <c r="L29" s="72"/>
      <c r="M29" s="42"/>
      <c r="N29" s="42"/>
      <c r="O29" s="42"/>
      <c r="P29" s="1"/>
      <c r="Q29" s="78"/>
      <c r="R29" s="78"/>
      <c r="S29" s="73"/>
      <c r="T29" s="72"/>
      <c r="U29" s="1"/>
      <c r="V29" s="78"/>
      <c r="W29" s="78"/>
      <c r="X29" s="1"/>
      <c r="Y29" s="78"/>
      <c r="Z29" s="78"/>
      <c r="AA29" s="44"/>
      <c r="AB29" s="343"/>
      <c r="AC29" s="78"/>
      <c r="AD29" s="78"/>
      <c r="AE29" s="44"/>
      <c r="AF29" s="52">
        <f t="shared" si="6"/>
        <v>0</v>
      </c>
      <c r="AG29" s="180"/>
      <c r="AH29" s="180"/>
    </row>
    <row r="30" spans="1:34" ht="15" hidden="1" customHeight="1" x14ac:dyDescent="0.25">
      <c r="B30" s="54"/>
      <c r="C30" s="47"/>
      <c r="D30" s="624" t="s">
        <v>446</v>
      </c>
      <c r="E30" s="624"/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f t="shared" si="7"/>
        <v>0</v>
      </c>
      <c r="L30" s="72"/>
      <c r="M30" s="42"/>
      <c r="N30" s="42"/>
      <c r="O30" s="42"/>
      <c r="P30" s="1"/>
      <c r="Q30" s="78"/>
      <c r="R30" s="78"/>
      <c r="S30" s="73"/>
      <c r="T30" s="72"/>
      <c r="U30" s="1"/>
      <c r="V30" s="78"/>
      <c r="W30" s="78"/>
      <c r="X30" s="1"/>
      <c r="Y30" s="78"/>
      <c r="Z30" s="78"/>
      <c r="AA30" s="44"/>
      <c r="AB30" s="343"/>
      <c r="AC30" s="78"/>
      <c r="AD30" s="78"/>
      <c r="AE30" s="44"/>
      <c r="AF30" s="52">
        <f t="shared" si="6"/>
        <v>0</v>
      </c>
      <c r="AG30" s="180"/>
      <c r="AH30" s="180"/>
    </row>
    <row r="31" spans="1:34" ht="15" hidden="1" customHeight="1" x14ac:dyDescent="0.25">
      <c r="B31" s="54"/>
      <c r="C31" s="47"/>
      <c r="D31" s="624" t="s">
        <v>791</v>
      </c>
      <c r="E31" s="624"/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f t="shared" si="7"/>
        <v>0</v>
      </c>
      <c r="L31" s="72"/>
      <c r="M31" s="42"/>
      <c r="N31" s="42"/>
      <c r="O31" s="42"/>
      <c r="P31" s="1"/>
      <c r="Q31" s="78"/>
      <c r="R31" s="78"/>
      <c r="S31" s="73"/>
      <c r="T31" s="72"/>
      <c r="U31" s="1"/>
      <c r="V31" s="78"/>
      <c r="W31" s="78"/>
      <c r="X31" s="1"/>
      <c r="Y31" s="78"/>
      <c r="Z31" s="78"/>
      <c r="AA31" s="44"/>
      <c r="AB31" s="343"/>
      <c r="AC31" s="78"/>
      <c r="AD31" s="78"/>
      <c r="AE31" s="44"/>
      <c r="AF31" s="52">
        <f t="shared" si="6"/>
        <v>0</v>
      </c>
      <c r="AG31" s="180"/>
      <c r="AH31" s="180"/>
    </row>
    <row r="32" spans="1:34" ht="25.5" hidden="1" customHeight="1" x14ac:dyDescent="0.25">
      <c r="B32" s="54"/>
      <c r="C32" s="47"/>
      <c r="D32" s="625" t="s">
        <v>447</v>
      </c>
      <c r="E32" s="625"/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f t="shared" si="7"/>
        <v>0</v>
      </c>
      <c r="L32" s="72"/>
      <c r="M32" s="42"/>
      <c r="N32" s="42"/>
      <c r="O32" s="42"/>
      <c r="P32" s="1"/>
      <c r="Q32" s="78"/>
      <c r="R32" s="78"/>
      <c r="S32" s="73"/>
      <c r="T32" s="72"/>
      <c r="U32" s="1"/>
      <c r="V32" s="78"/>
      <c r="W32" s="78"/>
      <c r="X32" s="1"/>
      <c r="Y32" s="78"/>
      <c r="Z32" s="78"/>
      <c r="AA32" s="44"/>
      <c r="AB32" s="343"/>
      <c r="AC32" s="78"/>
      <c r="AD32" s="78"/>
      <c r="AE32" s="44"/>
      <c r="AF32" s="52">
        <f t="shared" si="6"/>
        <v>0</v>
      </c>
      <c r="AG32" s="180"/>
      <c r="AH32" s="180"/>
    </row>
    <row r="33" spans="1:34" ht="25.5" hidden="1" customHeight="1" x14ac:dyDescent="0.25">
      <c r="B33" s="54"/>
      <c r="C33" s="47"/>
      <c r="D33" s="625" t="s">
        <v>448</v>
      </c>
      <c r="E33" s="625"/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f t="shared" si="7"/>
        <v>0</v>
      </c>
      <c r="L33" s="72"/>
      <c r="M33" s="42"/>
      <c r="N33" s="42"/>
      <c r="O33" s="42"/>
      <c r="P33" s="1"/>
      <c r="Q33" s="78"/>
      <c r="R33" s="78"/>
      <c r="S33" s="73"/>
      <c r="T33" s="72"/>
      <c r="U33" s="1"/>
      <c r="V33" s="78"/>
      <c r="W33" s="78"/>
      <c r="X33" s="1"/>
      <c r="Y33" s="78"/>
      <c r="Z33" s="78"/>
      <c r="AA33" s="44"/>
      <c r="AB33" s="343"/>
      <c r="AC33" s="78"/>
      <c r="AD33" s="78"/>
      <c r="AE33" s="44"/>
      <c r="AF33" s="52">
        <f t="shared" si="6"/>
        <v>0</v>
      </c>
      <c r="AG33" s="180"/>
      <c r="AH33" s="180"/>
    </row>
    <row r="34" spans="1:34" ht="25.5" hidden="1" customHeight="1" x14ac:dyDescent="0.25">
      <c r="B34" s="54"/>
      <c r="C34" s="47"/>
      <c r="D34" s="625" t="s">
        <v>449</v>
      </c>
      <c r="E34" s="625"/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f t="shared" si="7"/>
        <v>0</v>
      </c>
      <c r="L34" s="72"/>
      <c r="M34" s="42"/>
      <c r="N34" s="42"/>
      <c r="O34" s="42"/>
      <c r="P34" s="1"/>
      <c r="Q34" s="78"/>
      <c r="R34" s="78"/>
      <c r="S34" s="73"/>
      <c r="T34" s="72"/>
      <c r="U34" s="1"/>
      <c r="V34" s="78"/>
      <c r="W34" s="78"/>
      <c r="X34" s="1"/>
      <c r="Y34" s="78"/>
      <c r="Z34" s="78"/>
      <c r="AA34" s="44"/>
      <c r="AB34" s="343"/>
      <c r="AC34" s="78"/>
      <c r="AD34" s="78"/>
      <c r="AE34" s="44"/>
      <c r="AF34" s="52">
        <f t="shared" si="6"/>
        <v>0</v>
      </c>
      <c r="AG34" s="180"/>
      <c r="AH34" s="180"/>
    </row>
    <row r="35" spans="1:34" ht="25.5" hidden="1" customHeight="1" x14ac:dyDescent="0.25">
      <c r="B35" s="54"/>
      <c r="C35" s="47"/>
      <c r="D35" s="625" t="s">
        <v>450</v>
      </c>
      <c r="E35" s="625"/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f t="shared" si="7"/>
        <v>0</v>
      </c>
      <c r="L35" s="72"/>
      <c r="M35" s="42"/>
      <c r="N35" s="42"/>
      <c r="O35" s="42"/>
      <c r="P35" s="1"/>
      <c r="Q35" s="78"/>
      <c r="R35" s="78"/>
      <c r="S35" s="73"/>
      <c r="T35" s="72"/>
      <c r="U35" s="1"/>
      <c r="V35" s="78"/>
      <c r="W35" s="78"/>
      <c r="X35" s="1"/>
      <c r="Y35" s="78"/>
      <c r="Z35" s="78"/>
      <c r="AA35" s="44"/>
      <c r="AB35" s="343"/>
      <c r="AC35" s="78"/>
      <c r="AD35" s="78"/>
      <c r="AE35" s="44"/>
      <c r="AF35" s="52">
        <f t="shared" si="6"/>
        <v>0</v>
      </c>
      <c r="AG35" s="180"/>
      <c r="AH35" s="180"/>
    </row>
    <row r="36" spans="1:34" s="18" customFormat="1" ht="15" hidden="1" customHeight="1" x14ac:dyDescent="0.25">
      <c r="A36" s="118" t="s">
        <v>17</v>
      </c>
      <c r="B36" s="88" t="s">
        <v>725</v>
      </c>
      <c r="C36" s="646" t="s">
        <v>792</v>
      </c>
      <c r="D36" s="647"/>
      <c r="E36" s="647"/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f t="shared" si="7"/>
        <v>0</v>
      </c>
      <c r="L36" s="90">
        <f t="shared" ref="L36:R36" si="14">L37+L38+L39+L40+L41+L42+L43+L44+L45+L46</f>
        <v>0</v>
      </c>
      <c r="M36" s="93">
        <f t="shared" si="14"/>
        <v>0</v>
      </c>
      <c r="N36" s="93">
        <f t="shared" si="14"/>
        <v>0</v>
      </c>
      <c r="O36" s="93">
        <f t="shared" si="14"/>
        <v>0</v>
      </c>
      <c r="P36" s="91">
        <f t="shared" si="14"/>
        <v>0</v>
      </c>
      <c r="Q36" s="94"/>
      <c r="R36" s="94">
        <f t="shared" si="14"/>
        <v>0</v>
      </c>
      <c r="S36" s="92"/>
      <c r="T36" s="90">
        <f>T37+T38+T39+T40+T41+T42+T43+T44+T45+T46</f>
        <v>0</v>
      </c>
      <c r="U36" s="91">
        <f t="shared" ref="U36:AE36" si="15">U37+U38+U39+U40+U41+U42+U43+U44+U45+U46</f>
        <v>0</v>
      </c>
      <c r="V36" s="94">
        <f t="shared" si="15"/>
        <v>0</v>
      </c>
      <c r="W36" s="94">
        <f t="shared" si="15"/>
        <v>0</v>
      </c>
      <c r="X36" s="91">
        <f t="shared" si="15"/>
        <v>0</v>
      </c>
      <c r="Y36" s="94">
        <f t="shared" si="15"/>
        <v>0</v>
      </c>
      <c r="Z36" s="94">
        <f t="shared" si="15"/>
        <v>0</v>
      </c>
      <c r="AA36" s="95">
        <f t="shared" si="15"/>
        <v>0</v>
      </c>
      <c r="AB36" s="346">
        <f t="shared" si="15"/>
        <v>0</v>
      </c>
      <c r="AC36" s="94">
        <f t="shared" si="15"/>
        <v>0</v>
      </c>
      <c r="AD36" s="94">
        <f t="shared" si="15"/>
        <v>0</v>
      </c>
      <c r="AE36" s="95">
        <f t="shared" si="15"/>
        <v>0</v>
      </c>
      <c r="AF36" s="52">
        <f t="shared" si="6"/>
        <v>0</v>
      </c>
      <c r="AG36" s="180"/>
      <c r="AH36" s="180"/>
    </row>
    <row r="37" spans="1:34" ht="25.5" hidden="1" customHeight="1" x14ac:dyDescent="0.25">
      <c r="B37" s="54"/>
      <c r="C37" s="47"/>
      <c r="D37" s="625" t="s">
        <v>451</v>
      </c>
      <c r="E37" s="625"/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f t="shared" si="7"/>
        <v>0</v>
      </c>
      <c r="L37" s="72"/>
      <c r="M37" s="42"/>
      <c r="N37" s="42"/>
      <c r="O37" s="42"/>
      <c r="P37" s="1"/>
      <c r="Q37" s="78"/>
      <c r="R37" s="78"/>
      <c r="S37" s="73"/>
      <c r="T37" s="72"/>
      <c r="U37" s="1"/>
      <c r="V37" s="78"/>
      <c r="W37" s="78"/>
      <c r="X37" s="1"/>
      <c r="Y37" s="78"/>
      <c r="Z37" s="78"/>
      <c r="AA37" s="44"/>
      <c r="AB37" s="343"/>
      <c r="AC37" s="78"/>
      <c r="AD37" s="78"/>
      <c r="AE37" s="44"/>
      <c r="AF37" s="52">
        <f t="shared" si="6"/>
        <v>0</v>
      </c>
      <c r="AG37" s="180"/>
      <c r="AH37" s="180"/>
    </row>
    <row r="38" spans="1:34" ht="25.5" hidden="1" customHeight="1" x14ac:dyDescent="0.25">
      <c r="B38" s="54"/>
      <c r="C38" s="47"/>
      <c r="D38" s="625" t="s">
        <v>455</v>
      </c>
      <c r="E38" s="625"/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f t="shared" si="7"/>
        <v>0</v>
      </c>
      <c r="L38" s="72"/>
      <c r="M38" s="42"/>
      <c r="N38" s="42"/>
      <c r="O38" s="42"/>
      <c r="P38" s="1"/>
      <c r="Q38" s="78"/>
      <c r="R38" s="78"/>
      <c r="S38" s="73"/>
      <c r="T38" s="72"/>
      <c r="U38" s="1"/>
      <c r="V38" s="78"/>
      <c r="W38" s="78"/>
      <c r="X38" s="1"/>
      <c r="Y38" s="78"/>
      <c r="Z38" s="78"/>
      <c r="AA38" s="44"/>
      <c r="AB38" s="343"/>
      <c r="AC38" s="78"/>
      <c r="AD38" s="78"/>
      <c r="AE38" s="44"/>
      <c r="AF38" s="52">
        <f t="shared" si="6"/>
        <v>0</v>
      </c>
      <c r="AG38" s="180"/>
      <c r="AH38" s="180"/>
    </row>
    <row r="39" spans="1:34" ht="15" hidden="1" customHeight="1" x14ac:dyDescent="0.25">
      <c r="B39" s="54"/>
      <c r="C39" s="47"/>
      <c r="D39" s="625" t="s">
        <v>794</v>
      </c>
      <c r="E39" s="625"/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f t="shared" ref="K39:K73" si="16">SUM(T39:AE39)</f>
        <v>0</v>
      </c>
      <c r="L39" s="72"/>
      <c r="M39" s="42"/>
      <c r="N39" s="42"/>
      <c r="O39" s="42"/>
      <c r="P39" s="1"/>
      <c r="Q39" s="78"/>
      <c r="R39" s="78"/>
      <c r="S39" s="73"/>
      <c r="T39" s="72"/>
      <c r="U39" s="1"/>
      <c r="V39" s="78"/>
      <c r="W39" s="78"/>
      <c r="X39" s="1"/>
      <c r="Y39" s="78"/>
      <c r="Z39" s="78"/>
      <c r="AA39" s="44"/>
      <c r="AB39" s="343"/>
      <c r="AC39" s="78"/>
      <c r="AD39" s="78"/>
      <c r="AE39" s="44"/>
      <c r="AF39" s="52">
        <f t="shared" si="6"/>
        <v>0</v>
      </c>
      <c r="AG39" s="180"/>
      <c r="AH39" s="180"/>
    </row>
    <row r="40" spans="1:34" ht="25.5" hidden="1" customHeight="1" x14ac:dyDescent="0.25">
      <c r="B40" s="54"/>
      <c r="C40" s="47"/>
      <c r="D40" s="625" t="s">
        <v>463</v>
      </c>
      <c r="E40" s="625"/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f t="shared" si="16"/>
        <v>0</v>
      </c>
      <c r="L40" s="72"/>
      <c r="M40" s="42"/>
      <c r="N40" s="42"/>
      <c r="O40" s="42"/>
      <c r="P40" s="1"/>
      <c r="Q40" s="78"/>
      <c r="R40" s="78"/>
      <c r="S40" s="73"/>
      <c r="T40" s="72"/>
      <c r="U40" s="1"/>
      <c r="V40" s="78"/>
      <c r="W40" s="78"/>
      <c r="X40" s="1"/>
      <c r="Y40" s="78"/>
      <c r="Z40" s="78"/>
      <c r="AA40" s="44"/>
      <c r="AB40" s="343"/>
      <c r="AC40" s="78"/>
      <c r="AD40" s="78"/>
      <c r="AE40" s="44"/>
      <c r="AF40" s="52">
        <f t="shared" si="6"/>
        <v>0</v>
      </c>
      <c r="AG40" s="180"/>
      <c r="AH40" s="180"/>
    </row>
    <row r="41" spans="1:34" ht="15.75" hidden="1" customHeight="1" thickBot="1" x14ac:dyDescent="0.3">
      <c r="B41" s="54"/>
      <c r="C41" s="47"/>
      <c r="D41" s="624" t="s">
        <v>793</v>
      </c>
      <c r="E41" s="624"/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f t="shared" si="16"/>
        <v>0</v>
      </c>
      <c r="L41" s="72"/>
      <c r="M41" s="42"/>
      <c r="N41" s="42"/>
      <c r="O41" s="42"/>
      <c r="P41" s="1"/>
      <c r="Q41" s="78"/>
      <c r="R41" s="78"/>
      <c r="S41" s="73"/>
      <c r="T41" s="72"/>
      <c r="U41" s="1"/>
      <c r="V41" s="78"/>
      <c r="W41" s="78"/>
      <c r="X41" s="1"/>
      <c r="Y41" s="78"/>
      <c r="Z41" s="78"/>
      <c r="AA41" s="44"/>
      <c r="AB41" s="343"/>
      <c r="AC41" s="78"/>
      <c r="AD41" s="78"/>
      <c r="AE41" s="44"/>
      <c r="AF41" s="52">
        <f t="shared" si="6"/>
        <v>0</v>
      </c>
      <c r="AG41" s="180"/>
      <c r="AH41" s="180"/>
    </row>
    <row r="42" spans="1:34" ht="25.5" hidden="1" customHeight="1" x14ac:dyDescent="0.25">
      <c r="B42" s="54"/>
      <c r="C42" s="47"/>
      <c r="D42" s="625" t="s">
        <v>468</v>
      </c>
      <c r="E42" s="625"/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f t="shared" si="16"/>
        <v>0</v>
      </c>
      <c r="L42" s="72"/>
      <c r="M42" s="42"/>
      <c r="N42" s="42"/>
      <c r="O42" s="42"/>
      <c r="P42" s="1"/>
      <c r="Q42" s="78"/>
      <c r="R42" s="78"/>
      <c r="S42" s="73"/>
      <c r="T42" s="72"/>
      <c r="U42" s="1"/>
      <c r="V42" s="78"/>
      <c r="W42" s="78"/>
      <c r="X42" s="1"/>
      <c r="Y42" s="78"/>
      <c r="Z42" s="78"/>
      <c r="AA42" s="44"/>
      <c r="AB42" s="343"/>
      <c r="AC42" s="78"/>
      <c r="AD42" s="78"/>
      <c r="AE42" s="44"/>
      <c r="AF42" s="52">
        <f t="shared" si="6"/>
        <v>0</v>
      </c>
      <c r="AG42" s="180"/>
      <c r="AH42" s="180"/>
    </row>
    <row r="43" spans="1:34" ht="25.5" hidden="1" customHeight="1" x14ac:dyDescent="0.25">
      <c r="B43" s="54"/>
      <c r="C43" s="47"/>
      <c r="D43" s="625" t="s">
        <v>472</v>
      </c>
      <c r="E43" s="625"/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f t="shared" si="16"/>
        <v>0</v>
      </c>
      <c r="L43" s="72"/>
      <c r="M43" s="42"/>
      <c r="N43" s="42"/>
      <c r="O43" s="42"/>
      <c r="P43" s="1"/>
      <c r="Q43" s="78"/>
      <c r="R43" s="78"/>
      <c r="S43" s="73"/>
      <c r="T43" s="72"/>
      <c r="U43" s="1"/>
      <c r="V43" s="78"/>
      <c r="W43" s="78"/>
      <c r="X43" s="1"/>
      <c r="Y43" s="78"/>
      <c r="Z43" s="78"/>
      <c r="AA43" s="44"/>
      <c r="AB43" s="343"/>
      <c r="AC43" s="78"/>
      <c r="AD43" s="78"/>
      <c r="AE43" s="44"/>
      <c r="AF43" s="52">
        <f t="shared" si="6"/>
        <v>0</v>
      </c>
      <c r="AG43" s="180"/>
      <c r="AH43" s="180"/>
    </row>
    <row r="44" spans="1:34" ht="25.5" hidden="1" customHeight="1" x14ac:dyDescent="0.25">
      <c r="B44" s="54"/>
      <c r="C44" s="47"/>
      <c r="D44" s="625" t="s">
        <v>477</v>
      </c>
      <c r="E44" s="625"/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f t="shared" si="16"/>
        <v>0</v>
      </c>
      <c r="L44" s="72"/>
      <c r="M44" s="42"/>
      <c r="N44" s="42"/>
      <c r="O44" s="42"/>
      <c r="P44" s="1"/>
      <c r="Q44" s="78"/>
      <c r="R44" s="78"/>
      <c r="S44" s="73"/>
      <c r="T44" s="72"/>
      <c r="U44" s="1"/>
      <c r="V44" s="78"/>
      <c r="W44" s="78"/>
      <c r="X44" s="1"/>
      <c r="Y44" s="78"/>
      <c r="Z44" s="78"/>
      <c r="AA44" s="44"/>
      <c r="AB44" s="343"/>
      <c r="AC44" s="78"/>
      <c r="AD44" s="78"/>
      <c r="AE44" s="44"/>
      <c r="AF44" s="52">
        <f t="shared" si="6"/>
        <v>0</v>
      </c>
      <c r="AG44" s="180"/>
      <c r="AH44" s="180"/>
    </row>
    <row r="45" spans="1:34" ht="25.5" hidden="1" customHeight="1" x14ac:dyDescent="0.25">
      <c r="B45" s="54"/>
      <c r="C45" s="47"/>
      <c r="D45" s="625" t="s">
        <v>481</v>
      </c>
      <c r="E45" s="625"/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f t="shared" si="16"/>
        <v>0</v>
      </c>
      <c r="L45" s="72"/>
      <c r="M45" s="42"/>
      <c r="N45" s="42"/>
      <c r="O45" s="42"/>
      <c r="P45" s="1"/>
      <c r="Q45" s="78"/>
      <c r="R45" s="78"/>
      <c r="S45" s="73"/>
      <c r="T45" s="72"/>
      <c r="U45" s="1"/>
      <c r="V45" s="78"/>
      <c r="W45" s="78"/>
      <c r="X45" s="1"/>
      <c r="Y45" s="78"/>
      <c r="Z45" s="78"/>
      <c r="AA45" s="44"/>
      <c r="AB45" s="343"/>
      <c r="AC45" s="78"/>
      <c r="AD45" s="78"/>
      <c r="AE45" s="44"/>
      <c r="AF45" s="52">
        <f t="shared" si="6"/>
        <v>0</v>
      </c>
      <c r="AG45" s="180"/>
      <c r="AH45" s="180"/>
    </row>
    <row r="46" spans="1:34" ht="25.5" hidden="1" customHeight="1" x14ac:dyDescent="0.25">
      <c r="B46" s="54"/>
      <c r="C46" s="47"/>
      <c r="D46" s="625" t="s">
        <v>486</v>
      </c>
      <c r="E46" s="625"/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f t="shared" si="16"/>
        <v>0</v>
      </c>
      <c r="L46" s="72"/>
      <c r="M46" s="42"/>
      <c r="N46" s="42"/>
      <c r="O46" s="42"/>
      <c r="P46" s="1"/>
      <c r="Q46" s="78"/>
      <c r="R46" s="78"/>
      <c r="S46" s="73"/>
      <c r="T46" s="72"/>
      <c r="U46" s="1"/>
      <c r="V46" s="78"/>
      <c r="W46" s="78"/>
      <c r="X46" s="1"/>
      <c r="Y46" s="78"/>
      <c r="Z46" s="78"/>
      <c r="AA46" s="44"/>
      <c r="AB46" s="343"/>
      <c r="AC46" s="78"/>
      <c r="AD46" s="78"/>
      <c r="AE46" s="44"/>
      <c r="AF46" s="52">
        <f t="shared" si="6"/>
        <v>0</v>
      </c>
      <c r="AG46" s="180"/>
      <c r="AH46" s="180"/>
    </row>
    <row r="47" spans="1:34" s="18" customFormat="1" hidden="1" x14ac:dyDescent="0.25">
      <c r="A47" s="118" t="s">
        <v>18</v>
      </c>
      <c r="B47" s="88" t="s">
        <v>726</v>
      </c>
      <c r="C47" s="640" t="s">
        <v>19</v>
      </c>
      <c r="D47" s="641"/>
      <c r="E47" s="641"/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f t="shared" si="16"/>
        <v>0</v>
      </c>
      <c r="L47" s="90">
        <f t="shared" ref="L47:R47" si="17">L48+L49+L50+L51+L52+L53+L54+L55+L56+L57</f>
        <v>0</v>
      </c>
      <c r="M47" s="93">
        <f t="shared" si="17"/>
        <v>0</v>
      </c>
      <c r="N47" s="93">
        <f t="shared" si="17"/>
        <v>0</v>
      </c>
      <c r="O47" s="93">
        <f t="shared" si="17"/>
        <v>0</v>
      </c>
      <c r="P47" s="91">
        <f t="shared" si="17"/>
        <v>0</v>
      </c>
      <c r="Q47" s="94"/>
      <c r="R47" s="94">
        <f t="shared" si="17"/>
        <v>0</v>
      </c>
      <c r="S47" s="92"/>
      <c r="T47" s="90">
        <f>T48+T49+T50+T51+T52+T53+T54+T55+T56+T57</f>
        <v>0</v>
      </c>
      <c r="U47" s="91">
        <f t="shared" ref="U47:AE47" si="18">U48+U49+U50+U51+U52+U53+U54+U55+U56+U57</f>
        <v>0</v>
      </c>
      <c r="V47" s="94">
        <f t="shared" si="18"/>
        <v>0</v>
      </c>
      <c r="W47" s="94">
        <f t="shared" si="18"/>
        <v>0</v>
      </c>
      <c r="X47" s="91">
        <f t="shared" si="18"/>
        <v>0</v>
      </c>
      <c r="Y47" s="94">
        <f t="shared" si="18"/>
        <v>0</v>
      </c>
      <c r="Z47" s="94">
        <f t="shared" si="18"/>
        <v>0</v>
      </c>
      <c r="AA47" s="95">
        <f t="shared" si="18"/>
        <v>0</v>
      </c>
      <c r="AB47" s="93">
        <f t="shared" si="18"/>
        <v>0</v>
      </c>
      <c r="AC47" s="94">
        <f t="shared" si="18"/>
        <v>0</v>
      </c>
      <c r="AD47" s="94">
        <f t="shared" si="18"/>
        <v>0</v>
      </c>
      <c r="AE47" s="95">
        <f t="shared" si="18"/>
        <v>0</v>
      </c>
      <c r="AF47" s="52">
        <f t="shared" si="6"/>
        <v>0</v>
      </c>
      <c r="AG47" s="180"/>
      <c r="AH47" s="180"/>
    </row>
    <row r="48" spans="1:34" ht="15.75" hidden="1" customHeight="1" thickBot="1" x14ac:dyDescent="0.3">
      <c r="B48" s="54"/>
      <c r="C48" s="47"/>
      <c r="D48" s="624" t="s">
        <v>452</v>
      </c>
      <c r="E48" s="624"/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f t="shared" si="16"/>
        <v>0</v>
      </c>
      <c r="L48" s="72"/>
      <c r="M48" s="42"/>
      <c r="N48" s="42"/>
      <c r="O48" s="43">
        <f>K48</f>
        <v>0</v>
      </c>
      <c r="P48" s="1"/>
      <c r="Q48" s="78"/>
      <c r="R48" s="78"/>
      <c r="S48" s="73"/>
      <c r="T48" s="72"/>
      <c r="U48" s="1"/>
      <c r="V48" s="78"/>
      <c r="W48" s="78"/>
      <c r="X48" s="1"/>
      <c r="Y48" s="78"/>
      <c r="Z48" s="78"/>
      <c r="AA48" s="44"/>
      <c r="AB48" s="343"/>
      <c r="AC48" s="78"/>
      <c r="AD48" s="78"/>
      <c r="AE48" s="44"/>
      <c r="AF48" s="52">
        <f t="shared" si="6"/>
        <v>0</v>
      </c>
      <c r="AG48" s="180"/>
    </row>
    <row r="49" spans="1:33" ht="15.75" hidden="1" customHeight="1" thickBot="1" x14ac:dyDescent="0.3">
      <c r="B49" s="54"/>
      <c r="C49" s="47"/>
      <c r="D49" s="624" t="s">
        <v>456</v>
      </c>
      <c r="E49" s="624"/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f t="shared" si="16"/>
        <v>0</v>
      </c>
      <c r="L49" s="72"/>
      <c r="M49" s="42"/>
      <c r="N49" s="42"/>
      <c r="O49" s="42"/>
      <c r="P49" s="1"/>
      <c r="Q49" s="78"/>
      <c r="R49" s="78"/>
      <c r="S49" s="73"/>
      <c r="T49" s="72"/>
      <c r="U49" s="1"/>
      <c r="V49" s="78"/>
      <c r="W49" s="78"/>
      <c r="X49" s="1"/>
      <c r="Y49" s="78"/>
      <c r="Z49" s="78"/>
      <c r="AA49" s="44"/>
      <c r="AB49" s="343"/>
      <c r="AC49" s="78"/>
      <c r="AD49" s="78"/>
      <c r="AE49" s="44"/>
      <c r="AF49" s="52">
        <f t="shared" si="6"/>
        <v>0</v>
      </c>
      <c r="AG49" s="180"/>
    </row>
    <row r="50" spans="1:33" ht="15.75" hidden="1" customHeight="1" thickBot="1" x14ac:dyDescent="0.3">
      <c r="B50" s="54"/>
      <c r="C50" s="47"/>
      <c r="D50" s="624" t="s">
        <v>459</v>
      </c>
      <c r="E50" s="624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f t="shared" si="16"/>
        <v>0</v>
      </c>
      <c r="L50" s="72"/>
      <c r="M50" s="42"/>
      <c r="N50" s="42"/>
      <c r="O50" s="42"/>
      <c r="P50" s="1"/>
      <c r="Q50" s="78"/>
      <c r="R50" s="78"/>
      <c r="S50" s="73"/>
      <c r="T50" s="72"/>
      <c r="U50" s="1"/>
      <c r="V50" s="78"/>
      <c r="W50" s="78"/>
      <c r="X50" s="1"/>
      <c r="Y50" s="78"/>
      <c r="Z50" s="78"/>
      <c r="AA50" s="44"/>
      <c r="AB50" s="343"/>
      <c r="AC50" s="78"/>
      <c r="AD50" s="78"/>
      <c r="AE50" s="44"/>
      <c r="AF50" s="52">
        <f t="shared" si="6"/>
        <v>0</v>
      </c>
      <c r="AG50" s="180"/>
    </row>
    <row r="51" spans="1:33" ht="15.75" hidden="1" customHeight="1" thickBot="1" x14ac:dyDescent="0.3">
      <c r="B51" s="54"/>
      <c r="C51" s="47"/>
      <c r="D51" s="624" t="s">
        <v>464</v>
      </c>
      <c r="E51" s="624"/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f t="shared" si="16"/>
        <v>0</v>
      </c>
      <c r="L51" s="72"/>
      <c r="M51" s="42"/>
      <c r="N51" s="42"/>
      <c r="O51" s="42"/>
      <c r="P51" s="1"/>
      <c r="Q51" s="78"/>
      <c r="R51" s="78"/>
      <c r="S51" s="73"/>
      <c r="T51" s="72"/>
      <c r="U51" s="1"/>
      <c r="V51" s="78"/>
      <c r="W51" s="78"/>
      <c r="X51" s="1"/>
      <c r="Y51" s="78"/>
      <c r="Z51" s="78"/>
      <c r="AA51" s="44"/>
      <c r="AB51" s="343"/>
      <c r="AC51" s="78"/>
      <c r="AD51" s="78"/>
      <c r="AE51" s="44"/>
      <c r="AF51" s="52">
        <f t="shared" si="6"/>
        <v>0</v>
      </c>
      <c r="AG51" s="180"/>
    </row>
    <row r="52" spans="1:33" ht="15.75" hidden="1" customHeight="1" thickBot="1" x14ac:dyDescent="0.3">
      <c r="B52" s="54"/>
      <c r="C52" s="47"/>
      <c r="D52" s="624" t="s">
        <v>394</v>
      </c>
      <c r="E52" s="624"/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f t="shared" si="16"/>
        <v>0</v>
      </c>
      <c r="L52" s="72"/>
      <c r="M52" s="42"/>
      <c r="N52" s="42"/>
      <c r="O52" s="42"/>
      <c r="P52" s="1"/>
      <c r="Q52" s="78"/>
      <c r="R52" s="78"/>
      <c r="S52" s="73"/>
      <c r="T52" s="72"/>
      <c r="U52" s="1"/>
      <c r="V52" s="78"/>
      <c r="W52" s="78"/>
      <c r="X52" s="1"/>
      <c r="Y52" s="78"/>
      <c r="Z52" s="78"/>
      <c r="AA52" s="44"/>
      <c r="AB52" s="343"/>
      <c r="AC52" s="78"/>
      <c r="AD52" s="78"/>
      <c r="AE52" s="44"/>
      <c r="AF52" s="52">
        <f t="shared" si="6"/>
        <v>0</v>
      </c>
      <c r="AG52" s="180"/>
    </row>
    <row r="53" spans="1:33" ht="15.75" hidden="1" customHeight="1" thickBot="1" x14ac:dyDescent="0.3">
      <c r="B53" s="54"/>
      <c r="C53" s="47"/>
      <c r="D53" s="624" t="s">
        <v>469</v>
      </c>
      <c r="E53" s="624"/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f t="shared" si="16"/>
        <v>0</v>
      </c>
      <c r="L53" s="72"/>
      <c r="M53" s="42"/>
      <c r="N53" s="42"/>
      <c r="O53" s="42"/>
      <c r="P53" s="1"/>
      <c r="Q53" s="78"/>
      <c r="R53" s="78"/>
      <c r="S53" s="73"/>
      <c r="T53" s="72"/>
      <c r="U53" s="1"/>
      <c r="V53" s="78"/>
      <c r="W53" s="78"/>
      <c r="X53" s="1"/>
      <c r="Y53" s="78"/>
      <c r="Z53" s="78"/>
      <c r="AA53" s="44"/>
      <c r="AB53" s="343"/>
      <c r="AC53" s="78"/>
      <c r="AD53" s="78"/>
      <c r="AE53" s="44"/>
      <c r="AF53" s="52">
        <f t="shared" si="6"/>
        <v>0</v>
      </c>
      <c r="AG53" s="180"/>
    </row>
    <row r="54" spans="1:33" ht="25.5" hidden="1" customHeight="1" x14ac:dyDescent="0.25">
      <c r="B54" s="54"/>
      <c r="C54" s="226"/>
      <c r="D54" s="625" t="s">
        <v>473</v>
      </c>
      <c r="E54" s="625"/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f t="shared" si="16"/>
        <v>0</v>
      </c>
      <c r="L54" s="72"/>
      <c r="M54" s="42"/>
      <c r="N54" s="42"/>
      <c r="O54" s="42"/>
      <c r="P54" s="1"/>
      <c r="Q54" s="78"/>
      <c r="R54" s="78"/>
      <c r="S54" s="73"/>
      <c r="T54" s="72"/>
      <c r="U54" s="1"/>
      <c r="V54" s="78"/>
      <c r="W54" s="78"/>
      <c r="X54" s="1"/>
      <c r="Y54" s="78"/>
      <c r="Z54" s="78"/>
      <c r="AA54" s="44"/>
      <c r="AB54" s="343"/>
      <c r="AC54" s="78"/>
      <c r="AD54" s="78"/>
      <c r="AE54" s="44"/>
      <c r="AF54" s="52">
        <f t="shared" si="6"/>
        <v>0</v>
      </c>
      <c r="AG54" s="180"/>
    </row>
    <row r="55" spans="1:33" ht="15.75" hidden="1" customHeight="1" thickBot="1" x14ac:dyDescent="0.3">
      <c r="B55" s="54"/>
      <c r="C55" s="47"/>
      <c r="D55" s="624" t="s">
        <v>478</v>
      </c>
      <c r="E55" s="624"/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f t="shared" si="16"/>
        <v>0</v>
      </c>
      <c r="L55" s="72"/>
      <c r="M55" s="42"/>
      <c r="N55" s="42"/>
      <c r="O55" s="42"/>
      <c r="P55" s="1"/>
      <c r="Q55" s="78"/>
      <c r="R55" s="78"/>
      <c r="S55" s="73"/>
      <c r="T55" s="72"/>
      <c r="U55" s="1"/>
      <c r="V55" s="78"/>
      <c r="W55" s="78"/>
      <c r="X55" s="1"/>
      <c r="Y55" s="78"/>
      <c r="Z55" s="78"/>
      <c r="AA55" s="44"/>
      <c r="AB55" s="343"/>
      <c r="AC55" s="78"/>
      <c r="AD55" s="78"/>
      <c r="AE55" s="44"/>
      <c r="AF55" s="52">
        <f t="shared" si="6"/>
        <v>0</v>
      </c>
      <c r="AG55" s="180"/>
    </row>
    <row r="56" spans="1:33" ht="25.5" hidden="1" customHeight="1" x14ac:dyDescent="0.25">
      <c r="B56" s="54"/>
      <c r="C56" s="47"/>
      <c r="D56" s="625" t="s">
        <v>482</v>
      </c>
      <c r="E56" s="625"/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f t="shared" si="16"/>
        <v>0</v>
      </c>
      <c r="L56" s="72"/>
      <c r="M56" s="42"/>
      <c r="N56" s="42"/>
      <c r="O56" s="42"/>
      <c r="P56" s="1"/>
      <c r="Q56" s="78"/>
      <c r="R56" s="78"/>
      <c r="S56" s="73"/>
      <c r="T56" s="72"/>
      <c r="U56" s="1"/>
      <c r="V56" s="78"/>
      <c r="W56" s="78"/>
      <c r="X56" s="1"/>
      <c r="Y56" s="78"/>
      <c r="Z56" s="78"/>
      <c r="AA56" s="44"/>
      <c r="AB56" s="343"/>
      <c r="AC56" s="78"/>
      <c r="AD56" s="78"/>
      <c r="AE56" s="44"/>
      <c r="AF56" s="52">
        <f t="shared" si="6"/>
        <v>0</v>
      </c>
      <c r="AG56" s="180"/>
    </row>
    <row r="57" spans="1:33" ht="25.5" hidden="1" customHeight="1" thickBot="1" x14ac:dyDescent="0.3">
      <c r="B57" s="56"/>
      <c r="C57" s="48"/>
      <c r="D57" s="659" t="s">
        <v>487</v>
      </c>
      <c r="E57" s="659"/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f t="shared" si="16"/>
        <v>0</v>
      </c>
      <c r="L57" s="72"/>
      <c r="M57" s="42"/>
      <c r="N57" s="42"/>
      <c r="O57" s="42"/>
      <c r="P57" s="1"/>
      <c r="Q57" s="78"/>
      <c r="R57" s="78"/>
      <c r="S57" s="73"/>
      <c r="T57" s="72"/>
      <c r="U57" s="1"/>
      <c r="V57" s="78"/>
      <c r="W57" s="78"/>
      <c r="X57" s="1"/>
      <c r="Y57" s="78"/>
      <c r="Z57" s="78"/>
      <c r="AA57" s="44"/>
      <c r="AB57" s="343"/>
      <c r="AC57" s="78"/>
      <c r="AD57" s="78"/>
      <c r="AE57" s="44"/>
      <c r="AF57" s="52">
        <f t="shared" si="6"/>
        <v>0</v>
      </c>
      <c r="AG57" s="180"/>
    </row>
    <row r="58" spans="1:33" ht="15.75" thickBot="1" x14ac:dyDescent="0.3">
      <c r="B58" s="96" t="s">
        <v>20</v>
      </c>
      <c r="C58" s="660" t="s">
        <v>21</v>
      </c>
      <c r="D58" s="660"/>
      <c r="E58" s="648"/>
      <c r="F58" s="568">
        <v>74990361</v>
      </c>
      <c r="G58" s="568">
        <v>75440361</v>
      </c>
      <c r="H58" s="568">
        <f>H59+H83</f>
        <v>78186149</v>
      </c>
      <c r="I58" s="568">
        <f>I59+I83</f>
        <v>78186149</v>
      </c>
      <c r="J58" s="568">
        <f>J59+J83</f>
        <v>112059416</v>
      </c>
      <c r="K58" s="568">
        <f>K59+K83</f>
        <v>112059416</v>
      </c>
      <c r="L58" s="82">
        <f t="shared" ref="L58:R58" si="19">L59+L60+L61+L72+L83</f>
        <v>0</v>
      </c>
      <c r="M58" s="85">
        <f t="shared" si="19"/>
        <v>0</v>
      </c>
      <c r="N58" s="85">
        <f t="shared" si="19"/>
        <v>0</v>
      </c>
      <c r="O58" s="85">
        <f t="shared" si="19"/>
        <v>112059416</v>
      </c>
      <c r="P58" s="83">
        <f t="shared" si="19"/>
        <v>0</v>
      </c>
      <c r="Q58" s="86"/>
      <c r="R58" s="86">
        <f t="shared" si="19"/>
        <v>0</v>
      </c>
      <c r="S58" s="84"/>
      <c r="T58" s="82">
        <f>T59+T60+T61+T72+T83</f>
        <v>0</v>
      </c>
      <c r="U58" s="83">
        <f t="shared" ref="U58:AE58" si="20">U59+U60+U61+U72+U83</f>
        <v>43620189</v>
      </c>
      <c r="V58" s="86">
        <f t="shared" si="20"/>
        <v>10777172</v>
      </c>
      <c r="W58" s="86">
        <f t="shared" si="20"/>
        <v>0</v>
      </c>
      <c r="X58" s="83">
        <f t="shared" si="20"/>
        <v>0</v>
      </c>
      <c r="Y58" s="86">
        <f t="shared" si="20"/>
        <v>33766267</v>
      </c>
      <c r="Z58" s="86">
        <f t="shared" si="20"/>
        <v>0</v>
      </c>
      <c r="AA58" s="87">
        <f t="shared" si="20"/>
        <v>107000</v>
      </c>
      <c r="AB58" s="338">
        <f t="shared" si="20"/>
        <v>6577504</v>
      </c>
      <c r="AC58" s="86">
        <f t="shared" si="20"/>
        <v>450000</v>
      </c>
      <c r="AD58" s="86">
        <f t="shared" si="20"/>
        <v>16761284</v>
      </c>
      <c r="AE58" s="87">
        <f t="shared" si="20"/>
        <v>0</v>
      </c>
      <c r="AF58" s="52">
        <f t="shared" si="6"/>
        <v>0</v>
      </c>
      <c r="AG58" s="180"/>
    </row>
    <row r="59" spans="1:33" s="18" customFormat="1" ht="15.75" customHeight="1" x14ac:dyDescent="0.25">
      <c r="A59" s="118" t="s">
        <v>22</v>
      </c>
      <c r="B59" s="108" t="s">
        <v>727</v>
      </c>
      <c r="C59" s="653" t="s">
        <v>395</v>
      </c>
      <c r="D59" s="654"/>
      <c r="E59" s="654"/>
      <c r="F59" s="383">
        <v>74990361</v>
      </c>
      <c r="G59" s="383">
        <v>75440361</v>
      </c>
      <c r="H59" s="383">
        <v>14931909</v>
      </c>
      <c r="I59" s="383">
        <v>14481909</v>
      </c>
      <c r="J59" s="383">
        <v>14588909</v>
      </c>
      <c r="K59" s="383">
        <f t="shared" si="16"/>
        <v>14588909</v>
      </c>
      <c r="L59" s="90"/>
      <c r="M59" s="93"/>
      <c r="N59" s="93"/>
      <c r="O59" s="93">
        <f>K59</f>
        <v>14588909</v>
      </c>
      <c r="P59" s="91"/>
      <c r="Q59" s="94"/>
      <c r="R59" s="94"/>
      <c r="S59" s="92"/>
      <c r="T59" s="90"/>
      <c r="U59" s="91">
        <v>14481909</v>
      </c>
      <c r="V59" s="94"/>
      <c r="W59" s="94"/>
      <c r="X59" s="91"/>
      <c r="Y59" s="94"/>
      <c r="Z59" s="94"/>
      <c r="AA59" s="95">
        <v>107000</v>
      </c>
      <c r="AB59" s="93"/>
      <c r="AC59" s="94"/>
      <c r="AD59" s="94"/>
      <c r="AE59" s="95"/>
      <c r="AF59" s="52">
        <f t="shared" si="6"/>
        <v>0</v>
      </c>
      <c r="AG59" s="180"/>
    </row>
    <row r="60" spans="1:33" s="18" customFormat="1" ht="25.5" hidden="1" customHeight="1" x14ac:dyDescent="0.25">
      <c r="A60" s="118" t="s">
        <v>23</v>
      </c>
      <c r="B60" s="88" t="s">
        <v>728</v>
      </c>
      <c r="C60" s="646" t="s">
        <v>24</v>
      </c>
      <c r="D60" s="647"/>
      <c r="E60" s="647"/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f t="shared" si="16"/>
        <v>0</v>
      </c>
      <c r="L60" s="90"/>
      <c r="M60" s="93"/>
      <c r="N60" s="93"/>
      <c r="O60" s="93"/>
      <c r="P60" s="91"/>
      <c r="Q60" s="94"/>
      <c r="R60" s="94"/>
      <c r="S60" s="92"/>
      <c r="T60" s="90"/>
      <c r="U60" s="91"/>
      <c r="V60" s="94"/>
      <c r="W60" s="94"/>
      <c r="X60" s="91"/>
      <c r="Y60" s="94"/>
      <c r="Z60" s="94"/>
      <c r="AA60" s="95"/>
      <c r="AB60" s="346"/>
      <c r="AC60" s="94"/>
      <c r="AD60" s="94"/>
      <c r="AE60" s="95"/>
      <c r="AF60" s="52">
        <f t="shared" si="6"/>
        <v>0</v>
      </c>
      <c r="AG60" s="180"/>
    </row>
    <row r="61" spans="1:33" s="18" customFormat="1" ht="25.5" hidden="1" customHeight="1" x14ac:dyDescent="0.25">
      <c r="A61" s="118" t="s">
        <v>25</v>
      </c>
      <c r="B61" s="88" t="s">
        <v>729</v>
      </c>
      <c r="C61" s="646" t="s">
        <v>26</v>
      </c>
      <c r="D61" s="647"/>
      <c r="E61" s="647"/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f t="shared" si="16"/>
        <v>0</v>
      </c>
      <c r="L61" s="90">
        <f t="shared" ref="L61:R61" si="21">L62+L63+L64+L65+L66+L67+L68+L69+L70+L71</f>
        <v>0</v>
      </c>
      <c r="M61" s="93">
        <f t="shared" si="21"/>
        <v>0</v>
      </c>
      <c r="N61" s="93">
        <f t="shared" si="21"/>
        <v>0</v>
      </c>
      <c r="O61" s="93">
        <f t="shared" si="21"/>
        <v>0</v>
      </c>
      <c r="P61" s="91">
        <f t="shared" si="21"/>
        <v>0</v>
      </c>
      <c r="Q61" s="94"/>
      <c r="R61" s="94">
        <f t="shared" si="21"/>
        <v>0</v>
      </c>
      <c r="S61" s="92"/>
      <c r="T61" s="90">
        <f>T62+T63+T64+T65+T66+T67+T68+T69+T70+T71</f>
        <v>0</v>
      </c>
      <c r="U61" s="91">
        <f t="shared" ref="U61:AE61" si="22">U62+U63+U64+U65+U66+U67+U68+U69+U70+U71</f>
        <v>0</v>
      </c>
      <c r="V61" s="94">
        <f t="shared" si="22"/>
        <v>0</v>
      </c>
      <c r="W61" s="94">
        <f t="shared" si="22"/>
        <v>0</v>
      </c>
      <c r="X61" s="91">
        <f t="shared" si="22"/>
        <v>0</v>
      </c>
      <c r="Y61" s="94">
        <f t="shared" si="22"/>
        <v>0</v>
      </c>
      <c r="Z61" s="94">
        <f t="shared" si="22"/>
        <v>0</v>
      </c>
      <c r="AA61" s="95">
        <f t="shared" si="22"/>
        <v>0</v>
      </c>
      <c r="AB61" s="346">
        <f t="shared" si="22"/>
        <v>0</v>
      </c>
      <c r="AC61" s="94">
        <f t="shared" si="22"/>
        <v>0</v>
      </c>
      <c r="AD61" s="94">
        <f t="shared" si="22"/>
        <v>0</v>
      </c>
      <c r="AE61" s="95">
        <f t="shared" si="22"/>
        <v>0</v>
      </c>
      <c r="AF61" s="52">
        <f t="shared" si="6"/>
        <v>0</v>
      </c>
      <c r="AG61" s="180"/>
    </row>
    <row r="62" spans="1:33" ht="15.75" hidden="1" customHeight="1" x14ac:dyDescent="0.25">
      <c r="B62" s="54"/>
      <c r="C62" s="47"/>
      <c r="D62" s="624" t="s">
        <v>795</v>
      </c>
      <c r="E62" s="624"/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f t="shared" si="16"/>
        <v>0</v>
      </c>
      <c r="L62" s="72"/>
      <c r="M62" s="42"/>
      <c r="N62" s="42"/>
      <c r="O62" s="42"/>
      <c r="P62" s="1"/>
      <c r="Q62" s="78"/>
      <c r="R62" s="78"/>
      <c r="S62" s="73"/>
      <c r="T62" s="72"/>
      <c r="U62" s="1"/>
      <c r="V62" s="78"/>
      <c r="W62" s="78"/>
      <c r="X62" s="1"/>
      <c r="Y62" s="78"/>
      <c r="Z62" s="78"/>
      <c r="AA62" s="44"/>
      <c r="AB62" s="343"/>
      <c r="AC62" s="78"/>
      <c r="AD62" s="78"/>
      <c r="AE62" s="44"/>
      <c r="AF62" s="52">
        <f t="shared" si="6"/>
        <v>0</v>
      </c>
      <c r="AG62" s="180"/>
    </row>
    <row r="63" spans="1:33" ht="15.75" hidden="1" customHeight="1" x14ac:dyDescent="0.25">
      <c r="B63" s="54"/>
      <c r="C63" s="47"/>
      <c r="D63" s="624" t="s">
        <v>796</v>
      </c>
      <c r="E63" s="624"/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f t="shared" si="16"/>
        <v>0</v>
      </c>
      <c r="L63" s="72"/>
      <c r="M63" s="42"/>
      <c r="N63" s="42"/>
      <c r="O63" s="42"/>
      <c r="P63" s="1"/>
      <c r="Q63" s="78"/>
      <c r="R63" s="78"/>
      <c r="S63" s="73"/>
      <c r="T63" s="72"/>
      <c r="U63" s="1"/>
      <c r="V63" s="78"/>
      <c r="W63" s="78"/>
      <c r="X63" s="1"/>
      <c r="Y63" s="78"/>
      <c r="Z63" s="78"/>
      <c r="AA63" s="44"/>
      <c r="AB63" s="343"/>
      <c r="AC63" s="78"/>
      <c r="AD63" s="78"/>
      <c r="AE63" s="44"/>
      <c r="AF63" s="52">
        <f t="shared" si="6"/>
        <v>0</v>
      </c>
      <c r="AG63" s="180"/>
    </row>
    <row r="64" spans="1:33" ht="15.75" hidden="1" customHeight="1" x14ac:dyDescent="0.25">
      <c r="B64" s="54"/>
      <c r="C64" s="47"/>
      <c r="D64" s="624" t="s">
        <v>460</v>
      </c>
      <c r="E64" s="624"/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f t="shared" si="16"/>
        <v>0</v>
      </c>
      <c r="L64" s="72"/>
      <c r="M64" s="42"/>
      <c r="N64" s="42"/>
      <c r="O64" s="42"/>
      <c r="P64" s="1"/>
      <c r="Q64" s="78"/>
      <c r="R64" s="78"/>
      <c r="S64" s="73"/>
      <c r="T64" s="72"/>
      <c r="U64" s="1"/>
      <c r="V64" s="78"/>
      <c r="W64" s="78"/>
      <c r="X64" s="1"/>
      <c r="Y64" s="78"/>
      <c r="Z64" s="78"/>
      <c r="AA64" s="44"/>
      <c r="AB64" s="343"/>
      <c r="AC64" s="78"/>
      <c r="AD64" s="78"/>
      <c r="AE64" s="44"/>
      <c r="AF64" s="52">
        <f t="shared" si="6"/>
        <v>0</v>
      </c>
      <c r="AG64" s="180"/>
    </row>
    <row r="65" spans="1:33" ht="25.5" hidden="1" customHeight="1" x14ac:dyDescent="0.25">
      <c r="B65" s="54"/>
      <c r="C65" s="47"/>
      <c r="D65" s="625" t="s">
        <v>465</v>
      </c>
      <c r="E65" s="625"/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f t="shared" si="16"/>
        <v>0</v>
      </c>
      <c r="L65" s="72"/>
      <c r="M65" s="42"/>
      <c r="N65" s="42"/>
      <c r="O65" s="42"/>
      <c r="P65" s="1"/>
      <c r="Q65" s="78"/>
      <c r="R65" s="78"/>
      <c r="S65" s="73"/>
      <c r="T65" s="72"/>
      <c r="U65" s="1"/>
      <c r="V65" s="78"/>
      <c r="W65" s="78"/>
      <c r="X65" s="1"/>
      <c r="Y65" s="78"/>
      <c r="Z65" s="78"/>
      <c r="AA65" s="44"/>
      <c r="AB65" s="343"/>
      <c r="AC65" s="78"/>
      <c r="AD65" s="78"/>
      <c r="AE65" s="44"/>
      <c r="AF65" s="52">
        <f t="shared" si="6"/>
        <v>0</v>
      </c>
      <c r="AG65" s="180"/>
    </row>
    <row r="66" spans="1:33" ht="15.75" hidden="1" customHeight="1" x14ac:dyDescent="0.25">
      <c r="B66" s="54"/>
      <c r="C66" s="47"/>
      <c r="D66" s="624" t="s">
        <v>396</v>
      </c>
      <c r="E66" s="624"/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f t="shared" si="16"/>
        <v>0</v>
      </c>
      <c r="L66" s="72"/>
      <c r="M66" s="42"/>
      <c r="N66" s="42"/>
      <c r="O66" s="42"/>
      <c r="P66" s="1"/>
      <c r="Q66" s="78"/>
      <c r="R66" s="78"/>
      <c r="S66" s="73"/>
      <c r="T66" s="72"/>
      <c r="U66" s="1"/>
      <c r="V66" s="78"/>
      <c r="W66" s="78"/>
      <c r="X66" s="1"/>
      <c r="Y66" s="78"/>
      <c r="Z66" s="78"/>
      <c r="AA66" s="44"/>
      <c r="AB66" s="343"/>
      <c r="AC66" s="78"/>
      <c r="AD66" s="78"/>
      <c r="AE66" s="44"/>
      <c r="AF66" s="52">
        <f t="shared" si="6"/>
        <v>0</v>
      </c>
      <c r="AG66" s="180"/>
    </row>
    <row r="67" spans="1:33" ht="15.75" hidden="1" customHeight="1" x14ac:dyDescent="0.25">
      <c r="B67" s="54"/>
      <c r="C67" s="47"/>
      <c r="D67" s="624" t="s">
        <v>797</v>
      </c>
      <c r="E67" s="624"/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f t="shared" si="16"/>
        <v>0</v>
      </c>
      <c r="L67" s="72"/>
      <c r="M67" s="42"/>
      <c r="N67" s="42"/>
      <c r="O67" s="42"/>
      <c r="P67" s="1"/>
      <c r="Q67" s="78"/>
      <c r="R67" s="78"/>
      <c r="S67" s="73"/>
      <c r="T67" s="72"/>
      <c r="U67" s="1"/>
      <c r="V67" s="78"/>
      <c r="W67" s="78"/>
      <c r="X67" s="1"/>
      <c r="Y67" s="78"/>
      <c r="Z67" s="78"/>
      <c r="AA67" s="44"/>
      <c r="AB67" s="343"/>
      <c r="AC67" s="78"/>
      <c r="AD67" s="78"/>
      <c r="AE67" s="44"/>
      <c r="AF67" s="52">
        <f t="shared" si="6"/>
        <v>0</v>
      </c>
      <c r="AG67" s="180"/>
    </row>
    <row r="68" spans="1:33" ht="25.5" hidden="1" customHeight="1" x14ac:dyDescent="0.25">
      <c r="B68" s="54"/>
      <c r="C68" s="47"/>
      <c r="D68" s="625" t="s">
        <v>474</v>
      </c>
      <c r="E68" s="625"/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f t="shared" si="16"/>
        <v>0</v>
      </c>
      <c r="L68" s="72"/>
      <c r="M68" s="42"/>
      <c r="N68" s="42"/>
      <c r="O68" s="42"/>
      <c r="P68" s="1"/>
      <c r="Q68" s="78"/>
      <c r="R68" s="78"/>
      <c r="S68" s="73"/>
      <c r="T68" s="72"/>
      <c r="U68" s="1"/>
      <c r="V68" s="78"/>
      <c r="W68" s="78"/>
      <c r="X68" s="1"/>
      <c r="Y68" s="78"/>
      <c r="Z68" s="78"/>
      <c r="AA68" s="44"/>
      <c r="AB68" s="343"/>
      <c r="AC68" s="78"/>
      <c r="AD68" s="78"/>
      <c r="AE68" s="44"/>
      <c r="AF68" s="52">
        <f t="shared" si="6"/>
        <v>0</v>
      </c>
      <c r="AG68" s="180"/>
    </row>
    <row r="69" spans="1:33" ht="25.5" hidden="1" customHeight="1" x14ac:dyDescent="0.25">
      <c r="B69" s="54"/>
      <c r="C69" s="47"/>
      <c r="D69" s="625" t="s">
        <v>479</v>
      </c>
      <c r="E69" s="625"/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f t="shared" si="16"/>
        <v>0</v>
      </c>
      <c r="L69" s="72"/>
      <c r="M69" s="42"/>
      <c r="N69" s="42"/>
      <c r="O69" s="42"/>
      <c r="P69" s="1"/>
      <c r="Q69" s="78"/>
      <c r="R69" s="78"/>
      <c r="S69" s="73"/>
      <c r="T69" s="72"/>
      <c r="U69" s="1"/>
      <c r="V69" s="78"/>
      <c r="W69" s="78"/>
      <c r="X69" s="1"/>
      <c r="Y69" s="78"/>
      <c r="Z69" s="78"/>
      <c r="AA69" s="44"/>
      <c r="AB69" s="343"/>
      <c r="AC69" s="78"/>
      <c r="AD69" s="78"/>
      <c r="AE69" s="44"/>
      <c r="AF69" s="52">
        <f t="shared" si="6"/>
        <v>0</v>
      </c>
      <c r="AG69" s="180"/>
    </row>
    <row r="70" spans="1:33" ht="25.5" hidden="1" customHeight="1" x14ac:dyDescent="0.25">
      <c r="B70" s="54"/>
      <c r="C70" s="47"/>
      <c r="D70" s="625" t="s">
        <v>483</v>
      </c>
      <c r="E70" s="625"/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f t="shared" si="16"/>
        <v>0</v>
      </c>
      <c r="L70" s="72"/>
      <c r="M70" s="42"/>
      <c r="N70" s="42"/>
      <c r="O70" s="42"/>
      <c r="P70" s="1"/>
      <c r="Q70" s="78"/>
      <c r="R70" s="78"/>
      <c r="S70" s="73"/>
      <c r="T70" s="72"/>
      <c r="U70" s="1"/>
      <c r="V70" s="78"/>
      <c r="W70" s="78"/>
      <c r="X70" s="1"/>
      <c r="Y70" s="78"/>
      <c r="Z70" s="78"/>
      <c r="AA70" s="44"/>
      <c r="AB70" s="343"/>
      <c r="AC70" s="78"/>
      <c r="AD70" s="78"/>
      <c r="AE70" s="44"/>
      <c r="AF70" s="52">
        <f t="shared" ref="AF70:AF133" si="23">K70-J70</f>
        <v>0</v>
      </c>
      <c r="AG70" s="180"/>
    </row>
    <row r="71" spans="1:33" ht="25.5" hidden="1" customHeight="1" x14ac:dyDescent="0.25">
      <c r="B71" s="54"/>
      <c r="C71" s="47"/>
      <c r="D71" s="625" t="s">
        <v>488</v>
      </c>
      <c r="E71" s="625"/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f t="shared" si="16"/>
        <v>0</v>
      </c>
      <c r="L71" s="72"/>
      <c r="M71" s="42"/>
      <c r="N71" s="42"/>
      <c r="O71" s="42"/>
      <c r="P71" s="1"/>
      <c r="Q71" s="78"/>
      <c r="R71" s="78"/>
      <c r="S71" s="73"/>
      <c r="T71" s="72"/>
      <c r="U71" s="1"/>
      <c r="V71" s="78"/>
      <c r="W71" s="78"/>
      <c r="X71" s="1"/>
      <c r="Y71" s="78"/>
      <c r="Z71" s="78"/>
      <c r="AA71" s="44"/>
      <c r="AB71" s="343"/>
      <c r="AC71" s="78"/>
      <c r="AD71" s="78"/>
      <c r="AE71" s="44"/>
      <c r="AF71" s="52">
        <f t="shared" si="23"/>
        <v>0</v>
      </c>
      <c r="AG71" s="180"/>
    </row>
    <row r="72" spans="1:33" s="18" customFormat="1" ht="25.5" hidden="1" customHeight="1" x14ac:dyDescent="0.25">
      <c r="A72" s="118" t="s">
        <v>27</v>
      </c>
      <c r="B72" s="88" t="s">
        <v>730</v>
      </c>
      <c r="C72" s="646" t="s">
        <v>28</v>
      </c>
      <c r="D72" s="647"/>
      <c r="E72" s="647"/>
      <c r="F72" s="383">
        <v>0</v>
      </c>
      <c r="G72" s="383">
        <v>0</v>
      </c>
      <c r="H72" s="383">
        <v>0</v>
      </c>
      <c r="I72" s="383">
        <v>0</v>
      </c>
      <c r="J72" s="383">
        <v>0</v>
      </c>
      <c r="K72" s="383">
        <f t="shared" si="16"/>
        <v>0</v>
      </c>
      <c r="L72" s="90">
        <f t="shared" ref="L72:R72" si="24">L73+L74+L75+L76+L77+L78+L79+L80+L81+L82</f>
        <v>0</v>
      </c>
      <c r="M72" s="93">
        <f t="shared" si="24"/>
        <v>0</v>
      </c>
      <c r="N72" s="93">
        <f t="shared" si="24"/>
        <v>0</v>
      </c>
      <c r="O72" s="93">
        <f t="shared" si="24"/>
        <v>0</v>
      </c>
      <c r="P72" s="91">
        <f t="shared" si="24"/>
        <v>0</v>
      </c>
      <c r="Q72" s="94"/>
      <c r="R72" s="94">
        <f t="shared" si="24"/>
        <v>0</v>
      </c>
      <c r="S72" s="92"/>
      <c r="T72" s="90">
        <f>T73+T74+T75+T76+T77+T78+T79+T80+T81+T82</f>
        <v>0</v>
      </c>
      <c r="U72" s="91">
        <f t="shared" ref="U72:AE72" si="25">U73+U74+U75+U76+U77+U78+U79+U80+U81+U82</f>
        <v>0</v>
      </c>
      <c r="V72" s="94">
        <f t="shared" si="25"/>
        <v>0</v>
      </c>
      <c r="W72" s="94">
        <f t="shared" si="25"/>
        <v>0</v>
      </c>
      <c r="X72" s="91">
        <f t="shared" si="25"/>
        <v>0</v>
      </c>
      <c r="Y72" s="94">
        <f t="shared" si="25"/>
        <v>0</v>
      </c>
      <c r="Z72" s="94">
        <f t="shared" si="25"/>
        <v>0</v>
      </c>
      <c r="AA72" s="95">
        <f t="shared" si="25"/>
        <v>0</v>
      </c>
      <c r="AB72" s="346">
        <f t="shared" si="25"/>
        <v>0</v>
      </c>
      <c r="AC72" s="94">
        <f t="shared" si="25"/>
        <v>0</v>
      </c>
      <c r="AD72" s="94">
        <f t="shared" si="25"/>
        <v>0</v>
      </c>
      <c r="AE72" s="95">
        <f t="shared" si="25"/>
        <v>0</v>
      </c>
      <c r="AF72" s="52">
        <f t="shared" si="23"/>
        <v>0</v>
      </c>
      <c r="AG72" s="180"/>
    </row>
    <row r="73" spans="1:33" ht="25.5" hidden="1" customHeight="1" x14ac:dyDescent="0.25">
      <c r="B73" s="54"/>
      <c r="C73" s="47"/>
      <c r="D73" s="625" t="s">
        <v>453</v>
      </c>
      <c r="E73" s="625"/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f t="shared" si="16"/>
        <v>0</v>
      </c>
      <c r="L73" s="72"/>
      <c r="M73" s="42"/>
      <c r="N73" s="42"/>
      <c r="O73" s="42"/>
      <c r="P73" s="1"/>
      <c r="Q73" s="78"/>
      <c r="R73" s="78"/>
      <c r="S73" s="73"/>
      <c r="T73" s="72"/>
      <c r="U73" s="1"/>
      <c r="V73" s="78"/>
      <c r="W73" s="78"/>
      <c r="X73" s="1"/>
      <c r="Y73" s="78"/>
      <c r="Z73" s="78"/>
      <c r="AA73" s="44"/>
      <c r="AB73" s="343"/>
      <c r="AC73" s="78"/>
      <c r="AD73" s="78"/>
      <c r="AE73" s="44"/>
      <c r="AF73" s="52">
        <f t="shared" si="23"/>
        <v>0</v>
      </c>
      <c r="AG73" s="180"/>
    </row>
    <row r="74" spans="1:33" ht="25.5" hidden="1" customHeight="1" x14ac:dyDescent="0.25">
      <c r="B74" s="54"/>
      <c r="C74" s="47"/>
      <c r="D74" s="625" t="s">
        <v>457</v>
      </c>
      <c r="E74" s="625"/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f t="shared" ref="J74:K105" si="26">SUM(T74:AE74)</f>
        <v>0</v>
      </c>
      <c r="L74" s="72"/>
      <c r="M74" s="42"/>
      <c r="N74" s="42"/>
      <c r="O74" s="42"/>
      <c r="P74" s="1"/>
      <c r="Q74" s="78"/>
      <c r="R74" s="78"/>
      <c r="S74" s="73"/>
      <c r="T74" s="72"/>
      <c r="U74" s="1"/>
      <c r="V74" s="78"/>
      <c r="W74" s="78"/>
      <c r="X74" s="1"/>
      <c r="Y74" s="78"/>
      <c r="Z74" s="78"/>
      <c r="AA74" s="44"/>
      <c r="AB74" s="343"/>
      <c r="AC74" s="78"/>
      <c r="AD74" s="78"/>
      <c r="AE74" s="44"/>
      <c r="AF74" s="52">
        <f t="shared" si="23"/>
        <v>0</v>
      </c>
      <c r="AG74" s="180"/>
    </row>
    <row r="75" spans="1:33" ht="25.5" hidden="1" customHeight="1" x14ac:dyDescent="0.25">
      <c r="B75" s="54"/>
      <c r="C75" s="47"/>
      <c r="D75" s="625" t="s">
        <v>461</v>
      </c>
      <c r="E75" s="625"/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f t="shared" si="26"/>
        <v>0</v>
      </c>
      <c r="L75" s="72"/>
      <c r="M75" s="42"/>
      <c r="N75" s="42"/>
      <c r="O75" s="42"/>
      <c r="P75" s="1"/>
      <c r="Q75" s="78"/>
      <c r="R75" s="78"/>
      <c r="S75" s="73"/>
      <c r="T75" s="72"/>
      <c r="U75" s="1"/>
      <c r="V75" s="78"/>
      <c r="W75" s="78"/>
      <c r="X75" s="1"/>
      <c r="Y75" s="78"/>
      <c r="Z75" s="78"/>
      <c r="AA75" s="44"/>
      <c r="AB75" s="343"/>
      <c r="AC75" s="78"/>
      <c r="AD75" s="78"/>
      <c r="AE75" s="44"/>
      <c r="AF75" s="52">
        <f t="shared" si="23"/>
        <v>0</v>
      </c>
      <c r="AG75" s="180"/>
    </row>
    <row r="76" spans="1:33" ht="25.5" hidden="1" customHeight="1" x14ac:dyDescent="0.25">
      <c r="B76" s="54"/>
      <c r="C76" s="47"/>
      <c r="D76" s="625" t="s">
        <v>466</v>
      </c>
      <c r="E76" s="625"/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f t="shared" si="26"/>
        <v>0</v>
      </c>
      <c r="L76" s="72"/>
      <c r="M76" s="42"/>
      <c r="N76" s="42"/>
      <c r="O76" s="42"/>
      <c r="P76" s="1"/>
      <c r="Q76" s="78"/>
      <c r="R76" s="78"/>
      <c r="S76" s="73"/>
      <c r="T76" s="72"/>
      <c r="U76" s="1"/>
      <c r="V76" s="78"/>
      <c r="W76" s="78"/>
      <c r="X76" s="1"/>
      <c r="Y76" s="78"/>
      <c r="Z76" s="78"/>
      <c r="AA76" s="44"/>
      <c r="AB76" s="343"/>
      <c r="AC76" s="78"/>
      <c r="AD76" s="78"/>
      <c r="AE76" s="44"/>
      <c r="AF76" s="52">
        <f t="shared" si="23"/>
        <v>0</v>
      </c>
      <c r="AG76" s="180"/>
    </row>
    <row r="77" spans="1:33" ht="25.5" hidden="1" customHeight="1" x14ac:dyDescent="0.25">
      <c r="B77" s="54"/>
      <c r="C77" s="47"/>
      <c r="D77" s="625" t="s">
        <v>397</v>
      </c>
      <c r="E77" s="625"/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f t="shared" si="26"/>
        <v>0</v>
      </c>
      <c r="L77" s="72"/>
      <c r="M77" s="42"/>
      <c r="N77" s="42"/>
      <c r="O77" s="42"/>
      <c r="P77" s="1"/>
      <c r="Q77" s="78"/>
      <c r="R77" s="78"/>
      <c r="S77" s="73"/>
      <c r="T77" s="72"/>
      <c r="U77" s="1"/>
      <c r="V77" s="78"/>
      <c r="W77" s="78"/>
      <c r="X77" s="1"/>
      <c r="Y77" s="78"/>
      <c r="Z77" s="78"/>
      <c r="AA77" s="44"/>
      <c r="AB77" s="343"/>
      <c r="AC77" s="78"/>
      <c r="AD77" s="78"/>
      <c r="AE77" s="44"/>
      <c r="AF77" s="52">
        <f t="shared" si="23"/>
        <v>0</v>
      </c>
      <c r="AG77" s="180"/>
    </row>
    <row r="78" spans="1:33" ht="25.5" hidden="1" customHeight="1" x14ac:dyDescent="0.25">
      <c r="B78" s="54"/>
      <c r="C78" s="47"/>
      <c r="D78" s="625" t="s">
        <v>470</v>
      </c>
      <c r="E78" s="625"/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f t="shared" si="26"/>
        <v>0</v>
      </c>
      <c r="L78" s="72"/>
      <c r="M78" s="42"/>
      <c r="N78" s="42"/>
      <c r="O78" s="42"/>
      <c r="P78" s="1"/>
      <c r="Q78" s="78"/>
      <c r="R78" s="78"/>
      <c r="S78" s="73"/>
      <c r="T78" s="72"/>
      <c r="U78" s="1"/>
      <c r="V78" s="78"/>
      <c r="W78" s="78"/>
      <c r="X78" s="1"/>
      <c r="Y78" s="78"/>
      <c r="Z78" s="78"/>
      <c r="AA78" s="44"/>
      <c r="AB78" s="343"/>
      <c r="AC78" s="78"/>
      <c r="AD78" s="78"/>
      <c r="AE78" s="44"/>
      <c r="AF78" s="52">
        <f t="shared" si="23"/>
        <v>0</v>
      </c>
      <c r="AG78" s="180"/>
    </row>
    <row r="79" spans="1:33" ht="25.5" hidden="1" customHeight="1" x14ac:dyDescent="0.25">
      <c r="B79" s="54"/>
      <c r="C79" s="47"/>
      <c r="D79" s="625" t="s">
        <v>475</v>
      </c>
      <c r="E79" s="625"/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f t="shared" si="26"/>
        <v>0</v>
      </c>
      <c r="L79" s="72"/>
      <c r="M79" s="42"/>
      <c r="N79" s="42"/>
      <c r="O79" s="42"/>
      <c r="P79" s="1"/>
      <c r="Q79" s="78"/>
      <c r="R79" s="78"/>
      <c r="S79" s="73"/>
      <c r="T79" s="72"/>
      <c r="U79" s="1"/>
      <c r="V79" s="78"/>
      <c r="W79" s="78"/>
      <c r="X79" s="1"/>
      <c r="Y79" s="78"/>
      <c r="Z79" s="78"/>
      <c r="AA79" s="44"/>
      <c r="AB79" s="343"/>
      <c r="AC79" s="78"/>
      <c r="AD79" s="78"/>
      <c r="AE79" s="44"/>
      <c r="AF79" s="52">
        <f t="shared" si="23"/>
        <v>0</v>
      </c>
      <c r="AG79" s="180"/>
    </row>
    <row r="80" spans="1:33" ht="25.5" hidden="1" customHeight="1" x14ac:dyDescent="0.25">
      <c r="B80" s="54"/>
      <c r="C80" s="47"/>
      <c r="D80" s="625" t="s">
        <v>480</v>
      </c>
      <c r="E80" s="625"/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f t="shared" si="26"/>
        <v>0</v>
      </c>
      <c r="L80" s="72"/>
      <c r="M80" s="42"/>
      <c r="N80" s="42"/>
      <c r="O80" s="42"/>
      <c r="P80" s="1"/>
      <c r="Q80" s="78"/>
      <c r="R80" s="78"/>
      <c r="S80" s="73"/>
      <c r="T80" s="72"/>
      <c r="U80" s="1"/>
      <c r="V80" s="78"/>
      <c r="W80" s="78"/>
      <c r="X80" s="1"/>
      <c r="Y80" s="78"/>
      <c r="Z80" s="78"/>
      <c r="AA80" s="44"/>
      <c r="AB80" s="343"/>
      <c r="AC80" s="78"/>
      <c r="AD80" s="78"/>
      <c r="AE80" s="44"/>
      <c r="AF80" s="52">
        <f t="shared" si="23"/>
        <v>0</v>
      </c>
      <c r="AG80" s="180"/>
    </row>
    <row r="81" spans="1:33" ht="25.5" hidden="1" customHeight="1" x14ac:dyDescent="0.25">
      <c r="B81" s="54"/>
      <c r="C81" s="47"/>
      <c r="D81" s="625" t="s">
        <v>484</v>
      </c>
      <c r="E81" s="625"/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f t="shared" si="26"/>
        <v>0</v>
      </c>
      <c r="L81" s="72"/>
      <c r="M81" s="42"/>
      <c r="N81" s="42"/>
      <c r="O81" s="42"/>
      <c r="P81" s="1"/>
      <c r="Q81" s="78"/>
      <c r="R81" s="78"/>
      <c r="S81" s="73"/>
      <c r="T81" s="72"/>
      <c r="U81" s="1"/>
      <c r="V81" s="78"/>
      <c r="W81" s="78"/>
      <c r="X81" s="1"/>
      <c r="Y81" s="78"/>
      <c r="Z81" s="78"/>
      <c r="AA81" s="44"/>
      <c r="AB81" s="343"/>
      <c r="AC81" s="78"/>
      <c r="AD81" s="78"/>
      <c r="AE81" s="44"/>
      <c r="AF81" s="52">
        <f t="shared" si="23"/>
        <v>0</v>
      </c>
      <c r="AG81" s="180"/>
    </row>
    <row r="82" spans="1:33" ht="25.5" hidden="1" customHeight="1" x14ac:dyDescent="0.25">
      <c r="B82" s="54"/>
      <c r="C82" s="47"/>
      <c r="D82" s="625" t="s">
        <v>489</v>
      </c>
      <c r="E82" s="625"/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f t="shared" si="26"/>
        <v>0</v>
      </c>
      <c r="L82" s="72"/>
      <c r="M82" s="42"/>
      <c r="N82" s="42"/>
      <c r="O82" s="42"/>
      <c r="P82" s="1"/>
      <c r="Q82" s="78"/>
      <c r="R82" s="78"/>
      <c r="S82" s="73"/>
      <c r="T82" s="72"/>
      <c r="U82" s="1"/>
      <c r="V82" s="78"/>
      <c r="W82" s="78"/>
      <c r="X82" s="1"/>
      <c r="Y82" s="78"/>
      <c r="Z82" s="78"/>
      <c r="AA82" s="44"/>
      <c r="AB82" s="343"/>
      <c r="AC82" s="78"/>
      <c r="AD82" s="78"/>
      <c r="AE82" s="44"/>
      <c r="AF82" s="52">
        <f t="shared" si="23"/>
        <v>0</v>
      </c>
      <c r="AG82" s="180"/>
    </row>
    <row r="83" spans="1:33" s="18" customFormat="1" ht="15.75" customHeight="1" x14ac:dyDescent="0.25">
      <c r="A83" s="118" t="s">
        <v>29</v>
      </c>
      <c r="B83" s="88" t="s">
        <v>731</v>
      </c>
      <c r="C83" s="640" t="s">
        <v>798</v>
      </c>
      <c r="D83" s="641"/>
      <c r="E83" s="641"/>
      <c r="F83" s="383">
        <v>0</v>
      </c>
      <c r="G83" s="383">
        <v>0</v>
      </c>
      <c r="H83" s="383">
        <v>63254240</v>
      </c>
      <c r="I83" s="383">
        <v>63704240</v>
      </c>
      <c r="J83" s="383">
        <f t="shared" si="26"/>
        <v>97470507</v>
      </c>
      <c r="K83" s="383">
        <f t="shared" si="26"/>
        <v>97470507</v>
      </c>
      <c r="L83" s="90">
        <f t="shared" ref="L83:R83" si="27">L84+L85+L86+L87+L88+L89+L90+L91+L92+L93</f>
        <v>0</v>
      </c>
      <c r="M83" s="93">
        <f t="shared" si="27"/>
        <v>0</v>
      </c>
      <c r="N83" s="93">
        <f t="shared" si="27"/>
        <v>0</v>
      </c>
      <c r="O83" s="93">
        <f t="shared" si="27"/>
        <v>97470507</v>
      </c>
      <c r="P83" s="91">
        <f t="shared" si="27"/>
        <v>0</v>
      </c>
      <c r="Q83" s="94"/>
      <c r="R83" s="94">
        <f t="shared" si="27"/>
        <v>0</v>
      </c>
      <c r="S83" s="92"/>
      <c r="T83" s="90">
        <f>T84+T85+T86+T87+T88+T89+T90+T91+T92+T93</f>
        <v>0</v>
      </c>
      <c r="U83" s="91">
        <f t="shared" ref="U83:AE83" si="28">U84+U85+U86+U87+U88+U89+U90+U91+U92+U93</f>
        <v>29138280</v>
      </c>
      <c r="V83" s="94">
        <f t="shared" si="28"/>
        <v>10777172</v>
      </c>
      <c r="W83" s="94">
        <f t="shared" si="28"/>
        <v>0</v>
      </c>
      <c r="X83" s="91">
        <f t="shared" si="28"/>
        <v>0</v>
      </c>
      <c r="Y83" s="94">
        <f t="shared" si="28"/>
        <v>33766267</v>
      </c>
      <c r="Z83" s="94">
        <f t="shared" si="28"/>
        <v>0</v>
      </c>
      <c r="AA83" s="95">
        <f t="shared" si="28"/>
        <v>0</v>
      </c>
      <c r="AB83" s="93">
        <f t="shared" si="28"/>
        <v>6577504</v>
      </c>
      <c r="AC83" s="94">
        <f t="shared" si="28"/>
        <v>450000</v>
      </c>
      <c r="AD83" s="94">
        <f t="shared" si="28"/>
        <v>16761284</v>
      </c>
      <c r="AE83" s="95">
        <f t="shared" si="28"/>
        <v>0</v>
      </c>
      <c r="AF83" s="52">
        <f t="shared" si="23"/>
        <v>0</v>
      </c>
      <c r="AG83" s="180"/>
    </row>
    <row r="84" spans="1:33" ht="15.75" hidden="1" customHeight="1" x14ac:dyDescent="0.25">
      <c r="B84" s="54"/>
      <c r="C84" s="47"/>
      <c r="D84" s="624" t="s">
        <v>454</v>
      </c>
      <c r="E84" s="624"/>
      <c r="F84" s="76">
        <v>0</v>
      </c>
      <c r="G84" s="76">
        <v>0</v>
      </c>
      <c r="H84" s="76">
        <v>0</v>
      </c>
      <c r="I84" s="76">
        <v>0</v>
      </c>
      <c r="J84" s="76">
        <f>SUM(S84:AD84)</f>
        <v>0</v>
      </c>
      <c r="K84" s="76">
        <f>SUM(T84:AE84)</f>
        <v>0</v>
      </c>
      <c r="L84" s="72"/>
      <c r="M84" s="42"/>
      <c r="N84" s="42"/>
      <c r="O84" s="42">
        <f>K84</f>
        <v>0</v>
      </c>
      <c r="P84" s="1"/>
      <c r="Q84" s="78"/>
      <c r="R84" s="78"/>
      <c r="S84" s="73"/>
      <c r="T84" s="72"/>
      <c r="U84" s="1"/>
      <c r="V84" s="78"/>
      <c r="W84" s="78"/>
      <c r="X84" s="1"/>
      <c r="Y84" s="78"/>
      <c r="Z84" s="78"/>
      <c r="AA84" s="44"/>
      <c r="AB84" s="343"/>
      <c r="AC84" s="78"/>
      <c r="AD84" s="78"/>
      <c r="AE84" s="44"/>
      <c r="AF84" s="52">
        <f t="shared" si="23"/>
        <v>0</v>
      </c>
      <c r="AG84" s="180"/>
    </row>
    <row r="85" spans="1:33" ht="15.75" customHeight="1" x14ac:dyDescent="0.25">
      <c r="B85" s="54"/>
      <c r="C85" s="47"/>
      <c r="D85" s="624" t="s">
        <v>458</v>
      </c>
      <c r="E85" s="624"/>
      <c r="F85" s="76">
        <v>0</v>
      </c>
      <c r="G85" s="76">
        <v>0</v>
      </c>
      <c r="H85" s="76">
        <v>63254240</v>
      </c>
      <c r="I85" s="76">
        <v>63704240</v>
      </c>
      <c r="J85" s="76">
        <f t="shared" si="26"/>
        <v>63704240</v>
      </c>
      <c r="K85" s="76">
        <f t="shared" si="26"/>
        <v>63704240</v>
      </c>
      <c r="L85" s="72"/>
      <c r="M85" s="42"/>
      <c r="N85" s="42"/>
      <c r="O85" s="42">
        <f>K85</f>
        <v>63704240</v>
      </c>
      <c r="P85" s="1"/>
      <c r="Q85" s="78"/>
      <c r="R85" s="78"/>
      <c r="S85" s="73"/>
      <c r="T85" s="72"/>
      <c r="U85" s="1">
        <v>29138280</v>
      </c>
      <c r="V85" s="78">
        <v>10777172</v>
      </c>
      <c r="W85" s="78"/>
      <c r="X85" s="1"/>
      <c r="Y85" s="78"/>
      <c r="Z85" s="78"/>
      <c r="AA85" s="44"/>
      <c r="AB85" s="343">
        <f>2745788+3831716</f>
        <v>6577504</v>
      </c>
      <c r="AC85" s="78">
        <v>450000</v>
      </c>
      <c r="AD85" s="78">
        <v>16761284</v>
      </c>
      <c r="AE85" s="44"/>
      <c r="AF85" s="52">
        <f t="shared" si="23"/>
        <v>0</v>
      </c>
      <c r="AG85" s="180"/>
    </row>
    <row r="86" spans="1:33" ht="15.75" customHeight="1" thickBot="1" x14ac:dyDescent="0.3">
      <c r="B86" s="54"/>
      <c r="C86" s="47"/>
      <c r="D86" s="624" t="s">
        <v>462</v>
      </c>
      <c r="E86" s="624"/>
      <c r="F86" s="76">
        <v>0</v>
      </c>
      <c r="G86" s="76">
        <v>0</v>
      </c>
      <c r="H86" s="76">
        <v>0</v>
      </c>
      <c r="I86" s="76">
        <v>0</v>
      </c>
      <c r="J86" s="76">
        <f t="shared" si="26"/>
        <v>33766267</v>
      </c>
      <c r="K86" s="76">
        <f t="shared" si="26"/>
        <v>33766267</v>
      </c>
      <c r="L86" s="72"/>
      <c r="M86" s="42"/>
      <c r="N86" s="42"/>
      <c r="O86" s="42">
        <f>K86</f>
        <v>33766267</v>
      </c>
      <c r="P86" s="1"/>
      <c r="Q86" s="78"/>
      <c r="R86" s="78"/>
      <c r="S86" s="73"/>
      <c r="T86" s="72"/>
      <c r="U86" s="1"/>
      <c r="V86" s="78"/>
      <c r="W86" s="78"/>
      <c r="X86" s="1"/>
      <c r="Y86" s="343">
        <f>26188798+7070975+506494</f>
        <v>33766267</v>
      </c>
      <c r="Z86" s="78"/>
      <c r="AA86" s="44"/>
      <c r="AB86" s="343"/>
      <c r="AC86" s="78"/>
      <c r="AD86" s="78"/>
      <c r="AE86" s="44"/>
      <c r="AF86" s="52">
        <f t="shared" si="23"/>
        <v>0</v>
      </c>
      <c r="AG86" s="180"/>
    </row>
    <row r="87" spans="1:33" ht="15.75" hidden="1" customHeight="1" x14ac:dyDescent="0.25">
      <c r="B87" s="54"/>
      <c r="C87" s="47"/>
      <c r="D87" s="624" t="s">
        <v>799</v>
      </c>
      <c r="E87" s="624"/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f t="shared" si="26"/>
        <v>0</v>
      </c>
      <c r="L87" s="72"/>
      <c r="M87" s="42"/>
      <c r="N87" s="42"/>
      <c r="O87" s="42">
        <f>K87</f>
        <v>0</v>
      </c>
      <c r="P87" s="1"/>
      <c r="Q87" s="78"/>
      <c r="R87" s="78"/>
      <c r="S87" s="73"/>
      <c r="T87" s="72"/>
      <c r="U87" s="1"/>
      <c r="V87" s="78"/>
      <c r="W87" s="78"/>
      <c r="X87" s="1"/>
      <c r="Y87" s="78"/>
      <c r="Z87" s="78"/>
      <c r="AA87" s="44"/>
      <c r="AB87" s="343"/>
      <c r="AC87" s="78"/>
      <c r="AD87" s="78"/>
      <c r="AE87" s="44"/>
      <c r="AF87" s="52">
        <f t="shared" si="23"/>
        <v>0</v>
      </c>
      <c r="AG87" s="180"/>
    </row>
    <row r="88" spans="1:33" ht="15.75" hidden="1" customHeight="1" x14ac:dyDescent="0.25">
      <c r="B88" s="54"/>
      <c r="C88" s="47"/>
      <c r="D88" s="624" t="s">
        <v>398</v>
      </c>
      <c r="E88" s="624"/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f t="shared" si="26"/>
        <v>0</v>
      </c>
      <c r="L88" s="72"/>
      <c r="M88" s="42"/>
      <c r="N88" s="42"/>
      <c r="O88" s="42"/>
      <c r="P88" s="1"/>
      <c r="Q88" s="78"/>
      <c r="R88" s="78"/>
      <c r="S88" s="73"/>
      <c r="T88" s="72"/>
      <c r="U88" s="1"/>
      <c r="V88" s="78"/>
      <c r="W88" s="78"/>
      <c r="X88" s="1"/>
      <c r="Y88" s="78"/>
      <c r="Z88" s="78"/>
      <c r="AA88" s="44"/>
      <c r="AB88" s="343"/>
      <c r="AC88" s="78"/>
      <c r="AD88" s="78"/>
      <c r="AE88" s="44"/>
      <c r="AF88" s="52">
        <f t="shared" si="23"/>
        <v>0</v>
      </c>
      <c r="AG88" s="180"/>
    </row>
    <row r="89" spans="1:33" ht="15.75" hidden="1" customHeight="1" x14ac:dyDescent="0.25">
      <c r="B89" s="54"/>
      <c r="C89" s="47"/>
      <c r="D89" s="624" t="s">
        <v>471</v>
      </c>
      <c r="E89" s="624"/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f t="shared" si="26"/>
        <v>0</v>
      </c>
      <c r="L89" s="72"/>
      <c r="M89" s="42"/>
      <c r="N89" s="42"/>
      <c r="O89" s="42"/>
      <c r="P89" s="1"/>
      <c r="Q89" s="78"/>
      <c r="R89" s="78"/>
      <c r="S89" s="73"/>
      <c r="T89" s="72"/>
      <c r="U89" s="1"/>
      <c r="V89" s="78"/>
      <c r="W89" s="78"/>
      <c r="X89" s="1"/>
      <c r="Y89" s="78"/>
      <c r="Z89" s="78"/>
      <c r="AA89" s="44"/>
      <c r="AB89" s="343"/>
      <c r="AC89" s="78"/>
      <c r="AD89" s="78"/>
      <c r="AE89" s="44"/>
      <c r="AF89" s="52">
        <f t="shared" si="23"/>
        <v>0</v>
      </c>
      <c r="AG89" s="180"/>
    </row>
    <row r="90" spans="1:33" ht="25.5" hidden="1" customHeight="1" x14ac:dyDescent="0.25">
      <c r="B90" s="54"/>
      <c r="C90" s="47"/>
      <c r="D90" s="625" t="s">
        <v>476</v>
      </c>
      <c r="E90" s="625"/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f t="shared" si="26"/>
        <v>0</v>
      </c>
      <c r="L90" s="72"/>
      <c r="M90" s="42"/>
      <c r="N90" s="42"/>
      <c r="O90" s="42"/>
      <c r="P90" s="1"/>
      <c r="Q90" s="78"/>
      <c r="R90" s="78"/>
      <c r="S90" s="73"/>
      <c r="T90" s="72"/>
      <c r="U90" s="1"/>
      <c r="V90" s="78"/>
      <c r="W90" s="78"/>
      <c r="X90" s="1"/>
      <c r="Y90" s="78"/>
      <c r="Z90" s="78"/>
      <c r="AA90" s="44"/>
      <c r="AB90" s="343"/>
      <c r="AC90" s="78"/>
      <c r="AD90" s="78"/>
      <c r="AE90" s="44"/>
      <c r="AF90" s="52">
        <f t="shared" si="23"/>
        <v>0</v>
      </c>
      <c r="AG90" s="180"/>
    </row>
    <row r="91" spans="1:33" ht="15.75" hidden="1" customHeight="1" x14ac:dyDescent="0.25">
      <c r="B91" s="54"/>
      <c r="C91" s="47"/>
      <c r="D91" s="624" t="s">
        <v>800</v>
      </c>
      <c r="E91" s="624"/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f t="shared" si="26"/>
        <v>0</v>
      </c>
      <c r="L91" s="72"/>
      <c r="M91" s="42"/>
      <c r="N91" s="42"/>
      <c r="O91" s="42"/>
      <c r="P91" s="1"/>
      <c r="Q91" s="78"/>
      <c r="R91" s="78"/>
      <c r="S91" s="73"/>
      <c r="T91" s="72"/>
      <c r="U91" s="1"/>
      <c r="V91" s="78"/>
      <c r="W91" s="78"/>
      <c r="X91" s="1"/>
      <c r="Y91" s="78"/>
      <c r="Z91" s="78"/>
      <c r="AA91" s="44"/>
      <c r="AB91" s="343"/>
      <c r="AC91" s="78"/>
      <c r="AD91" s="78"/>
      <c r="AE91" s="44"/>
      <c r="AF91" s="52">
        <f t="shared" si="23"/>
        <v>0</v>
      </c>
      <c r="AG91" s="180"/>
    </row>
    <row r="92" spans="1:33" ht="25.5" hidden="1" customHeight="1" x14ac:dyDescent="0.25">
      <c r="B92" s="54"/>
      <c r="C92" s="47"/>
      <c r="D92" s="625" t="s">
        <v>485</v>
      </c>
      <c r="E92" s="625"/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f t="shared" si="26"/>
        <v>0</v>
      </c>
      <c r="L92" s="72"/>
      <c r="M92" s="42"/>
      <c r="N92" s="42"/>
      <c r="O92" s="42"/>
      <c r="P92" s="1"/>
      <c r="Q92" s="78"/>
      <c r="R92" s="78"/>
      <c r="S92" s="73"/>
      <c r="T92" s="72"/>
      <c r="U92" s="1"/>
      <c r="V92" s="78"/>
      <c r="W92" s="78"/>
      <c r="X92" s="1"/>
      <c r="Y92" s="78"/>
      <c r="Z92" s="78"/>
      <c r="AA92" s="44"/>
      <c r="AB92" s="343"/>
      <c r="AC92" s="78"/>
      <c r="AD92" s="78"/>
      <c r="AE92" s="44"/>
      <c r="AF92" s="52">
        <f t="shared" si="23"/>
        <v>0</v>
      </c>
      <c r="AG92" s="180"/>
    </row>
    <row r="93" spans="1:33" ht="25.5" hidden="1" customHeight="1" thickBot="1" x14ac:dyDescent="0.3">
      <c r="B93" s="56"/>
      <c r="C93" s="48"/>
      <c r="D93" s="659" t="s">
        <v>490</v>
      </c>
      <c r="E93" s="659"/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f t="shared" si="26"/>
        <v>0</v>
      </c>
      <c r="L93" s="72"/>
      <c r="M93" s="42"/>
      <c r="N93" s="42"/>
      <c r="O93" s="42"/>
      <c r="P93" s="1"/>
      <c r="Q93" s="78"/>
      <c r="R93" s="78"/>
      <c r="S93" s="73"/>
      <c r="T93" s="72"/>
      <c r="U93" s="1"/>
      <c r="V93" s="78"/>
      <c r="W93" s="78"/>
      <c r="X93" s="1"/>
      <c r="Y93" s="78"/>
      <c r="Z93" s="78"/>
      <c r="AA93" s="44"/>
      <c r="AB93" s="343"/>
      <c r="AC93" s="78"/>
      <c r="AD93" s="78"/>
      <c r="AE93" s="44"/>
      <c r="AF93" s="52">
        <f t="shared" si="23"/>
        <v>0</v>
      </c>
      <c r="AG93" s="180"/>
    </row>
    <row r="94" spans="1:33" ht="15.75" thickBot="1" x14ac:dyDescent="0.3">
      <c r="B94" s="96" t="s">
        <v>30</v>
      </c>
      <c r="C94" s="648" t="s">
        <v>31</v>
      </c>
      <c r="D94" s="649"/>
      <c r="E94" s="649"/>
      <c r="F94" s="568">
        <v>10889992</v>
      </c>
      <c r="G94" s="568">
        <v>10889992</v>
      </c>
      <c r="H94" s="568">
        <f>H100+H105+H116</f>
        <v>10894492</v>
      </c>
      <c r="I94" s="568">
        <f>I100+I105+I116</f>
        <v>10894492</v>
      </c>
      <c r="J94" s="568">
        <f t="shared" ref="J94:K94" si="29">J100+J105+J116</f>
        <v>9754500</v>
      </c>
      <c r="K94" s="568">
        <f t="shared" si="29"/>
        <v>9754500</v>
      </c>
      <c r="L94" s="82">
        <f t="shared" ref="L94:R94" si="30">L95+L98+L99+L100+L105+L116</f>
        <v>0</v>
      </c>
      <c r="M94" s="85">
        <f t="shared" si="30"/>
        <v>0</v>
      </c>
      <c r="N94" s="85">
        <f t="shared" si="30"/>
        <v>0</v>
      </c>
      <c r="O94" s="85">
        <f t="shared" si="30"/>
        <v>0</v>
      </c>
      <c r="P94" s="83">
        <f t="shared" si="30"/>
        <v>0</v>
      </c>
      <c r="Q94" s="86"/>
      <c r="R94" s="86">
        <f t="shared" si="30"/>
        <v>9754500</v>
      </c>
      <c r="S94" s="84"/>
      <c r="T94" s="82">
        <f>T95+T98+T99+T100+T105+T116</f>
        <v>84737</v>
      </c>
      <c r="U94" s="83">
        <f t="shared" ref="U94:AE94" si="31">U95+U98+U99+U100+U105+U116</f>
        <v>305326</v>
      </c>
      <c r="V94" s="86">
        <f t="shared" si="31"/>
        <v>2955217</v>
      </c>
      <c r="W94" s="86">
        <f t="shared" si="31"/>
        <v>577644</v>
      </c>
      <c r="X94" s="83">
        <f t="shared" si="31"/>
        <v>674096</v>
      </c>
      <c r="Y94" s="86">
        <f t="shared" si="31"/>
        <v>180007</v>
      </c>
      <c r="Z94" s="86">
        <f t="shared" si="31"/>
        <v>260331</v>
      </c>
      <c r="AA94" s="87">
        <f t="shared" si="31"/>
        <v>754359</v>
      </c>
      <c r="AB94" s="338">
        <f t="shared" si="31"/>
        <v>885035</v>
      </c>
      <c r="AC94" s="86">
        <f t="shared" si="31"/>
        <v>1031384</v>
      </c>
      <c r="AD94" s="86">
        <f t="shared" si="31"/>
        <v>957007</v>
      </c>
      <c r="AE94" s="87">
        <f t="shared" si="31"/>
        <v>1089357</v>
      </c>
      <c r="AF94" s="52">
        <f t="shared" si="23"/>
        <v>0</v>
      </c>
      <c r="AG94" s="180"/>
    </row>
    <row r="95" spans="1:33" s="18" customFormat="1" ht="15" hidden="1" customHeight="1" x14ac:dyDescent="0.25">
      <c r="A95" s="118"/>
      <c r="B95" s="108" t="s">
        <v>732</v>
      </c>
      <c r="C95" s="653" t="s">
        <v>32</v>
      </c>
      <c r="D95" s="654"/>
      <c r="E95" s="654"/>
      <c r="F95" s="569">
        <v>0</v>
      </c>
      <c r="G95" s="569">
        <v>0</v>
      </c>
      <c r="H95" s="569">
        <v>0</v>
      </c>
      <c r="I95" s="569">
        <v>0</v>
      </c>
      <c r="J95" s="569">
        <v>0</v>
      </c>
      <c r="K95" s="569">
        <f t="shared" si="26"/>
        <v>0</v>
      </c>
      <c r="L95" s="109">
        <f t="shared" ref="L95:R95" si="32">L96+L97</f>
        <v>0</v>
      </c>
      <c r="M95" s="112">
        <f t="shared" si="32"/>
        <v>0</v>
      </c>
      <c r="N95" s="112">
        <f t="shared" si="32"/>
        <v>0</v>
      </c>
      <c r="O95" s="112">
        <f t="shared" si="32"/>
        <v>0</v>
      </c>
      <c r="P95" s="110">
        <f t="shared" si="32"/>
        <v>0</v>
      </c>
      <c r="Q95" s="113"/>
      <c r="R95" s="113">
        <f t="shared" si="32"/>
        <v>0</v>
      </c>
      <c r="S95" s="111"/>
      <c r="T95" s="109">
        <f>T96+T97</f>
        <v>0</v>
      </c>
      <c r="U95" s="110">
        <f t="shared" ref="U95:AE95" si="33">U96+U97</f>
        <v>0</v>
      </c>
      <c r="V95" s="113">
        <f t="shared" si="33"/>
        <v>0</v>
      </c>
      <c r="W95" s="113">
        <f t="shared" si="33"/>
        <v>0</v>
      </c>
      <c r="X95" s="110">
        <f t="shared" si="33"/>
        <v>0</v>
      </c>
      <c r="Y95" s="113">
        <f t="shared" si="33"/>
        <v>0</v>
      </c>
      <c r="Z95" s="113">
        <f t="shared" si="33"/>
        <v>0</v>
      </c>
      <c r="AA95" s="114">
        <f t="shared" si="33"/>
        <v>0</v>
      </c>
      <c r="AB95" s="381">
        <f t="shared" si="33"/>
        <v>0</v>
      </c>
      <c r="AC95" s="113">
        <f t="shared" si="33"/>
        <v>0</v>
      </c>
      <c r="AD95" s="113">
        <f t="shared" si="33"/>
        <v>0</v>
      </c>
      <c r="AE95" s="114">
        <f t="shared" si="33"/>
        <v>0</v>
      </c>
      <c r="AF95" s="52">
        <f t="shared" si="23"/>
        <v>0</v>
      </c>
      <c r="AG95" s="180"/>
    </row>
    <row r="96" spans="1:33" s="41" customFormat="1" ht="15" hidden="1" customHeight="1" x14ac:dyDescent="0.25">
      <c r="A96" s="118" t="s">
        <v>33</v>
      </c>
      <c r="B96" s="53" t="s">
        <v>733</v>
      </c>
      <c r="C96" s="168" t="s">
        <v>315</v>
      </c>
      <c r="D96" s="224"/>
      <c r="E96" s="567"/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f t="shared" si="26"/>
        <v>0</v>
      </c>
      <c r="L96" s="74"/>
      <c r="M96" s="43"/>
      <c r="N96" s="43"/>
      <c r="O96" s="43"/>
      <c r="P96" s="13"/>
      <c r="Q96" s="79"/>
      <c r="R96" s="79">
        <f>K96</f>
        <v>0</v>
      </c>
      <c r="S96" s="75"/>
      <c r="T96" s="74"/>
      <c r="U96" s="13"/>
      <c r="V96" s="79"/>
      <c r="W96" s="79"/>
      <c r="X96" s="13"/>
      <c r="Y96" s="79"/>
      <c r="Z96" s="79"/>
      <c r="AA96" s="45"/>
      <c r="AB96" s="342"/>
      <c r="AC96" s="79"/>
      <c r="AD96" s="79"/>
      <c r="AE96" s="45"/>
      <c r="AF96" s="52">
        <f t="shared" si="23"/>
        <v>0</v>
      </c>
      <c r="AG96" s="195"/>
    </row>
    <row r="97" spans="1:34" s="41" customFormat="1" ht="15" hidden="1" customHeight="1" x14ac:dyDescent="0.25">
      <c r="A97" s="118" t="s">
        <v>910</v>
      </c>
      <c r="B97" s="53" t="s">
        <v>911</v>
      </c>
      <c r="C97" s="168" t="s">
        <v>912</v>
      </c>
      <c r="D97" s="224"/>
      <c r="E97" s="567"/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f t="shared" si="26"/>
        <v>0</v>
      </c>
      <c r="L97" s="74"/>
      <c r="M97" s="43"/>
      <c r="N97" s="43"/>
      <c r="O97" s="43"/>
      <c r="P97" s="13"/>
      <c r="Q97" s="79"/>
      <c r="R97" s="79">
        <f>K97</f>
        <v>0</v>
      </c>
      <c r="S97" s="75"/>
      <c r="T97" s="74"/>
      <c r="U97" s="13"/>
      <c r="V97" s="79"/>
      <c r="W97" s="79"/>
      <c r="X97" s="13"/>
      <c r="Y97" s="79"/>
      <c r="Z97" s="79"/>
      <c r="AA97" s="45"/>
      <c r="AB97" s="342"/>
      <c r="AC97" s="79"/>
      <c r="AD97" s="79"/>
      <c r="AE97" s="45"/>
      <c r="AF97" s="52">
        <f t="shared" si="23"/>
        <v>0</v>
      </c>
      <c r="AG97" s="195"/>
    </row>
    <row r="98" spans="1:34" s="18" customFormat="1" ht="15" hidden="1" customHeight="1" x14ac:dyDescent="0.25">
      <c r="A98" s="118" t="s">
        <v>913</v>
      </c>
      <c r="B98" s="88" t="s">
        <v>915</v>
      </c>
      <c r="C98" s="626" t="s">
        <v>917</v>
      </c>
      <c r="D98" s="627"/>
      <c r="E98" s="627"/>
      <c r="F98" s="383">
        <v>0</v>
      </c>
      <c r="G98" s="383">
        <v>0</v>
      </c>
      <c r="H98" s="383">
        <v>0</v>
      </c>
      <c r="I98" s="383">
        <v>0</v>
      </c>
      <c r="J98" s="383">
        <v>0</v>
      </c>
      <c r="K98" s="383">
        <f t="shared" si="26"/>
        <v>0</v>
      </c>
      <c r="L98" s="90"/>
      <c r="M98" s="93"/>
      <c r="N98" s="93"/>
      <c r="O98" s="93"/>
      <c r="P98" s="91"/>
      <c r="Q98" s="94"/>
      <c r="R98" s="94">
        <f>K98</f>
        <v>0</v>
      </c>
      <c r="S98" s="92"/>
      <c r="T98" s="90"/>
      <c r="U98" s="91"/>
      <c r="V98" s="94"/>
      <c r="W98" s="94"/>
      <c r="X98" s="91"/>
      <c r="Y98" s="94"/>
      <c r="Z98" s="94"/>
      <c r="AA98" s="95"/>
      <c r="AB98" s="346"/>
      <c r="AC98" s="94"/>
      <c r="AD98" s="94"/>
      <c r="AE98" s="95"/>
      <c r="AF98" s="52">
        <f t="shared" si="23"/>
        <v>0</v>
      </c>
      <c r="AG98" s="180"/>
    </row>
    <row r="99" spans="1:34" s="18" customFormat="1" ht="15" hidden="1" customHeight="1" x14ac:dyDescent="0.25">
      <c r="A99" s="118" t="s">
        <v>914</v>
      </c>
      <c r="B99" s="88" t="s">
        <v>916</v>
      </c>
      <c r="C99" s="626" t="s">
        <v>918</v>
      </c>
      <c r="D99" s="627"/>
      <c r="E99" s="627"/>
      <c r="F99" s="383">
        <v>0</v>
      </c>
      <c r="G99" s="383">
        <v>0</v>
      </c>
      <c r="H99" s="383">
        <v>0</v>
      </c>
      <c r="I99" s="383">
        <v>0</v>
      </c>
      <c r="J99" s="383">
        <v>0</v>
      </c>
      <c r="K99" s="383">
        <f t="shared" si="26"/>
        <v>0</v>
      </c>
      <c r="L99" s="90"/>
      <c r="M99" s="93"/>
      <c r="N99" s="93"/>
      <c r="O99" s="93"/>
      <c r="P99" s="91"/>
      <c r="Q99" s="94"/>
      <c r="R99" s="94">
        <f>K99</f>
        <v>0</v>
      </c>
      <c r="S99" s="92"/>
      <c r="T99" s="90"/>
      <c r="U99" s="91"/>
      <c r="V99" s="94"/>
      <c r="W99" s="94"/>
      <c r="X99" s="91"/>
      <c r="Y99" s="94"/>
      <c r="Z99" s="94"/>
      <c r="AA99" s="95"/>
      <c r="AB99" s="346"/>
      <c r="AC99" s="94"/>
      <c r="AD99" s="94"/>
      <c r="AE99" s="95"/>
      <c r="AF99" s="52">
        <f t="shared" si="23"/>
        <v>0</v>
      </c>
      <c r="AG99" s="180"/>
    </row>
    <row r="100" spans="1:34" s="18" customFormat="1" x14ac:dyDescent="0.25">
      <c r="A100" s="118" t="s">
        <v>34</v>
      </c>
      <c r="B100" s="88" t="s">
        <v>734</v>
      </c>
      <c r="C100" s="626" t="s">
        <v>35</v>
      </c>
      <c r="D100" s="627"/>
      <c r="E100" s="627"/>
      <c r="F100" s="383">
        <v>3500000</v>
      </c>
      <c r="G100" s="383">
        <v>3500000</v>
      </c>
      <c r="H100" s="383">
        <v>3500000</v>
      </c>
      <c r="I100" s="383">
        <v>3500000</v>
      </c>
      <c r="J100" s="383">
        <v>3000000</v>
      </c>
      <c r="K100" s="383">
        <f t="shared" si="26"/>
        <v>3000000</v>
      </c>
      <c r="L100" s="90">
        <f t="shared" ref="L100:R100" si="34">L101+L102+L103+L104</f>
        <v>0</v>
      </c>
      <c r="M100" s="93">
        <f t="shared" si="34"/>
        <v>0</v>
      </c>
      <c r="N100" s="93">
        <f t="shared" si="34"/>
        <v>0</v>
      </c>
      <c r="O100" s="93">
        <f t="shared" si="34"/>
        <v>0</v>
      </c>
      <c r="P100" s="91">
        <f t="shared" si="34"/>
        <v>0</v>
      </c>
      <c r="Q100" s="94"/>
      <c r="R100" s="94">
        <f t="shared" si="34"/>
        <v>3000000</v>
      </c>
      <c r="S100" s="92"/>
      <c r="T100" s="90">
        <f>T101+T102+T103+T104</f>
        <v>0</v>
      </c>
      <c r="U100" s="91">
        <f t="shared" ref="U100:AE100" si="35">U101+U102+U103+U104</f>
        <v>91400</v>
      </c>
      <c r="V100" s="94">
        <f t="shared" si="35"/>
        <v>1239354</v>
      </c>
      <c r="W100" s="94">
        <f t="shared" si="35"/>
        <v>45000</v>
      </c>
      <c r="X100" s="91">
        <f t="shared" si="35"/>
        <v>66221</v>
      </c>
      <c r="Y100" s="94">
        <f t="shared" si="35"/>
        <v>15000</v>
      </c>
      <c r="Z100" s="94">
        <f t="shared" si="35"/>
        <v>7500</v>
      </c>
      <c r="AA100" s="95">
        <f t="shared" si="35"/>
        <v>353040</v>
      </c>
      <c r="AB100" s="341">
        <f t="shared" si="35"/>
        <v>350000</v>
      </c>
      <c r="AC100" s="94">
        <f t="shared" si="35"/>
        <v>250000</v>
      </c>
      <c r="AD100" s="94">
        <f t="shared" si="35"/>
        <v>300000</v>
      </c>
      <c r="AE100" s="95">
        <f t="shared" si="35"/>
        <v>282485</v>
      </c>
      <c r="AF100" s="52">
        <f t="shared" si="23"/>
        <v>0</v>
      </c>
      <c r="AG100" s="180"/>
    </row>
    <row r="101" spans="1:34" ht="15" hidden="1" customHeight="1" x14ac:dyDescent="0.25">
      <c r="B101" s="54"/>
      <c r="C101" s="2"/>
      <c r="D101" s="624" t="s">
        <v>316</v>
      </c>
      <c r="E101" s="624"/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f t="shared" si="26"/>
        <v>0</v>
      </c>
      <c r="L101" s="72"/>
      <c r="M101" s="42"/>
      <c r="N101" s="42"/>
      <c r="O101" s="42"/>
      <c r="P101" s="1"/>
      <c r="Q101" s="78"/>
      <c r="R101" s="78">
        <f>K101</f>
        <v>0</v>
      </c>
      <c r="S101" s="73"/>
      <c r="T101" s="72"/>
      <c r="U101" s="1"/>
      <c r="V101" s="78"/>
      <c r="W101" s="78"/>
      <c r="X101" s="1"/>
      <c r="Y101" s="78"/>
      <c r="Z101" s="78"/>
      <c r="AA101" s="44"/>
      <c r="AB101" s="343"/>
      <c r="AC101" s="78"/>
      <c r="AD101" s="78"/>
      <c r="AE101" s="44"/>
      <c r="AF101" s="52">
        <f t="shared" si="23"/>
        <v>0</v>
      </c>
      <c r="AG101" s="180"/>
    </row>
    <row r="102" spans="1:34" ht="15" hidden="1" customHeight="1" x14ac:dyDescent="0.25">
      <c r="B102" s="54"/>
      <c r="C102" s="2"/>
      <c r="D102" s="624" t="s">
        <v>317</v>
      </c>
      <c r="E102" s="624"/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f t="shared" si="26"/>
        <v>0</v>
      </c>
      <c r="L102" s="72"/>
      <c r="M102" s="42"/>
      <c r="N102" s="42"/>
      <c r="O102" s="42"/>
      <c r="P102" s="1"/>
      <c r="Q102" s="78"/>
      <c r="R102" s="78">
        <f>K102</f>
        <v>0</v>
      </c>
      <c r="S102" s="73"/>
      <c r="T102" s="72"/>
      <c r="U102" s="1"/>
      <c r="V102" s="78"/>
      <c r="W102" s="78"/>
      <c r="X102" s="1"/>
      <c r="Y102" s="78"/>
      <c r="Z102" s="78"/>
      <c r="AA102" s="44"/>
      <c r="AB102" s="343"/>
      <c r="AC102" s="78"/>
      <c r="AD102" s="78"/>
      <c r="AE102" s="44"/>
      <c r="AF102" s="52">
        <f t="shared" si="23"/>
        <v>0</v>
      </c>
      <c r="AG102" s="180"/>
    </row>
    <row r="103" spans="1:34" ht="15" hidden="1" customHeight="1" x14ac:dyDescent="0.25">
      <c r="B103" s="54"/>
      <c r="C103" s="2"/>
      <c r="D103" s="624" t="s">
        <v>318</v>
      </c>
      <c r="E103" s="624"/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f t="shared" si="26"/>
        <v>0</v>
      </c>
      <c r="L103" s="72"/>
      <c r="M103" s="42"/>
      <c r="N103" s="42"/>
      <c r="O103" s="42"/>
      <c r="P103" s="1"/>
      <c r="Q103" s="78"/>
      <c r="R103" s="78">
        <f>K103</f>
        <v>0</v>
      </c>
      <c r="S103" s="73"/>
      <c r="T103" s="72"/>
      <c r="U103" s="1"/>
      <c r="V103" s="78"/>
      <c r="W103" s="78"/>
      <c r="X103" s="1"/>
      <c r="Y103" s="78"/>
      <c r="Z103" s="78"/>
      <c r="AA103" s="44"/>
      <c r="AB103" s="343"/>
      <c r="AC103" s="78"/>
      <c r="AD103" s="78"/>
      <c r="AE103" s="44"/>
      <c r="AF103" s="52">
        <f t="shared" si="23"/>
        <v>0</v>
      </c>
      <c r="AG103" s="180"/>
    </row>
    <row r="104" spans="1:34" x14ac:dyDescent="0.25">
      <c r="B104" s="54"/>
      <c r="C104" s="2"/>
      <c r="D104" s="624" t="s">
        <v>319</v>
      </c>
      <c r="E104" s="624"/>
      <c r="F104" s="76">
        <v>3500000</v>
      </c>
      <c r="G104" s="76">
        <v>3500000</v>
      </c>
      <c r="H104" s="76">
        <v>3500000</v>
      </c>
      <c r="I104" s="76">
        <v>3500000</v>
      </c>
      <c r="J104" s="76">
        <v>3000000</v>
      </c>
      <c r="K104" s="76">
        <f t="shared" si="26"/>
        <v>3000000</v>
      </c>
      <c r="L104" s="72"/>
      <c r="M104" s="42"/>
      <c r="N104" s="42"/>
      <c r="O104" s="42"/>
      <c r="P104" s="1"/>
      <c r="Q104" s="78"/>
      <c r="R104" s="78">
        <f>K104</f>
        <v>3000000</v>
      </c>
      <c r="S104" s="73"/>
      <c r="T104" s="72"/>
      <c r="U104" s="1">
        <v>91400</v>
      </c>
      <c r="V104" s="78">
        <v>1239354</v>
      </c>
      <c r="W104" s="78">
        <v>45000</v>
      </c>
      <c r="X104" s="1">
        <v>66221</v>
      </c>
      <c r="Y104" s="78">
        <v>15000</v>
      </c>
      <c r="Z104" s="78">
        <v>7500</v>
      </c>
      <c r="AA104" s="44">
        <v>353040</v>
      </c>
      <c r="AB104" s="42">
        <v>350000</v>
      </c>
      <c r="AC104" s="1">
        <v>250000</v>
      </c>
      <c r="AD104" s="1">
        <v>300000</v>
      </c>
      <c r="AE104" s="1">
        <f>32485+250000</f>
        <v>282485</v>
      </c>
      <c r="AF104" s="52">
        <f t="shared" si="23"/>
        <v>0</v>
      </c>
      <c r="AG104" s="180"/>
      <c r="AH104" s="180"/>
    </row>
    <row r="105" spans="1:34" s="18" customFormat="1" x14ac:dyDescent="0.25">
      <c r="A105" s="118"/>
      <c r="B105" s="88" t="s">
        <v>735</v>
      </c>
      <c r="C105" s="626" t="s">
        <v>37</v>
      </c>
      <c r="D105" s="627"/>
      <c r="E105" s="627"/>
      <c r="F105" s="383">
        <v>5699992</v>
      </c>
      <c r="G105" s="383">
        <v>5699992</v>
      </c>
      <c r="H105" s="383">
        <v>5704492</v>
      </c>
      <c r="I105" s="383">
        <v>5704492</v>
      </c>
      <c r="J105" s="383">
        <f>J106+J111+J112</f>
        <v>5204500</v>
      </c>
      <c r="K105" s="383">
        <f t="shared" si="26"/>
        <v>5204500</v>
      </c>
      <c r="L105" s="90">
        <f t="shared" ref="L105:R105" si="36">L106+L109+L110+L111+L112</f>
        <v>0</v>
      </c>
      <c r="M105" s="93">
        <f t="shared" si="36"/>
        <v>0</v>
      </c>
      <c r="N105" s="93">
        <f t="shared" si="36"/>
        <v>0</v>
      </c>
      <c r="O105" s="93">
        <f t="shared" si="36"/>
        <v>0</v>
      </c>
      <c r="P105" s="91">
        <f t="shared" si="36"/>
        <v>0</v>
      </c>
      <c r="Q105" s="94"/>
      <c r="R105" s="94">
        <f t="shared" si="36"/>
        <v>5204500</v>
      </c>
      <c r="S105" s="92"/>
      <c r="T105" s="90">
        <f>T106+T109+T110+T111+T112</f>
        <v>8645</v>
      </c>
      <c r="U105" s="91">
        <f>U106+U109+U110+U111+U112</f>
        <v>175041</v>
      </c>
      <c r="V105" s="94">
        <f>V106+V109+V110+V111+V112</f>
        <v>1337722</v>
      </c>
      <c r="W105" s="94">
        <f>W106+W109+W110+W111+W112</f>
        <v>341636</v>
      </c>
      <c r="X105" s="91">
        <f t="shared" ref="X105:AE105" si="37">X106+X109+X110+X111+X112</f>
        <v>581160</v>
      </c>
      <c r="Y105" s="94">
        <f t="shared" si="37"/>
        <v>157302</v>
      </c>
      <c r="Z105" s="94">
        <f t="shared" si="37"/>
        <v>251863</v>
      </c>
      <c r="AA105" s="95">
        <f t="shared" si="37"/>
        <v>172400</v>
      </c>
      <c r="AB105" s="341">
        <f t="shared" si="37"/>
        <v>424999</v>
      </c>
      <c r="AC105" s="94">
        <f t="shared" si="37"/>
        <v>646861</v>
      </c>
      <c r="AD105" s="94">
        <f t="shared" si="37"/>
        <v>424999</v>
      </c>
      <c r="AE105" s="95">
        <f t="shared" si="37"/>
        <v>681872</v>
      </c>
      <c r="AF105" s="52">
        <f t="shared" si="23"/>
        <v>0</v>
      </c>
      <c r="AG105" s="180"/>
      <c r="AH105" s="180"/>
    </row>
    <row r="106" spans="1:34" s="41" customFormat="1" x14ac:dyDescent="0.25">
      <c r="A106" s="118" t="s">
        <v>36</v>
      </c>
      <c r="B106" s="53" t="s">
        <v>919</v>
      </c>
      <c r="C106" s="168" t="s">
        <v>920</v>
      </c>
      <c r="D106" s="224"/>
      <c r="E106" s="567"/>
      <c r="F106" s="77">
        <v>4399992</v>
      </c>
      <c r="G106" s="77">
        <v>4399992</v>
      </c>
      <c r="H106" s="77">
        <v>4399992</v>
      </c>
      <c r="I106" s="77">
        <v>4399992</v>
      </c>
      <c r="J106" s="77">
        <f>4399992-499992</f>
        <v>3900000</v>
      </c>
      <c r="K106" s="77">
        <f t="shared" ref="K106:K138" si="38">SUM(T106:AE106)</f>
        <v>3900000</v>
      </c>
      <c r="L106" s="74">
        <f t="shared" ref="L106:R106" si="39">L107+L108</f>
        <v>0</v>
      </c>
      <c r="M106" s="43">
        <f t="shared" si="39"/>
        <v>0</v>
      </c>
      <c r="N106" s="43">
        <f t="shared" si="39"/>
        <v>0</v>
      </c>
      <c r="O106" s="43">
        <f t="shared" si="39"/>
        <v>0</v>
      </c>
      <c r="P106" s="13">
        <f t="shared" si="39"/>
        <v>0</v>
      </c>
      <c r="Q106" s="79"/>
      <c r="R106" s="79">
        <f t="shared" si="39"/>
        <v>3900000</v>
      </c>
      <c r="S106" s="75"/>
      <c r="T106" s="74">
        <f>T107+T108</f>
        <v>500</v>
      </c>
      <c r="U106" s="13">
        <f t="shared" ref="U106:AE106" si="40">U107+U108</f>
        <v>122700</v>
      </c>
      <c r="V106" s="79">
        <f t="shared" si="40"/>
        <v>877700</v>
      </c>
      <c r="W106" s="79">
        <f t="shared" si="40"/>
        <v>239100</v>
      </c>
      <c r="X106" s="13">
        <f t="shared" si="40"/>
        <v>523122</v>
      </c>
      <c r="Y106" s="79">
        <f t="shared" si="40"/>
        <v>153150</v>
      </c>
      <c r="Z106" s="79">
        <f t="shared" si="40"/>
        <v>246300</v>
      </c>
      <c r="AA106" s="45">
        <f t="shared" si="40"/>
        <v>59112</v>
      </c>
      <c r="AB106" s="342">
        <f t="shared" si="40"/>
        <v>366666</v>
      </c>
      <c r="AC106" s="79">
        <f t="shared" si="40"/>
        <v>571340</v>
      </c>
      <c r="AD106" s="79">
        <f t="shared" si="40"/>
        <v>366666</v>
      </c>
      <c r="AE106" s="45">
        <f t="shared" si="40"/>
        <v>373644</v>
      </c>
      <c r="AF106" s="52">
        <f t="shared" si="23"/>
        <v>0</v>
      </c>
      <c r="AG106" s="195"/>
    </row>
    <row r="107" spans="1:34" x14ac:dyDescent="0.25">
      <c r="B107" s="54"/>
      <c r="C107" s="2"/>
      <c r="D107" s="624" t="s">
        <v>399</v>
      </c>
      <c r="E107" s="624"/>
      <c r="F107" s="76">
        <v>4399992</v>
      </c>
      <c r="G107" s="76">
        <v>4399992</v>
      </c>
      <c r="H107" s="76">
        <v>4399992</v>
      </c>
      <c r="I107" s="76">
        <v>4399992</v>
      </c>
      <c r="J107" s="76">
        <v>3900000</v>
      </c>
      <c r="K107" s="76">
        <f>SUM(T107:AE107)</f>
        <v>3900000</v>
      </c>
      <c r="L107" s="72"/>
      <c r="M107" s="42"/>
      <c r="N107" s="42"/>
      <c r="O107" s="42"/>
      <c r="P107" s="1"/>
      <c r="Q107" s="78"/>
      <c r="R107" s="78">
        <f>K107</f>
        <v>3900000</v>
      </c>
      <c r="S107" s="73"/>
      <c r="T107" s="72">
        <v>500</v>
      </c>
      <c r="U107" s="1">
        <v>122700</v>
      </c>
      <c r="V107" s="78">
        <v>877700</v>
      </c>
      <c r="W107" s="78">
        <v>239100</v>
      </c>
      <c r="X107" s="1">
        <v>523122</v>
      </c>
      <c r="Y107" s="78">
        <v>153150</v>
      </c>
      <c r="Z107" s="78">
        <v>246300</v>
      </c>
      <c r="AA107" s="44">
        <v>59112</v>
      </c>
      <c r="AB107" s="42">
        <v>366666</v>
      </c>
      <c r="AC107" s="1">
        <f>226664+366666-21990</f>
        <v>571340</v>
      </c>
      <c r="AD107" s="1">
        <v>366666</v>
      </c>
      <c r="AE107" s="1">
        <f>843763-370119-100000</f>
        <v>373644</v>
      </c>
      <c r="AF107" s="52">
        <f t="shared" si="23"/>
        <v>0</v>
      </c>
      <c r="AG107" s="180"/>
      <c r="AH107" s="180"/>
    </row>
    <row r="108" spans="1:34" ht="15" hidden="1" customHeight="1" x14ac:dyDescent="0.25">
      <c r="B108" s="54"/>
      <c r="C108" s="2"/>
      <c r="D108" s="624" t="s">
        <v>400</v>
      </c>
      <c r="E108" s="624"/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f t="shared" si="38"/>
        <v>0</v>
      </c>
      <c r="L108" s="72"/>
      <c r="M108" s="42"/>
      <c r="N108" s="42"/>
      <c r="O108" s="42"/>
      <c r="P108" s="1"/>
      <c r="Q108" s="78"/>
      <c r="R108" s="78">
        <f>K108</f>
        <v>0</v>
      </c>
      <c r="S108" s="73"/>
      <c r="T108" s="198"/>
      <c r="U108" s="1"/>
      <c r="V108" s="78"/>
      <c r="W108" s="78"/>
      <c r="X108" s="1"/>
      <c r="Y108" s="78"/>
      <c r="Z108" s="78"/>
      <c r="AA108" s="44"/>
      <c r="AB108" s="343"/>
      <c r="AC108" s="78"/>
      <c r="AD108" s="78"/>
      <c r="AE108" s="44"/>
      <c r="AF108" s="52">
        <f t="shared" si="23"/>
        <v>0</v>
      </c>
      <c r="AG108" s="180"/>
      <c r="AH108" s="180"/>
    </row>
    <row r="109" spans="1:34" s="41" customFormat="1" ht="15" hidden="1" customHeight="1" x14ac:dyDescent="0.25">
      <c r="A109" s="118" t="s">
        <v>921</v>
      </c>
      <c r="B109" s="53" t="s">
        <v>922</v>
      </c>
      <c r="C109" s="222" t="s">
        <v>925</v>
      </c>
      <c r="D109" s="224"/>
      <c r="E109" s="567"/>
      <c r="F109" s="77">
        <v>0</v>
      </c>
      <c r="G109" s="77">
        <v>0</v>
      </c>
      <c r="H109" s="77">
        <v>0</v>
      </c>
      <c r="I109" s="77">
        <v>0</v>
      </c>
      <c r="J109" s="77">
        <v>0</v>
      </c>
      <c r="K109" s="77">
        <f t="shared" si="38"/>
        <v>0</v>
      </c>
      <c r="L109" s="74"/>
      <c r="M109" s="43"/>
      <c r="N109" s="43"/>
      <c r="O109" s="43"/>
      <c r="P109" s="13"/>
      <c r="Q109" s="79"/>
      <c r="R109" s="79">
        <f>K109</f>
        <v>0</v>
      </c>
      <c r="S109" s="75"/>
      <c r="T109" s="74"/>
      <c r="U109" s="13"/>
      <c r="V109" s="79"/>
      <c r="W109" s="79"/>
      <c r="X109" s="13"/>
      <c r="Y109" s="79"/>
      <c r="Z109" s="79"/>
      <c r="AA109" s="45"/>
      <c r="AB109" s="342"/>
      <c r="AC109" s="79"/>
      <c r="AD109" s="79"/>
      <c r="AE109" s="45"/>
      <c r="AF109" s="52">
        <f t="shared" si="23"/>
        <v>0</v>
      </c>
      <c r="AG109" s="180"/>
      <c r="AH109" s="180"/>
    </row>
    <row r="110" spans="1:34" s="41" customFormat="1" ht="15" hidden="1" customHeight="1" x14ac:dyDescent="0.25">
      <c r="A110" s="118" t="s">
        <v>924</v>
      </c>
      <c r="B110" s="53" t="s">
        <v>923</v>
      </c>
      <c r="C110" s="222" t="s">
        <v>926</v>
      </c>
      <c r="D110" s="224"/>
      <c r="E110" s="567"/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f t="shared" si="38"/>
        <v>0</v>
      </c>
      <c r="L110" s="74"/>
      <c r="M110" s="43"/>
      <c r="N110" s="43"/>
      <c r="O110" s="43"/>
      <c r="P110" s="13"/>
      <c r="Q110" s="79"/>
      <c r="R110" s="79">
        <f>K110</f>
        <v>0</v>
      </c>
      <c r="S110" s="75"/>
      <c r="T110" s="74"/>
      <c r="U110" s="13"/>
      <c r="V110" s="79"/>
      <c r="W110" s="79"/>
      <c r="X110" s="13"/>
      <c r="Y110" s="79"/>
      <c r="Z110" s="79"/>
      <c r="AA110" s="45"/>
      <c r="AB110" s="342"/>
      <c r="AC110" s="79"/>
      <c r="AD110" s="79"/>
      <c r="AE110" s="45"/>
      <c r="AF110" s="52">
        <f t="shared" si="23"/>
        <v>0</v>
      </c>
      <c r="AG110" s="180"/>
      <c r="AH110" s="180"/>
    </row>
    <row r="111" spans="1:34" s="41" customFormat="1" x14ac:dyDescent="0.25">
      <c r="A111" s="118" t="s">
        <v>38</v>
      </c>
      <c r="B111" s="53" t="s">
        <v>736</v>
      </c>
      <c r="C111" s="277" t="s">
        <v>927</v>
      </c>
      <c r="D111" s="224"/>
      <c r="E111" s="567"/>
      <c r="F111" s="77">
        <v>1300000</v>
      </c>
      <c r="G111" s="77">
        <v>1300000</v>
      </c>
      <c r="H111" s="77">
        <v>1300000</v>
      </c>
      <c r="I111" s="77">
        <v>1300000</v>
      </c>
      <c r="J111" s="77">
        <v>1300000</v>
      </c>
      <c r="K111" s="77">
        <f>SUM(T111:AE111)</f>
        <v>1300000</v>
      </c>
      <c r="L111" s="74"/>
      <c r="M111" s="43"/>
      <c r="N111" s="43"/>
      <c r="O111" s="43"/>
      <c r="P111" s="13"/>
      <c r="Q111" s="79"/>
      <c r="R111" s="79">
        <f>K111</f>
        <v>1300000</v>
      </c>
      <c r="S111" s="75"/>
      <c r="T111" s="74">
        <v>5750</v>
      </c>
      <c r="U111" s="13">
        <v>50236</v>
      </c>
      <c r="V111" s="79">
        <v>460022</v>
      </c>
      <c r="W111" s="79">
        <v>102536</v>
      </c>
      <c r="X111" s="13">
        <v>58038</v>
      </c>
      <c r="Y111" s="79">
        <v>4152</v>
      </c>
      <c r="Z111" s="79">
        <v>5563</v>
      </c>
      <c r="AA111" s="45">
        <v>113288</v>
      </c>
      <c r="AB111" s="43">
        <f>108333-50000</f>
        <v>58333</v>
      </c>
      <c r="AC111" s="13">
        <f>108333-50094+17282</f>
        <v>75521</v>
      </c>
      <c r="AD111" s="13">
        <f>108333-50000</f>
        <v>58333</v>
      </c>
      <c r="AE111" s="13">
        <f>108333-45150+186297+58748</f>
        <v>308228</v>
      </c>
      <c r="AF111" s="52">
        <f t="shared" si="23"/>
        <v>0</v>
      </c>
      <c r="AG111" s="180"/>
      <c r="AH111" s="180"/>
    </row>
    <row r="112" spans="1:34" s="41" customFormat="1" x14ac:dyDescent="0.25">
      <c r="A112" s="118" t="s">
        <v>39</v>
      </c>
      <c r="B112" s="53" t="s">
        <v>737</v>
      </c>
      <c r="C112" s="222" t="s">
        <v>40</v>
      </c>
      <c r="D112" s="224"/>
      <c r="E112" s="567"/>
      <c r="F112" s="77">
        <v>0</v>
      </c>
      <c r="G112" s="77">
        <v>0</v>
      </c>
      <c r="H112" s="77">
        <v>4500</v>
      </c>
      <c r="I112" s="77">
        <v>4500</v>
      </c>
      <c r="J112" s="77">
        <v>4500</v>
      </c>
      <c r="K112" s="77">
        <f t="shared" si="38"/>
        <v>4500</v>
      </c>
      <c r="L112" s="74">
        <f t="shared" ref="L112:R112" si="41">L113+L114+L115</f>
        <v>0</v>
      </c>
      <c r="M112" s="43">
        <f t="shared" si="41"/>
        <v>0</v>
      </c>
      <c r="N112" s="43">
        <f t="shared" si="41"/>
        <v>0</v>
      </c>
      <c r="O112" s="43">
        <f t="shared" si="41"/>
        <v>0</v>
      </c>
      <c r="P112" s="13">
        <f t="shared" si="41"/>
        <v>0</v>
      </c>
      <c r="Q112" s="79"/>
      <c r="R112" s="79">
        <f t="shared" si="41"/>
        <v>4500</v>
      </c>
      <c r="S112" s="75"/>
      <c r="T112" s="74">
        <f>T113+T114+T115</f>
        <v>2395</v>
      </c>
      <c r="U112" s="13">
        <f t="shared" ref="U112:AE112" si="42">U113+U114+U115</f>
        <v>2105</v>
      </c>
      <c r="V112" s="79">
        <f t="shared" si="42"/>
        <v>0</v>
      </c>
      <c r="W112" s="79">
        <f t="shared" si="42"/>
        <v>0</v>
      </c>
      <c r="X112" s="13">
        <f t="shared" si="42"/>
        <v>0</v>
      </c>
      <c r="Y112" s="79">
        <f t="shared" si="42"/>
        <v>0</v>
      </c>
      <c r="Z112" s="79">
        <f t="shared" si="42"/>
        <v>0</v>
      </c>
      <c r="AA112" s="45">
        <f t="shared" si="42"/>
        <v>0</v>
      </c>
      <c r="AB112" s="342">
        <f t="shared" si="42"/>
        <v>0</v>
      </c>
      <c r="AC112" s="79">
        <f t="shared" si="42"/>
        <v>0</v>
      </c>
      <c r="AD112" s="79">
        <f t="shared" si="42"/>
        <v>0</v>
      </c>
      <c r="AE112" s="45">
        <f t="shared" si="42"/>
        <v>0</v>
      </c>
      <c r="AF112" s="52">
        <f t="shared" si="23"/>
        <v>0</v>
      </c>
      <c r="AG112" s="180"/>
      <c r="AH112" s="180"/>
    </row>
    <row r="113" spans="1:34" ht="15" hidden="1" customHeight="1" x14ac:dyDescent="0.25">
      <c r="B113" s="54"/>
      <c r="C113" s="2"/>
      <c r="D113" s="221" t="s">
        <v>320</v>
      </c>
      <c r="E113" s="225"/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f t="shared" si="38"/>
        <v>0</v>
      </c>
      <c r="L113" s="72"/>
      <c r="M113" s="42"/>
      <c r="N113" s="42"/>
      <c r="O113" s="42"/>
      <c r="P113" s="1"/>
      <c r="Q113" s="78"/>
      <c r="R113" s="78">
        <f>K113</f>
        <v>0</v>
      </c>
      <c r="S113" s="73"/>
      <c r="T113" s="72"/>
      <c r="U113" s="1"/>
      <c r="V113" s="78"/>
      <c r="W113" s="78"/>
      <c r="X113" s="1"/>
      <c r="Y113" s="78"/>
      <c r="Z113" s="78"/>
      <c r="AA113" s="44"/>
      <c r="AB113" s="343"/>
      <c r="AC113" s="78"/>
      <c r="AD113" s="78"/>
      <c r="AE113" s="44"/>
      <c r="AF113" s="52">
        <f t="shared" si="23"/>
        <v>0</v>
      </c>
      <c r="AG113" s="180"/>
      <c r="AH113" s="180"/>
    </row>
    <row r="114" spans="1:34" ht="15" hidden="1" customHeight="1" x14ac:dyDescent="0.25">
      <c r="B114" s="54"/>
      <c r="C114" s="2"/>
      <c r="D114" s="221" t="s">
        <v>321</v>
      </c>
      <c r="E114" s="225"/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f t="shared" si="38"/>
        <v>0</v>
      </c>
      <c r="L114" s="72"/>
      <c r="M114" s="42"/>
      <c r="N114" s="42"/>
      <c r="O114" s="42"/>
      <c r="P114" s="1"/>
      <c r="Q114" s="78"/>
      <c r="R114" s="78">
        <f>K114</f>
        <v>0</v>
      </c>
      <c r="S114" s="73"/>
      <c r="T114" s="72"/>
      <c r="U114" s="1"/>
      <c r="V114" s="78"/>
      <c r="W114" s="78"/>
      <c r="X114" s="1"/>
      <c r="Y114" s="78"/>
      <c r="Z114" s="78"/>
      <c r="AA114" s="44"/>
      <c r="AB114" s="343"/>
      <c r="AC114" s="78"/>
      <c r="AD114" s="78"/>
      <c r="AE114" s="44"/>
      <c r="AF114" s="52">
        <f t="shared" si="23"/>
        <v>0</v>
      </c>
      <c r="AG114" s="180"/>
      <c r="AH114" s="180"/>
    </row>
    <row r="115" spans="1:34" x14ac:dyDescent="0.25">
      <c r="B115" s="54"/>
      <c r="C115" s="2"/>
      <c r="D115" s="225" t="s">
        <v>401</v>
      </c>
      <c r="E115" s="225"/>
      <c r="F115" s="76">
        <v>0</v>
      </c>
      <c r="G115" s="76">
        <v>0</v>
      </c>
      <c r="H115" s="76">
        <v>4500</v>
      </c>
      <c r="I115" s="76">
        <v>4500</v>
      </c>
      <c r="J115" s="76">
        <v>4500</v>
      </c>
      <c r="K115" s="76">
        <f t="shared" si="38"/>
        <v>4500</v>
      </c>
      <c r="L115" s="72"/>
      <c r="M115" s="42"/>
      <c r="N115" s="42"/>
      <c r="O115" s="42"/>
      <c r="P115" s="1"/>
      <c r="Q115" s="78"/>
      <c r="R115" s="78">
        <f>K115</f>
        <v>4500</v>
      </c>
      <c r="S115" s="73"/>
      <c r="T115" s="72">
        <v>2395</v>
      </c>
      <c r="U115" s="1">
        <v>2105</v>
      </c>
      <c r="V115" s="78"/>
      <c r="W115" s="78"/>
      <c r="X115" s="1"/>
      <c r="Y115" s="78"/>
      <c r="Z115" s="78"/>
      <c r="AA115" s="44"/>
      <c r="AB115" s="343"/>
      <c r="AC115" s="78"/>
      <c r="AD115" s="78"/>
      <c r="AE115" s="44"/>
      <c r="AF115" s="52">
        <f t="shared" si="23"/>
        <v>0</v>
      </c>
      <c r="AG115" s="180"/>
      <c r="AH115" s="180"/>
    </row>
    <row r="116" spans="1:34" s="18" customFormat="1" x14ac:dyDescent="0.25">
      <c r="A116" s="118" t="s">
        <v>41</v>
      </c>
      <c r="B116" s="88" t="s">
        <v>738</v>
      </c>
      <c r="C116" s="626" t="s">
        <v>42</v>
      </c>
      <c r="D116" s="627"/>
      <c r="E116" s="627"/>
      <c r="F116" s="383">
        <v>1690000</v>
      </c>
      <c r="G116" s="383">
        <v>1690000</v>
      </c>
      <c r="H116" s="383">
        <v>1690000</v>
      </c>
      <c r="I116" s="383">
        <v>1690000</v>
      </c>
      <c r="J116" s="383">
        <f>SUM(J127:J128)</f>
        <v>1550000</v>
      </c>
      <c r="K116" s="383">
        <f t="shared" si="38"/>
        <v>1550000</v>
      </c>
      <c r="L116" s="90">
        <f t="shared" ref="L116:R116" si="43">L117+L118+L119+L120+L121+L122+L123+L124+L125+L126+L127+L128</f>
        <v>0</v>
      </c>
      <c r="M116" s="93">
        <f t="shared" si="43"/>
        <v>0</v>
      </c>
      <c r="N116" s="93">
        <f t="shared" si="43"/>
        <v>0</v>
      </c>
      <c r="O116" s="93">
        <f t="shared" si="43"/>
        <v>0</v>
      </c>
      <c r="P116" s="91">
        <f t="shared" si="43"/>
        <v>0</v>
      </c>
      <c r="Q116" s="94"/>
      <c r="R116" s="94">
        <f t="shared" si="43"/>
        <v>1550000</v>
      </c>
      <c r="S116" s="92"/>
      <c r="T116" s="90">
        <f>T117+T118+T119+T120+T121+T122+T123+T124+T125+T126+T127+T128</f>
        <v>76092</v>
      </c>
      <c r="U116" s="91">
        <f t="shared" ref="U116:AE116" si="44">U117+U118+U119+U120+U121+U122+U123+U124+U125+U126+U127+U128</f>
        <v>38885</v>
      </c>
      <c r="V116" s="94">
        <f t="shared" si="44"/>
        <v>378141</v>
      </c>
      <c r="W116" s="94">
        <f t="shared" si="44"/>
        <v>191008</v>
      </c>
      <c r="X116" s="91">
        <f t="shared" si="44"/>
        <v>26715</v>
      </c>
      <c r="Y116" s="94">
        <f t="shared" si="44"/>
        <v>7705</v>
      </c>
      <c r="Z116" s="94">
        <f t="shared" si="44"/>
        <v>968</v>
      </c>
      <c r="AA116" s="95">
        <f t="shared" si="44"/>
        <v>228919</v>
      </c>
      <c r="AB116" s="341">
        <f t="shared" si="44"/>
        <v>110036</v>
      </c>
      <c r="AC116" s="94">
        <f t="shared" si="44"/>
        <v>134523</v>
      </c>
      <c r="AD116" s="94">
        <f t="shared" si="44"/>
        <v>232008</v>
      </c>
      <c r="AE116" s="95">
        <f t="shared" si="44"/>
        <v>125000</v>
      </c>
      <c r="AF116" s="52">
        <f t="shared" si="23"/>
        <v>0</v>
      </c>
      <c r="AG116" s="180"/>
      <c r="AH116" s="180"/>
    </row>
    <row r="117" spans="1:34" ht="15" hidden="1" customHeight="1" x14ac:dyDescent="0.25">
      <c r="B117" s="54"/>
      <c r="C117" s="2"/>
      <c r="D117" s="624" t="s">
        <v>322</v>
      </c>
      <c r="E117" s="624"/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f t="shared" si="38"/>
        <v>0</v>
      </c>
      <c r="L117" s="72"/>
      <c r="M117" s="42"/>
      <c r="N117" s="42"/>
      <c r="O117" s="42"/>
      <c r="P117" s="1"/>
      <c r="Q117" s="78"/>
      <c r="R117" s="78">
        <f t="shared" ref="R117:R128" si="45">K117</f>
        <v>0</v>
      </c>
      <c r="S117" s="73"/>
      <c r="T117" s="72"/>
      <c r="U117" s="1"/>
      <c r="V117" s="78"/>
      <c r="W117" s="78"/>
      <c r="X117" s="1"/>
      <c r="Y117" s="78"/>
      <c r="Z117" s="78"/>
      <c r="AA117" s="44"/>
      <c r="AB117" s="343"/>
      <c r="AC117" s="78"/>
      <c r="AD117" s="78"/>
      <c r="AE117" s="44"/>
      <c r="AF117" s="52">
        <f t="shared" si="23"/>
        <v>0</v>
      </c>
      <c r="AG117" s="180"/>
      <c r="AH117" s="180" t="e">
        <f>AG117-#REF!</f>
        <v>#REF!</v>
      </c>
    </row>
    <row r="118" spans="1:34" ht="15" hidden="1" customHeight="1" x14ac:dyDescent="0.25">
      <c r="B118" s="54"/>
      <c r="C118" s="2"/>
      <c r="D118" s="624" t="s">
        <v>323</v>
      </c>
      <c r="E118" s="624"/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f t="shared" si="38"/>
        <v>0</v>
      </c>
      <c r="L118" s="72"/>
      <c r="M118" s="42"/>
      <c r="N118" s="42"/>
      <c r="O118" s="42"/>
      <c r="P118" s="1"/>
      <c r="Q118" s="78"/>
      <c r="R118" s="78">
        <f t="shared" si="45"/>
        <v>0</v>
      </c>
      <c r="S118" s="73"/>
      <c r="T118" s="72"/>
      <c r="U118" s="1"/>
      <c r="V118" s="78"/>
      <c r="W118" s="78"/>
      <c r="X118" s="1"/>
      <c r="Y118" s="78"/>
      <c r="Z118" s="78"/>
      <c r="AA118" s="44"/>
      <c r="AB118" s="343"/>
      <c r="AC118" s="78"/>
      <c r="AD118" s="78"/>
      <c r="AE118" s="44"/>
      <c r="AF118" s="52">
        <f t="shared" si="23"/>
        <v>0</v>
      </c>
      <c r="AG118" s="180"/>
      <c r="AH118" s="180" t="e">
        <f>AG118-#REF!</f>
        <v>#REF!</v>
      </c>
    </row>
    <row r="119" spans="1:34" ht="15" hidden="1" customHeight="1" x14ac:dyDescent="0.25">
      <c r="B119" s="54"/>
      <c r="C119" s="2"/>
      <c r="D119" s="624" t="s">
        <v>324</v>
      </c>
      <c r="E119" s="624"/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f t="shared" si="38"/>
        <v>0</v>
      </c>
      <c r="L119" s="72"/>
      <c r="M119" s="42"/>
      <c r="N119" s="42"/>
      <c r="O119" s="42"/>
      <c r="P119" s="1"/>
      <c r="Q119" s="78"/>
      <c r="R119" s="78">
        <f t="shared" si="45"/>
        <v>0</v>
      </c>
      <c r="S119" s="73"/>
      <c r="T119" s="72"/>
      <c r="U119" s="1"/>
      <c r="V119" s="78"/>
      <c r="W119" s="78"/>
      <c r="X119" s="1"/>
      <c r="Y119" s="78"/>
      <c r="Z119" s="78"/>
      <c r="AA119" s="44"/>
      <c r="AB119" s="343"/>
      <c r="AC119" s="78"/>
      <c r="AD119" s="78"/>
      <c r="AE119" s="44"/>
      <c r="AF119" s="52">
        <f t="shared" si="23"/>
        <v>0</v>
      </c>
      <c r="AG119" s="180"/>
      <c r="AH119" s="180" t="e">
        <f>AG119-#REF!</f>
        <v>#REF!</v>
      </c>
    </row>
    <row r="120" spans="1:34" ht="15" hidden="1" customHeight="1" x14ac:dyDescent="0.25">
      <c r="B120" s="54"/>
      <c r="C120" s="2"/>
      <c r="D120" s="624" t="s">
        <v>325</v>
      </c>
      <c r="E120" s="624"/>
      <c r="F120" s="76"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f t="shared" si="38"/>
        <v>0</v>
      </c>
      <c r="L120" s="72"/>
      <c r="M120" s="42"/>
      <c r="N120" s="42"/>
      <c r="O120" s="42"/>
      <c r="P120" s="1"/>
      <c r="Q120" s="78"/>
      <c r="R120" s="78">
        <f t="shared" si="45"/>
        <v>0</v>
      </c>
      <c r="S120" s="73"/>
      <c r="T120" s="72"/>
      <c r="U120" s="1"/>
      <c r="V120" s="78"/>
      <c r="W120" s="78"/>
      <c r="X120" s="1"/>
      <c r="Y120" s="78"/>
      <c r="Z120" s="78"/>
      <c r="AA120" s="44"/>
      <c r="AB120" s="343"/>
      <c r="AC120" s="78"/>
      <c r="AD120" s="78"/>
      <c r="AE120" s="44"/>
      <c r="AF120" s="52">
        <f t="shared" si="23"/>
        <v>0</v>
      </c>
      <c r="AG120" s="180"/>
      <c r="AH120" s="180" t="e">
        <f>AG120-#REF!</f>
        <v>#REF!</v>
      </c>
    </row>
    <row r="121" spans="1:34" ht="15" hidden="1" customHeight="1" x14ac:dyDescent="0.25">
      <c r="B121" s="54"/>
      <c r="C121" s="2"/>
      <c r="D121" s="624" t="s">
        <v>326</v>
      </c>
      <c r="E121" s="624"/>
      <c r="F121" s="76"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f t="shared" si="38"/>
        <v>0</v>
      </c>
      <c r="L121" s="72"/>
      <c r="M121" s="42"/>
      <c r="N121" s="42"/>
      <c r="O121" s="42"/>
      <c r="P121" s="1"/>
      <c r="Q121" s="78"/>
      <c r="R121" s="78">
        <f t="shared" si="45"/>
        <v>0</v>
      </c>
      <c r="S121" s="73"/>
      <c r="T121" s="72"/>
      <c r="U121" s="1"/>
      <c r="V121" s="78"/>
      <c r="W121" s="78"/>
      <c r="X121" s="1"/>
      <c r="Y121" s="78"/>
      <c r="Z121" s="78"/>
      <c r="AA121" s="44"/>
      <c r="AB121" s="343"/>
      <c r="AC121" s="78"/>
      <c r="AD121" s="78"/>
      <c r="AE121" s="44"/>
      <c r="AF121" s="52">
        <f t="shared" si="23"/>
        <v>0</v>
      </c>
      <c r="AG121" s="180"/>
      <c r="AH121" s="180" t="e">
        <f>AG121-#REF!</f>
        <v>#REF!</v>
      </c>
    </row>
    <row r="122" spans="1:34" ht="15" hidden="1" customHeight="1" x14ac:dyDescent="0.25">
      <c r="B122" s="54"/>
      <c r="C122" s="2"/>
      <c r="D122" s="624" t="s">
        <v>327</v>
      </c>
      <c r="E122" s="624"/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f t="shared" si="38"/>
        <v>0</v>
      </c>
      <c r="L122" s="72"/>
      <c r="M122" s="42"/>
      <c r="N122" s="42"/>
      <c r="O122" s="42"/>
      <c r="P122" s="1"/>
      <c r="Q122" s="78"/>
      <c r="R122" s="78">
        <f t="shared" si="45"/>
        <v>0</v>
      </c>
      <c r="S122" s="73"/>
      <c r="T122" s="72"/>
      <c r="U122" s="1"/>
      <c r="V122" s="78"/>
      <c r="W122" s="78"/>
      <c r="X122" s="1"/>
      <c r="Y122" s="78"/>
      <c r="Z122" s="78"/>
      <c r="AA122" s="44"/>
      <c r="AB122" s="343"/>
      <c r="AC122" s="78"/>
      <c r="AD122" s="78"/>
      <c r="AE122" s="44"/>
      <c r="AF122" s="52">
        <f t="shared" si="23"/>
        <v>0</v>
      </c>
      <c r="AG122" s="180"/>
      <c r="AH122" s="180" t="e">
        <f>AG122-#REF!</f>
        <v>#REF!</v>
      </c>
    </row>
    <row r="123" spans="1:34" ht="15" hidden="1" customHeight="1" x14ac:dyDescent="0.25">
      <c r="B123" s="54"/>
      <c r="C123" s="2"/>
      <c r="D123" s="624" t="s">
        <v>328</v>
      </c>
      <c r="E123" s="624"/>
      <c r="F123" s="76">
        <v>0</v>
      </c>
      <c r="G123" s="76">
        <v>0</v>
      </c>
      <c r="H123" s="76">
        <v>0</v>
      </c>
      <c r="I123" s="76">
        <v>0</v>
      </c>
      <c r="J123" s="76">
        <v>0</v>
      </c>
      <c r="K123" s="76">
        <f t="shared" si="38"/>
        <v>0</v>
      </c>
      <c r="L123" s="72"/>
      <c r="M123" s="42"/>
      <c r="N123" s="42"/>
      <c r="O123" s="42"/>
      <c r="P123" s="1"/>
      <c r="Q123" s="78"/>
      <c r="R123" s="78">
        <f t="shared" si="45"/>
        <v>0</v>
      </c>
      <c r="S123" s="73"/>
      <c r="T123" s="72"/>
      <c r="U123" s="1"/>
      <c r="V123" s="78"/>
      <c r="W123" s="78"/>
      <c r="X123" s="1"/>
      <c r="Y123" s="78"/>
      <c r="Z123" s="78"/>
      <c r="AA123" s="44"/>
      <c r="AB123" s="343"/>
      <c r="AC123" s="78"/>
      <c r="AD123" s="78"/>
      <c r="AE123" s="44"/>
      <c r="AF123" s="52">
        <f t="shared" si="23"/>
        <v>0</v>
      </c>
      <c r="AG123" s="180"/>
      <c r="AH123" s="180" t="e">
        <f>AG123-#REF!</f>
        <v>#REF!</v>
      </c>
    </row>
    <row r="124" spans="1:34" ht="15" hidden="1" customHeight="1" x14ac:dyDescent="0.25">
      <c r="B124" s="54"/>
      <c r="C124" s="2"/>
      <c r="D124" s="624" t="s">
        <v>329</v>
      </c>
      <c r="E124" s="624"/>
      <c r="F124" s="76"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f t="shared" si="38"/>
        <v>0</v>
      </c>
      <c r="L124" s="72"/>
      <c r="M124" s="42"/>
      <c r="N124" s="42"/>
      <c r="O124" s="42"/>
      <c r="P124" s="1"/>
      <c r="Q124" s="78"/>
      <c r="R124" s="78">
        <f t="shared" si="45"/>
        <v>0</v>
      </c>
      <c r="S124" s="73"/>
      <c r="T124" s="72"/>
      <c r="U124" s="1"/>
      <c r="V124" s="78"/>
      <c r="W124" s="78"/>
      <c r="X124" s="1"/>
      <c r="Y124" s="78"/>
      <c r="Z124" s="78"/>
      <c r="AA124" s="44"/>
      <c r="AB124" s="343"/>
      <c r="AC124" s="78"/>
      <c r="AD124" s="78"/>
      <c r="AE124" s="44"/>
      <c r="AF124" s="52">
        <f t="shared" si="23"/>
        <v>0</v>
      </c>
      <c r="AG124" s="180"/>
      <c r="AH124" s="180" t="e">
        <f>AG124-#REF!</f>
        <v>#REF!</v>
      </c>
    </row>
    <row r="125" spans="1:34" ht="15" hidden="1" customHeight="1" x14ac:dyDescent="0.25">
      <c r="B125" s="54"/>
      <c r="C125" s="2"/>
      <c r="D125" s="624" t="s">
        <v>330</v>
      </c>
      <c r="E125" s="624"/>
      <c r="F125" s="76"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f t="shared" si="38"/>
        <v>0</v>
      </c>
      <c r="L125" s="72"/>
      <c r="M125" s="42"/>
      <c r="N125" s="42"/>
      <c r="O125" s="42"/>
      <c r="P125" s="1"/>
      <c r="Q125" s="78"/>
      <c r="R125" s="78">
        <f t="shared" si="45"/>
        <v>0</v>
      </c>
      <c r="S125" s="73"/>
      <c r="T125" s="72"/>
      <c r="U125" s="1"/>
      <c r="V125" s="78"/>
      <c r="W125" s="78"/>
      <c r="X125" s="1"/>
      <c r="Y125" s="78"/>
      <c r="Z125" s="78"/>
      <c r="AA125" s="44"/>
      <c r="AB125" s="343"/>
      <c r="AC125" s="78"/>
      <c r="AD125" s="78"/>
      <c r="AE125" s="44"/>
      <c r="AF125" s="52">
        <f t="shared" si="23"/>
        <v>0</v>
      </c>
      <c r="AG125" s="180"/>
      <c r="AH125" s="180" t="e">
        <f>AG125-#REF!</f>
        <v>#REF!</v>
      </c>
    </row>
    <row r="126" spans="1:34" ht="15" hidden="1" customHeight="1" x14ac:dyDescent="0.25">
      <c r="B126" s="56"/>
      <c r="C126" s="20"/>
      <c r="D126" s="624" t="s">
        <v>872</v>
      </c>
      <c r="E126" s="624"/>
      <c r="F126" s="76">
        <v>0</v>
      </c>
      <c r="G126" s="76">
        <v>0</v>
      </c>
      <c r="H126" s="76">
        <v>0</v>
      </c>
      <c r="I126" s="76">
        <v>0</v>
      </c>
      <c r="J126" s="76">
        <v>0</v>
      </c>
      <c r="K126" s="76">
        <f t="shared" si="38"/>
        <v>0</v>
      </c>
      <c r="L126" s="72"/>
      <c r="M126" s="42"/>
      <c r="N126" s="42"/>
      <c r="O126" s="42"/>
      <c r="P126" s="1"/>
      <c r="Q126" s="78"/>
      <c r="R126" s="78">
        <f t="shared" si="45"/>
        <v>0</v>
      </c>
      <c r="S126" s="73"/>
      <c r="T126" s="72"/>
      <c r="U126" s="1"/>
      <c r="V126" s="78"/>
      <c r="W126" s="78"/>
      <c r="X126" s="1"/>
      <c r="Y126" s="78"/>
      <c r="Z126" s="78"/>
      <c r="AA126" s="44"/>
      <c r="AB126" s="343"/>
      <c r="AC126" s="78"/>
      <c r="AD126" s="78"/>
      <c r="AE126" s="44"/>
      <c r="AF126" s="52">
        <f t="shared" si="23"/>
        <v>0</v>
      </c>
      <c r="AG126" s="180"/>
      <c r="AH126" s="180"/>
    </row>
    <row r="127" spans="1:34" x14ac:dyDescent="0.25">
      <c r="B127" s="56"/>
      <c r="C127" s="20"/>
      <c r="D127" s="624" t="s">
        <v>873</v>
      </c>
      <c r="E127" s="624"/>
      <c r="F127" s="76">
        <v>1640000</v>
      </c>
      <c r="G127" s="76">
        <v>1640000</v>
      </c>
      <c r="H127" s="76">
        <v>1640000</v>
      </c>
      <c r="I127" s="76">
        <v>1640000</v>
      </c>
      <c r="J127" s="76">
        <v>1500000</v>
      </c>
      <c r="K127" s="76">
        <f t="shared" si="38"/>
        <v>1500000</v>
      </c>
      <c r="L127" s="72"/>
      <c r="M127" s="42"/>
      <c r="N127" s="42"/>
      <c r="O127" s="42"/>
      <c r="P127" s="1"/>
      <c r="Q127" s="78"/>
      <c r="R127" s="78">
        <f t="shared" si="45"/>
        <v>1500000</v>
      </c>
      <c r="S127" s="73"/>
      <c r="T127" s="72">
        <f>11400+63842</f>
        <v>75242</v>
      </c>
      <c r="U127" s="1">
        <v>38885</v>
      </c>
      <c r="V127" s="78">
        <v>378141</v>
      </c>
      <c r="W127" s="78">
        <v>175407</v>
      </c>
      <c r="X127" s="1">
        <v>26715</v>
      </c>
      <c r="Y127" s="78">
        <v>7705</v>
      </c>
      <c r="Z127" s="78"/>
      <c r="AA127" s="44">
        <v>227978</v>
      </c>
      <c r="AB127" s="42">
        <f>195000-86275</f>
        <v>108725</v>
      </c>
      <c r="AC127" s="1">
        <v>125000</v>
      </c>
      <c r="AD127" s="1">
        <f>204180+125000-212905+94927</f>
        <v>211202</v>
      </c>
      <c r="AE127" s="1">
        <v>125000</v>
      </c>
      <c r="AF127" s="52">
        <f t="shared" si="23"/>
        <v>0</v>
      </c>
      <c r="AG127" s="180"/>
      <c r="AH127" s="180"/>
    </row>
    <row r="128" spans="1:34" ht="15.75" thickBot="1" x14ac:dyDescent="0.3">
      <c r="B128" s="56"/>
      <c r="C128" s="20"/>
      <c r="D128" s="631" t="s">
        <v>331</v>
      </c>
      <c r="E128" s="631"/>
      <c r="F128" s="76">
        <v>50000</v>
      </c>
      <c r="G128" s="76">
        <v>50000</v>
      </c>
      <c r="H128" s="76">
        <v>50000</v>
      </c>
      <c r="I128" s="76">
        <v>50000</v>
      </c>
      <c r="J128" s="76">
        <v>50000</v>
      </c>
      <c r="K128" s="76">
        <f t="shared" si="38"/>
        <v>50000</v>
      </c>
      <c r="L128" s="72"/>
      <c r="M128" s="42"/>
      <c r="N128" s="42"/>
      <c r="O128" s="42"/>
      <c r="P128" s="1"/>
      <c r="Q128" s="78"/>
      <c r="R128" s="78">
        <f t="shared" si="45"/>
        <v>50000</v>
      </c>
      <c r="S128" s="73"/>
      <c r="T128" s="72">
        <f>850</f>
        <v>850</v>
      </c>
      <c r="U128" s="1"/>
      <c r="V128" s="78"/>
      <c r="W128" s="78">
        <v>15601</v>
      </c>
      <c r="X128" s="1"/>
      <c r="Y128" s="78"/>
      <c r="Z128" s="78">
        <v>968</v>
      </c>
      <c r="AA128" s="44">
        <v>941</v>
      </c>
      <c r="AB128" s="42">
        <f>4166-2855</f>
        <v>1311</v>
      </c>
      <c r="AC128" s="1">
        <f>19732-10209</f>
        <v>9523</v>
      </c>
      <c r="AD128" s="1">
        <v>20806</v>
      </c>
      <c r="AE128" s="1"/>
      <c r="AF128" s="52">
        <f t="shared" si="23"/>
        <v>0</v>
      </c>
      <c r="AG128" s="180"/>
      <c r="AH128" s="180"/>
    </row>
    <row r="129" spans="1:33" ht="15.75" thickBot="1" x14ac:dyDescent="0.3">
      <c r="B129" s="96" t="s">
        <v>43</v>
      </c>
      <c r="C129" s="632" t="s">
        <v>44</v>
      </c>
      <c r="D129" s="633"/>
      <c r="E129" s="633"/>
      <c r="F129" s="568">
        <v>1271444</v>
      </c>
      <c r="G129" s="568">
        <v>1271444</v>
      </c>
      <c r="H129" s="568">
        <v>1283195</v>
      </c>
      <c r="I129" s="568">
        <f>I131+I139+I147+I158+I168</f>
        <v>1283195</v>
      </c>
      <c r="J129" s="568">
        <f t="shared" ref="J129:K129" si="46">J131+J139+J147+J158+J168</f>
        <v>1270051</v>
      </c>
      <c r="K129" s="568">
        <f t="shared" si="46"/>
        <v>1270051</v>
      </c>
      <c r="L129" s="82">
        <f>L130+L131+L139+L147+L155+L156+L157+L158+L164+L167+L168</f>
        <v>503755</v>
      </c>
      <c r="M129" s="85">
        <f>M130+M131+M139+M147+M155+M156+M157+M158+M164+M167+M168</f>
        <v>0</v>
      </c>
      <c r="N129" s="85">
        <f>N130+N131+N139+N147+N155+N156+N157+N158+N164+N167+N168</f>
        <v>766296</v>
      </c>
      <c r="O129" s="85">
        <f>O130+O131+O139+O147+O155+O156+O157+O158+O164+O167+O168</f>
        <v>0</v>
      </c>
      <c r="P129" s="83">
        <f>P130+P131+P139+P147+P155+P156+P157+P158+P164+P167+P168</f>
        <v>0</v>
      </c>
      <c r="Q129" s="86"/>
      <c r="R129" s="86">
        <f t="shared" ref="R129:AE129" si="47">R130+R131+R139+R147+R155+R156+R157+R158+R164+R167+R168</f>
        <v>0</v>
      </c>
      <c r="S129" s="84"/>
      <c r="T129" s="82">
        <f t="shared" si="47"/>
        <v>143</v>
      </c>
      <c r="U129" s="83">
        <f t="shared" si="47"/>
        <v>22655</v>
      </c>
      <c r="V129" s="86">
        <f t="shared" si="47"/>
        <v>137594</v>
      </c>
      <c r="W129" s="86">
        <f t="shared" si="47"/>
        <v>13212</v>
      </c>
      <c r="X129" s="83">
        <f t="shared" si="47"/>
        <v>115122</v>
      </c>
      <c r="Y129" s="86">
        <f t="shared" si="47"/>
        <v>42157</v>
      </c>
      <c r="Z129" s="86">
        <f t="shared" si="47"/>
        <v>27126</v>
      </c>
      <c r="AA129" s="87">
        <f t="shared" si="47"/>
        <v>361303</v>
      </c>
      <c r="AB129" s="338">
        <f t="shared" si="47"/>
        <v>109619</v>
      </c>
      <c r="AC129" s="86">
        <f t="shared" si="47"/>
        <v>13378</v>
      </c>
      <c r="AD129" s="86">
        <f t="shared" si="47"/>
        <v>45991</v>
      </c>
      <c r="AE129" s="87">
        <f t="shared" si="47"/>
        <v>368728</v>
      </c>
      <c r="AF129" s="52">
        <f t="shared" si="23"/>
        <v>0</v>
      </c>
      <c r="AG129" s="180"/>
    </row>
    <row r="130" spans="1:33" s="41" customFormat="1" ht="15" hidden="1" customHeight="1" x14ac:dyDescent="0.25">
      <c r="A130" s="118" t="s">
        <v>45</v>
      </c>
      <c r="B130" s="116" t="s">
        <v>739</v>
      </c>
      <c r="C130" s="657" t="s">
        <v>402</v>
      </c>
      <c r="D130" s="658"/>
      <c r="E130" s="658"/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f t="shared" si="38"/>
        <v>0</v>
      </c>
      <c r="L130" s="102"/>
      <c r="M130" s="105"/>
      <c r="N130" s="105"/>
      <c r="O130" s="105"/>
      <c r="P130" s="103"/>
      <c r="Q130" s="106"/>
      <c r="R130" s="106"/>
      <c r="S130" s="104"/>
      <c r="T130" s="102"/>
      <c r="U130" s="103"/>
      <c r="V130" s="106"/>
      <c r="W130" s="106"/>
      <c r="X130" s="103"/>
      <c r="Y130" s="106"/>
      <c r="Z130" s="106"/>
      <c r="AA130" s="107"/>
      <c r="AB130" s="342"/>
      <c r="AC130" s="106"/>
      <c r="AD130" s="106"/>
      <c r="AE130" s="107"/>
      <c r="AF130" s="52">
        <f t="shared" si="23"/>
        <v>0</v>
      </c>
      <c r="AG130" s="180"/>
    </row>
    <row r="131" spans="1:33" s="41" customFormat="1" x14ac:dyDescent="0.25">
      <c r="A131" s="118" t="s">
        <v>46</v>
      </c>
      <c r="B131" s="101" t="s">
        <v>740</v>
      </c>
      <c r="C131" s="655" t="s">
        <v>47</v>
      </c>
      <c r="D131" s="656"/>
      <c r="E131" s="656"/>
      <c r="F131" s="77">
        <v>336966</v>
      </c>
      <c r="G131" s="77">
        <v>336966</v>
      </c>
      <c r="H131" s="77">
        <v>336966</v>
      </c>
      <c r="I131" s="77">
        <v>336966</v>
      </c>
      <c r="J131" s="77">
        <f>J134</f>
        <v>351866</v>
      </c>
      <c r="K131" s="77">
        <f t="shared" si="38"/>
        <v>351866</v>
      </c>
      <c r="L131" s="102">
        <f t="shared" ref="L131:R131" si="48">L132+L133+L134</f>
        <v>346866</v>
      </c>
      <c r="M131" s="105">
        <f t="shared" si="48"/>
        <v>0</v>
      </c>
      <c r="N131" s="105">
        <f t="shared" si="48"/>
        <v>5000</v>
      </c>
      <c r="O131" s="105">
        <f t="shared" si="48"/>
        <v>0</v>
      </c>
      <c r="P131" s="103">
        <f t="shared" si="48"/>
        <v>0</v>
      </c>
      <c r="Q131" s="106"/>
      <c r="R131" s="106">
        <f t="shared" si="48"/>
        <v>0</v>
      </c>
      <c r="S131" s="104"/>
      <c r="T131" s="102">
        <f>T132+T133+T134</f>
        <v>0</v>
      </c>
      <c r="U131" s="103">
        <f t="shared" ref="U131:AE131" si="49">U132+U133+U134</f>
        <v>0</v>
      </c>
      <c r="V131" s="106">
        <f t="shared" si="49"/>
        <v>0</v>
      </c>
      <c r="W131" s="106">
        <f t="shared" si="49"/>
        <v>0</v>
      </c>
      <c r="X131" s="103">
        <f t="shared" si="49"/>
        <v>115000</v>
      </c>
      <c r="Y131" s="106">
        <f t="shared" si="49"/>
        <v>0</v>
      </c>
      <c r="Z131" s="106">
        <f t="shared" si="49"/>
        <v>27000</v>
      </c>
      <c r="AA131" s="107">
        <f t="shared" si="49"/>
        <v>0</v>
      </c>
      <c r="AB131" s="345">
        <f t="shared" si="49"/>
        <v>61780</v>
      </c>
      <c r="AC131" s="106">
        <f t="shared" si="49"/>
        <v>4400</v>
      </c>
      <c r="AD131" s="106">
        <f t="shared" si="49"/>
        <v>38280</v>
      </c>
      <c r="AE131" s="107">
        <f t="shared" si="49"/>
        <v>105406</v>
      </c>
      <c r="AF131" s="52">
        <f t="shared" si="23"/>
        <v>0</v>
      </c>
      <c r="AG131" s="180"/>
    </row>
    <row r="132" spans="1:33" s="199" customFormat="1" ht="15" hidden="1" customHeight="1" x14ac:dyDescent="0.25">
      <c r="A132" s="118"/>
      <c r="B132" s="181"/>
      <c r="C132" s="190"/>
      <c r="D132" s="630" t="s">
        <v>332</v>
      </c>
      <c r="E132" s="630"/>
      <c r="F132" s="193">
        <v>0</v>
      </c>
      <c r="G132" s="193">
        <v>0</v>
      </c>
      <c r="H132" s="193">
        <v>0</v>
      </c>
      <c r="I132" s="193">
        <v>0</v>
      </c>
      <c r="J132" s="193">
        <v>0</v>
      </c>
      <c r="K132" s="193">
        <f t="shared" si="38"/>
        <v>0</v>
      </c>
      <c r="L132" s="191"/>
      <c r="M132" s="184"/>
      <c r="N132" s="184"/>
      <c r="O132" s="184"/>
      <c r="P132" s="185"/>
      <c r="Q132" s="186"/>
      <c r="R132" s="186"/>
      <c r="S132" s="192"/>
      <c r="T132" s="191"/>
      <c r="U132" s="185"/>
      <c r="V132" s="186"/>
      <c r="W132" s="186"/>
      <c r="X132" s="185"/>
      <c r="Y132" s="186"/>
      <c r="Z132" s="186"/>
      <c r="AA132" s="187"/>
      <c r="AB132" s="340"/>
      <c r="AC132" s="186"/>
      <c r="AD132" s="186"/>
      <c r="AE132" s="187"/>
      <c r="AF132" s="52">
        <f t="shared" si="23"/>
        <v>0</v>
      </c>
      <c r="AG132" s="200"/>
    </row>
    <row r="133" spans="1:33" s="199" customFormat="1" ht="15" hidden="1" customHeight="1" x14ac:dyDescent="0.25">
      <c r="A133" s="118"/>
      <c r="B133" s="181"/>
      <c r="C133" s="190"/>
      <c r="D133" s="630" t="s">
        <v>333</v>
      </c>
      <c r="E133" s="630"/>
      <c r="F133" s="193">
        <v>0</v>
      </c>
      <c r="G133" s="193">
        <v>0</v>
      </c>
      <c r="H133" s="193">
        <v>0</v>
      </c>
      <c r="I133" s="193">
        <v>0</v>
      </c>
      <c r="J133" s="193">
        <v>0</v>
      </c>
      <c r="K133" s="193">
        <f t="shared" si="38"/>
        <v>0</v>
      </c>
      <c r="L133" s="191"/>
      <c r="M133" s="184"/>
      <c r="N133" s="184"/>
      <c r="O133" s="184"/>
      <c r="P133" s="185"/>
      <c r="Q133" s="186"/>
      <c r="R133" s="186"/>
      <c r="S133" s="192"/>
      <c r="T133" s="191"/>
      <c r="U133" s="185"/>
      <c r="V133" s="186"/>
      <c r="W133" s="186"/>
      <c r="X133" s="185"/>
      <c r="Y133" s="186"/>
      <c r="Z133" s="186"/>
      <c r="AA133" s="187"/>
      <c r="AB133" s="340"/>
      <c r="AC133" s="186"/>
      <c r="AD133" s="186"/>
      <c r="AE133" s="187"/>
      <c r="AF133" s="52">
        <f t="shared" si="23"/>
        <v>0</v>
      </c>
      <c r="AG133" s="200"/>
    </row>
    <row r="134" spans="1:33" s="199" customFormat="1" x14ac:dyDescent="0.25">
      <c r="A134" s="118"/>
      <c r="B134" s="181"/>
      <c r="C134" s="190"/>
      <c r="D134" s="630" t="s">
        <v>403</v>
      </c>
      <c r="E134" s="630"/>
      <c r="F134" s="193">
        <v>336966</v>
      </c>
      <c r="G134" s="193">
        <v>336966</v>
      </c>
      <c r="H134" s="193">
        <v>336966</v>
      </c>
      <c r="I134" s="193">
        <v>336966</v>
      </c>
      <c r="J134" s="193">
        <v>351866</v>
      </c>
      <c r="K134" s="193">
        <f>SUM(T134:AE134)</f>
        <v>351866</v>
      </c>
      <c r="L134" s="191">
        <f t="shared" ref="L134:R134" si="50">SUM(L136:L138)</f>
        <v>346866</v>
      </c>
      <c r="M134" s="184">
        <f t="shared" si="50"/>
        <v>0</v>
      </c>
      <c r="N134" s="184">
        <f>SUM(N135:N138)</f>
        <v>5000</v>
      </c>
      <c r="O134" s="184">
        <f t="shared" si="50"/>
        <v>0</v>
      </c>
      <c r="P134" s="185">
        <f t="shared" si="50"/>
        <v>0</v>
      </c>
      <c r="Q134" s="186"/>
      <c r="R134" s="186">
        <f t="shared" si="50"/>
        <v>0</v>
      </c>
      <c r="S134" s="192"/>
      <c r="T134" s="191">
        <f>SUM(T136:T138)</f>
        <v>0</v>
      </c>
      <c r="U134" s="185">
        <f t="shared" ref="U134:AC134" si="51">SUM(U136:U138)</f>
        <v>0</v>
      </c>
      <c r="V134" s="186">
        <f t="shared" si="51"/>
        <v>0</v>
      </c>
      <c r="W134" s="186">
        <f t="shared" si="51"/>
        <v>0</v>
      </c>
      <c r="X134" s="185">
        <f t="shared" si="51"/>
        <v>115000</v>
      </c>
      <c r="Y134" s="186">
        <f t="shared" si="51"/>
        <v>0</v>
      </c>
      <c r="Z134" s="186">
        <f t="shared" si="51"/>
        <v>27000</v>
      </c>
      <c r="AA134" s="187">
        <f t="shared" si="51"/>
        <v>0</v>
      </c>
      <c r="AB134" s="340">
        <f t="shared" si="51"/>
        <v>61780</v>
      </c>
      <c r="AC134" s="186">
        <f t="shared" si="51"/>
        <v>4400</v>
      </c>
      <c r="AD134" s="186">
        <f>SUM(AD135:AD138)</f>
        <v>38280</v>
      </c>
      <c r="AE134" s="187">
        <f>SUM(AE135:AE138)</f>
        <v>105406</v>
      </c>
      <c r="AF134" s="52">
        <f t="shared" ref="AF134:AF197" si="52">K134-J134</f>
        <v>0</v>
      </c>
      <c r="AG134" s="200"/>
    </row>
    <row r="135" spans="1:33" s="199" customFormat="1" x14ac:dyDescent="0.25">
      <c r="A135" s="118"/>
      <c r="B135" s="181"/>
      <c r="C135" s="190"/>
      <c r="D135" s="401"/>
      <c r="E135" s="565" t="s">
        <v>1030</v>
      </c>
      <c r="F135" s="76">
        <v>5000</v>
      </c>
      <c r="G135" s="76">
        <v>5000</v>
      </c>
      <c r="H135" s="76">
        <v>5000</v>
      </c>
      <c r="I135" s="76">
        <v>5000</v>
      </c>
      <c r="J135" s="76">
        <v>5000</v>
      </c>
      <c r="K135" s="76">
        <f>SUM(T135:AE135)</f>
        <v>5000</v>
      </c>
      <c r="L135" s="191"/>
      <c r="M135" s="184"/>
      <c r="N135" s="184">
        <f>K135</f>
        <v>5000</v>
      </c>
      <c r="O135" s="184"/>
      <c r="P135" s="185"/>
      <c r="Q135" s="186"/>
      <c r="R135" s="186"/>
      <c r="S135" s="192"/>
      <c r="T135" s="191"/>
      <c r="U135" s="185"/>
      <c r="V135" s="186"/>
      <c r="W135" s="186"/>
      <c r="X135" s="185"/>
      <c r="Y135" s="186"/>
      <c r="Z135" s="186"/>
      <c r="AA135" s="187"/>
      <c r="AB135" s="340"/>
      <c r="AC135" s="186"/>
      <c r="AD135" s="78">
        <v>5000</v>
      </c>
      <c r="AE135" s="44"/>
      <c r="AF135" s="52">
        <f t="shared" si="52"/>
        <v>0</v>
      </c>
      <c r="AG135" s="200"/>
    </row>
    <row r="136" spans="1:33" x14ac:dyDescent="0.25">
      <c r="B136" s="54"/>
      <c r="C136" s="2"/>
      <c r="D136" s="196"/>
      <c r="E136" s="565" t="s">
        <v>869</v>
      </c>
      <c r="F136" s="76">
        <v>66560</v>
      </c>
      <c r="G136" s="76">
        <v>66560</v>
      </c>
      <c r="H136" s="76">
        <v>66560</v>
      </c>
      <c r="I136" s="76">
        <v>66560</v>
      </c>
      <c r="J136" s="76">
        <f>SUM(S136:AD136)</f>
        <v>70960</v>
      </c>
      <c r="K136" s="76">
        <f>SUM(T136:AE136)</f>
        <v>70960</v>
      </c>
      <c r="L136" s="72">
        <f>K136</f>
        <v>70960</v>
      </c>
      <c r="M136" s="42"/>
      <c r="N136" s="42"/>
      <c r="O136" s="42"/>
      <c r="P136" s="1"/>
      <c r="Q136" s="78"/>
      <c r="R136" s="78"/>
      <c r="S136" s="73"/>
      <c r="T136" s="72"/>
      <c r="U136" s="1"/>
      <c r="V136" s="78"/>
      <c r="W136" s="78"/>
      <c r="X136" s="1"/>
      <c r="Y136" s="78"/>
      <c r="Z136" s="78"/>
      <c r="AA136" s="44"/>
      <c r="AB136" s="343">
        <v>33280</v>
      </c>
      <c r="AC136" s="78">
        <v>4400</v>
      </c>
      <c r="AD136" s="78">
        <v>33280</v>
      </c>
      <c r="AE136" s="44"/>
      <c r="AF136" s="52">
        <f t="shared" si="52"/>
        <v>0</v>
      </c>
      <c r="AG136" s="180"/>
    </row>
    <row r="137" spans="1:33" x14ac:dyDescent="0.25">
      <c r="B137" s="54"/>
      <c r="C137" s="2"/>
      <c r="D137" s="274"/>
      <c r="E137" s="565" t="s">
        <v>977</v>
      </c>
      <c r="F137" s="76">
        <v>5406</v>
      </c>
      <c r="G137" s="76">
        <v>5406</v>
      </c>
      <c r="H137" s="76">
        <v>5406</v>
      </c>
      <c r="I137" s="76">
        <v>5406</v>
      </c>
      <c r="J137" s="76">
        <v>5406</v>
      </c>
      <c r="K137" s="76">
        <f t="shared" si="38"/>
        <v>5406</v>
      </c>
      <c r="L137" s="72">
        <f>K137</f>
        <v>5406</v>
      </c>
      <c r="M137" s="42"/>
      <c r="N137" s="42"/>
      <c r="O137" s="42"/>
      <c r="P137" s="1"/>
      <c r="Q137" s="78"/>
      <c r="R137" s="78"/>
      <c r="S137" s="73"/>
      <c r="T137" s="72"/>
      <c r="U137" s="1"/>
      <c r="V137" s="78"/>
      <c r="W137" s="78"/>
      <c r="X137" s="1"/>
      <c r="Y137" s="78"/>
      <c r="Z137" s="78"/>
      <c r="AA137" s="44"/>
      <c r="AB137" s="343"/>
      <c r="AC137" s="78"/>
      <c r="AD137" s="78"/>
      <c r="AE137" s="44">
        <v>5406</v>
      </c>
      <c r="AF137" s="52">
        <f t="shared" si="52"/>
        <v>0</v>
      </c>
      <c r="AG137" s="180"/>
    </row>
    <row r="138" spans="1:33" x14ac:dyDescent="0.25">
      <c r="B138" s="54"/>
      <c r="C138" s="2"/>
      <c r="D138" s="196"/>
      <c r="E138" s="565" t="s">
        <v>870</v>
      </c>
      <c r="F138" s="76">
        <v>260000</v>
      </c>
      <c r="G138" s="76">
        <v>260000</v>
      </c>
      <c r="H138" s="76">
        <v>260000</v>
      </c>
      <c r="I138" s="76">
        <v>260000</v>
      </c>
      <c r="J138" s="76">
        <v>270500</v>
      </c>
      <c r="K138" s="76">
        <f t="shared" si="38"/>
        <v>270500</v>
      </c>
      <c r="L138" s="72">
        <f>K138</f>
        <v>270500</v>
      </c>
      <c r="M138" s="42"/>
      <c r="N138" s="42"/>
      <c r="O138" s="42"/>
      <c r="P138" s="1"/>
      <c r="Q138" s="78"/>
      <c r="R138" s="78"/>
      <c r="S138" s="73"/>
      <c r="T138" s="72"/>
      <c r="U138" s="1"/>
      <c r="V138" s="78"/>
      <c r="W138" s="78"/>
      <c r="X138" s="1">
        <f>100000+15000</f>
        <v>115000</v>
      </c>
      <c r="Y138" s="78"/>
      <c r="Z138" s="78">
        <v>27000</v>
      </c>
      <c r="AA138" s="44"/>
      <c r="AB138" s="343">
        <f>15000+13500</f>
        <v>28500</v>
      </c>
      <c r="AC138" s="78"/>
      <c r="AD138" s="78"/>
      <c r="AE138" s="44">
        <v>100000</v>
      </c>
      <c r="AF138" s="52">
        <f t="shared" si="52"/>
        <v>0</v>
      </c>
      <c r="AG138" s="180"/>
    </row>
    <row r="139" spans="1:33" s="41" customFormat="1" x14ac:dyDescent="0.25">
      <c r="A139" s="118" t="s">
        <v>48</v>
      </c>
      <c r="B139" s="101" t="s">
        <v>741</v>
      </c>
      <c r="C139" s="655" t="s">
        <v>49</v>
      </c>
      <c r="D139" s="656"/>
      <c r="E139" s="656"/>
      <c r="F139" s="77">
        <v>98424</v>
      </c>
      <c r="G139" s="77">
        <v>98424</v>
      </c>
      <c r="H139" s="77">
        <v>110175</v>
      </c>
      <c r="I139" s="77">
        <v>110175</v>
      </c>
      <c r="J139" s="77">
        <v>110175</v>
      </c>
      <c r="K139" s="77">
        <f t="shared" ref="K139:P139" si="53">K140+K143</f>
        <v>110175</v>
      </c>
      <c r="L139" s="102">
        <f t="shared" si="53"/>
        <v>110175</v>
      </c>
      <c r="M139" s="105">
        <f t="shared" si="53"/>
        <v>0</v>
      </c>
      <c r="N139" s="105">
        <f t="shared" si="53"/>
        <v>0</v>
      </c>
      <c r="O139" s="105">
        <f t="shared" si="53"/>
        <v>0</v>
      </c>
      <c r="P139" s="103">
        <f t="shared" si="53"/>
        <v>0</v>
      </c>
      <c r="Q139" s="106"/>
      <c r="R139" s="106">
        <f t="shared" ref="R139:AE139" si="54">R140+R143</f>
        <v>0</v>
      </c>
      <c r="S139" s="104"/>
      <c r="T139" s="102">
        <f t="shared" si="54"/>
        <v>0</v>
      </c>
      <c r="U139" s="103">
        <f t="shared" si="54"/>
        <v>22655</v>
      </c>
      <c r="V139" s="106">
        <f t="shared" si="54"/>
        <v>0</v>
      </c>
      <c r="W139" s="106">
        <f t="shared" si="54"/>
        <v>13212</v>
      </c>
      <c r="X139" s="103">
        <f t="shared" si="54"/>
        <v>0</v>
      </c>
      <c r="Y139" s="106">
        <f t="shared" si="54"/>
        <v>0</v>
      </c>
      <c r="Z139" s="106">
        <f t="shared" si="54"/>
        <v>0</v>
      </c>
      <c r="AA139" s="107">
        <f t="shared" si="54"/>
        <v>0</v>
      </c>
      <c r="AB139" s="345">
        <f t="shared" si="54"/>
        <v>47485</v>
      </c>
      <c r="AC139" s="106">
        <f t="shared" si="54"/>
        <v>8736</v>
      </c>
      <c r="AD139" s="106">
        <f t="shared" si="54"/>
        <v>6564</v>
      </c>
      <c r="AE139" s="107">
        <f t="shared" si="54"/>
        <v>0</v>
      </c>
      <c r="AF139" s="52">
        <f t="shared" si="52"/>
        <v>0</v>
      </c>
      <c r="AG139" s="180"/>
    </row>
    <row r="140" spans="1:33" x14ac:dyDescent="0.25">
      <c r="B140" s="181"/>
      <c r="C140" s="190"/>
      <c r="D140" s="630" t="s">
        <v>404</v>
      </c>
      <c r="E140" s="630"/>
      <c r="F140" s="193">
        <v>50000</v>
      </c>
      <c r="G140" s="193">
        <v>50000</v>
      </c>
      <c r="H140" s="193">
        <v>52515</v>
      </c>
      <c r="I140" s="193">
        <v>52515</v>
      </c>
      <c r="J140" s="193">
        <v>52515</v>
      </c>
      <c r="K140" s="193">
        <v>52515</v>
      </c>
      <c r="L140" s="191">
        <f>SUM(L141:L142)</f>
        <v>52515</v>
      </c>
      <c r="M140" s="184">
        <f t="shared" ref="M140:AE140" si="55">SUM(M141:M142)</f>
        <v>0</v>
      </c>
      <c r="N140" s="184">
        <f t="shared" si="55"/>
        <v>0</v>
      </c>
      <c r="O140" s="184">
        <f t="shared" si="55"/>
        <v>0</v>
      </c>
      <c r="P140" s="185">
        <f t="shared" si="55"/>
        <v>0</v>
      </c>
      <c r="Q140" s="186"/>
      <c r="R140" s="186">
        <f t="shared" si="55"/>
        <v>0</v>
      </c>
      <c r="S140" s="192"/>
      <c r="T140" s="191">
        <f t="shared" si="55"/>
        <v>0</v>
      </c>
      <c r="U140" s="185">
        <f t="shared" si="55"/>
        <v>2515</v>
      </c>
      <c r="V140" s="186">
        <f t="shared" si="55"/>
        <v>0</v>
      </c>
      <c r="W140" s="186">
        <f t="shared" si="55"/>
        <v>0</v>
      </c>
      <c r="X140" s="185">
        <f t="shared" si="55"/>
        <v>0</v>
      </c>
      <c r="Y140" s="186">
        <f t="shared" si="55"/>
        <v>0</v>
      </c>
      <c r="Z140" s="186">
        <f t="shared" si="55"/>
        <v>0</v>
      </c>
      <c r="AA140" s="187">
        <f t="shared" si="55"/>
        <v>0</v>
      </c>
      <c r="AB140" s="340">
        <f t="shared" si="55"/>
        <v>47485</v>
      </c>
      <c r="AC140" s="186">
        <f>SUM(AC141:AC142)</f>
        <v>0</v>
      </c>
      <c r="AD140" s="186">
        <f t="shared" si="55"/>
        <v>0</v>
      </c>
      <c r="AE140" s="187">
        <f t="shared" si="55"/>
        <v>0</v>
      </c>
      <c r="AF140" s="52">
        <f t="shared" si="52"/>
        <v>0</v>
      </c>
      <c r="AG140" s="180"/>
    </row>
    <row r="141" spans="1:33" x14ac:dyDescent="0.25">
      <c r="B141" s="54"/>
      <c r="C141" s="2"/>
      <c r="D141" s="197"/>
      <c r="E141" s="565" t="s">
        <v>864</v>
      </c>
      <c r="F141" s="76">
        <v>50000</v>
      </c>
      <c r="G141" s="76">
        <v>50000</v>
      </c>
      <c r="H141" s="76">
        <v>52515</v>
      </c>
      <c r="I141" s="76">
        <v>52515</v>
      </c>
      <c r="J141" s="76">
        <v>52515</v>
      </c>
      <c r="K141" s="76">
        <v>52515</v>
      </c>
      <c r="L141" s="72">
        <f>K141</f>
        <v>52515</v>
      </c>
      <c r="M141" s="42"/>
      <c r="N141" s="42"/>
      <c r="O141" s="42"/>
      <c r="P141" s="1"/>
      <c r="Q141" s="78"/>
      <c r="R141" s="78"/>
      <c r="S141" s="73"/>
      <c r="T141" s="72"/>
      <c r="U141" s="1">
        <v>2515</v>
      </c>
      <c r="V141" s="78"/>
      <c r="W141" s="78"/>
      <c r="X141" s="1"/>
      <c r="Y141" s="78"/>
      <c r="Z141" s="78"/>
      <c r="AA141" s="44"/>
      <c r="AB141" s="343">
        <f>50000-2515</f>
        <v>47485</v>
      </c>
      <c r="AC141" s="78"/>
      <c r="AD141" s="78"/>
      <c r="AE141" s="44"/>
      <c r="AF141" s="52">
        <f t="shared" si="52"/>
        <v>0</v>
      </c>
      <c r="AG141" s="180"/>
    </row>
    <row r="142" spans="1:33" x14ac:dyDescent="0.25">
      <c r="B142" s="54"/>
      <c r="C142" s="2"/>
      <c r="D142" s="165"/>
      <c r="E142" s="565" t="s">
        <v>865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f>SUM(T142:AE142)</f>
        <v>0</v>
      </c>
      <c r="L142" s="72">
        <f>K142</f>
        <v>0</v>
      </c>
      <c r="M142" s="42"/>
      <c r="N142" s="42"/>
      <c r="O142" s="42"/>
      <c r="P142" s="1"/>
      <c r="Q142" s="78"/>
      <c r="R142" s="78"/>
      <c r="S142" s="73"/>
      <c r="T142" s="72"/>
      <c r="U142" s="1"/>
      <c r="V142" s="78"/>
      <c r="W142" s="78"/>
      <c r="X142" s="1"/>
      <c r="Y142" s="78"/>
      <c r="Z142" s="78"/>
      <c r="AA142" s="44"/>
      <c r="AB142" s="343"/>
      <c r="AC142" s="78"/>
      <c r="AD142" s="78"/>
      <c r="AE142" s="44"/>
      <c r="AF142" s="52">
        <f t="shared" si="52"/>
        <v>0</v>
      </c>
      <c r="AG142" s="180"/>
    </row>
    <row r="143" spans="1:33" x14ac:dyDescent="0.25">
      <c r="B143" s="181"/>
      <c r="C143" s="190"/>
      <c r="D143" s="630" t="s">
        <v>405</v>
      </c>
      <c r="E143" s="630"/>
      <c r="F143" s="193">
        <v>48424</v>
      </c>
      <c r="G143" s="193">
        <v>48424</v>
      </c>
      <c r="H143" s="193">
        <v>57660</v>
      </c>
      <c r="I143" s="193">
        <v>57660</v>
      </c>
      <c r="J143" s="193">
        <v>57660</v>
      </c>
      <c r="K143" s="193">
        <v>57660</v>
      </c>
      <c r="L143" s="191">
        <f>SUM(L144:L146)</f>
        <v>57660</v>
      </c>
      <c r="M143" s="184">
        <f t="shared" ref="M143:AE143" si="56">SUM(M144:M145)</f>
        <v>0</v>
      </c>
      <c r="N143" s="184">
        <f t="shared" si="56"/>
        <v>0</v>
      </c>
      <c r="O143" s="184">
        <f t="shared" si="56"/>
        <v>0</v>
      </c>
      <c r="P143" s="185">
        <f t="shared" si="56"/>
        <v>0</v>
      </c>
      <c r="Q143" s="186"/>
      <c r="R143" s="186">
        <f t="shared" si="56"/>
        <v>0</v>
      </c>
      <c r="S143" s="192"/>
      <c r="T143" s="191">
        <f t="shared" si="56"/>
        <v>0</v>
      </c>
      <c r="U143" s="185">
        <f t="shared" si="56"/>
        <v>20140</v>
      </c>
      <c r="V143" s="186">
        <f t="shared" si="56"/>
        <v>0</v>
      </c>
      <c r="W143" s="186">
        <f t="shared" si="56"/>
        <v>13212</v>
      </c>
      <c r="X143" s="185">
        <f t="shared" si="56"/>
        <v>0</v>
      </c>
      <c r="Y143" s="186">
        <f>SUM(Y144:Y146)</f>
        <v>0</v>
      </c>
      <c r="Z143" s="186">
        <f t="shared" si="56"/>
        <v>0</v>
      </c>
      <c r="AA143" s="187">
        <f t="shared" si="56"/>
        <v>0</v>
      </c>
      <c r="AB143" s="340">
        <f t="shared" si="56"/>
        <v>0</v>
      </c>
      <c r="AC143" s="186">
        <f t="shared" si="56"/>
        <v>8736</v>
      </c>
      <c r="AD143" s="186">
        <f t="shared" si="56"/>
        <v>6564</v>
      </c>
      <c r="AE143" s="187">
        <f t="shared" si="56"/>
        <v>0</v>
      </c>
      <c r="AF143" s="52">
        <f t="shared" si="52"/>
        <v>0</v>
      </c>
      <c r="AG143" s="180"/>
    </row>
    <row r="144" spans="1:33" x14ac:dyDescent="0.25">
      <c r="B144" s="54"/>
      <c r="C144" s="2"/>
      <c r="D144" s="219"/>
      <c r="E144" s="565" t="s">
        <v>866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f>SUM(T144:AE144)</f>
        <v>0</v>
      </c>
      <c r="L144" s="72"/>
      <c r="M144" s="42">
        <f>K144</f>
        <v>0</v>
      </c>
      <c r="N144" s="42"/>
      <c r="O144" s="42"/>
      <c r="P144" s="1"/>
      <c r="Q144" s="78"/>
      <c r="R144" s="78"/>
      <c r="S144" s="73"/>
      <c r="T144" s="72"/>
      <c r="U144" s="1"/>
      <c r="V144" s="78"/>
      <c r="W144" s="78"/>
      <c r="X144" s="1"/>
      <c r="Y144" s="78"/>
      <c r="Z144" s="78"/>
      <c r="AA144" s="44"/>
      <c r="AB144" s="343"/>
      <c r="AC144" s="78"/>
      <c r="AD144" s="78"/>
      <c r="AE144" s="44"/>
      <c r="AF144" s="52">
        <f t="shared" si="52"/>
        <v>0</v>
      </c>
      <c r="AG144" s="180"/>
    </row>
    <row r="145" spans="1:33" x14ac:dyDescent="0.25">
      <c r="B145" s="54"/>
      <c r="C145" s="2"/>
      <c r="D145" s="165"/>
      <c r="E145" s="565" t="s">
        <v>867</v>
      </c>
      <c r="F145" s="76">
        <v>48424</v>
      </c>
      <c r="G145" s="76">
        <v>48424</v>
      </c>
      <c r="H145" s="76">
        <v>57660</v>
      </c>
      <c r="I145" s="76">
        <v>57660</v>
      </c>
      <c r="J145" s="76">
        <v>57660</v>
      </c>
      <c r="K145" s="76">
        <v>57660</v>
      </c>
      <c r="L145" s="72">
        <f>K145</f>
        <v>57660</v>
      </c>
      <c r="M145" s="42"/>
      <c r="N145" s="42"/>
      <c r="O145" s="42"/>
      <c r="P145" s="1"/>
      <c r="Q145" s="78"/>
      <c r="R145" s="78"/>
      <c r="S145" s="73"/>
      <c r="T145" s="72"/>
      <c r="U145" s="1">
        <v>20140</v>
      </c>
      <c r="V145" s="78"/>
      <c r="W145" s="78">
        <v>13212</v>
      </c>
      <c r="X145" s="1"/>
      <c r="Y145" s="78"/>
      <c r="Z145" s="78"/>
      <c r="AA145" s="44"/>
      <c r="AB145" s="343"/>
      <c r="AC145" s="78">
        <v>8736</v>
      </c>
      <c r="AD145" s="78">
        <v>6564</v>
      </c>
      <c r="AE145" s="44"/>
      <c r="AF145" s="52">
        <f t="shared" si="52"/>
        <v>0</v>
      </c>
      <c r="AG145" s="180"/>
    </row>
    <row r="146" spans="1:33" x14ac:dyDescent="0.25">
      <c r="B146" s="54"/>
      <c r="C146" s="2"/>
      <c r="D146" s="328"/>
      <c r="E146" s="565" t="s">
        <v>1025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f>SUM(T146:AE146)</f>
        <v>0</v>
      </c>
      <c r="L146" s="72">
        <f>K146</f>
        <v>0</v>
      </c>
      <c r="M146" s="42"/>
      <c r="N146" s="42"/>
      <c r="O146" s="42"/>
      <c r="P146" s="1"/>
      <c r="Q146" s="78"/>
      <c r="R146" s="78"/>
      <c r="S146" s="73"/>
      <c r="T146" s="72"/>
      <c r="U146" s="1"/>
      <c r="V146" s="78"/>
      <c r="W146" s="78"/>
      <c r="X146" s="1"/>
      <c r="Y146" s="78"/>
      <c r="Z146" s="78"/>
      <c r="AA146" s="44"/>
      <c r="AB146" s="343"/>
      <c r="AC146" s="78"/>
      <c r="AD146" s="78"/>
      <c r="AE146" s="44"/>
      <c r="AF146" s="52">
        <f t="shared" si="52"/>
        <v>0</v>
      </c>
      <c r="AG146" s="180"/>
    </row>
    <row r="147" spans="1:33" s="41" customFormat="1" x14ac:dyDescent="0.25">
      <c r="A147" s="118" t="s">
        <v>50</v>
      </c>
      <c r="B147" s="101" t="s">
        <v>742</v>
      </c>
      <c r="C147" s="655" t="s">
        <v>51</v>
      </c>
      <c r="D147" s="656"/>
      <c r="E147" s="656"/>
      <c r="F147" s="77">
        <v>832054</v>
      </c>
      <c r="G147" s="77">
        <v>832054</v>
      </c>
      <c r="H147" s="77">
        <v>832054</v>
      </c>
      <c r="I147" s="77">
        <v>832054</v>
      </c>
      <c r="J147" s="77">
        <f>SUM(J149:J150)</f>
        <v>761296</v>
      </c>
      <c r="K147" s="77">
        <f>SUM(T147:AE147)</f>
        <v>761296</v>
      </c>
      <c r="L147" s="102">
        <f t="shared" ref="L147:R147" si="57">L148+L149+L150+L151+L152+L153+L154</f>
        <v>0</v>
      </c>
      <c r="M147" s="105">
        <f t="shared" si="57"/>
        <v>0</v>
      </c>
      <c r="N147" s="105">
        <f>N148+N149+N150+N151+N152+N153+N154</f>
        <v>761296</v>
      </c>
      <c r="O147" s="105">
        <f t="shared" si="57"/>
        <v>0</v>
      </c>
      <c r="P147" s="103">
        <f t="shared" si="57"/>
        <v>0</v>
      </c>
      <c r="Q147" s="106"/>
      <c r="R147" s="106">
        <f t="shared" si="57"/>
        <v>0</v>
      </c>
      <c r="S147" s="104"/>
      <c r="T147" s="102">
        <f>T148+T149+T150+T151+T152+T153+T154</f>
        <v>0</v>
      </c>
      <c r="U147" s="103">
        <f t="shared" ref="U147:AE147" si="58">U148+U149+U150+U151+U152+U153+U154</f>
        <v>0</v>
      </c>
      <c r="V147" s="106">
        <f t="shared" si="58"/>
        <v>137594</v>
      </c>
      <c r="W147" s="106">
        <f t="shared" si="58"/>
        <v>0</v>
      </c>
      <c r="X147" s="103">
        <f t="shared" si="58"/>
        <v>0</v>
      </c>
      <c r="Y147" s="106">
        <f t="shared" si="58"/>
        <v>0</v>
      </c>
      <c r="Z147" s="106">
        <f t="shared" si="58"/>
        <v>0</v>
      </c>
      <c r="AA147" s="107">
        <f t="shared" si="58"/>
        <v>361100</v>
      </c>
      <c r="AB147" s="345">
        <f t="shared" si="58"/>
        <v>0</v>
      </c>
      <c r="AC147" s="106">
        <f t="shared" si="58"/>
        <v>0</v>
      </c>
      <c r="AD147" s="106">
        <f t="shared" si="58"/>
        <v>0</v>
      </c>
      <c r="AE147" s="107">
        <f t="shared" si="58"/>
        <v>262602</v>
      </c>
      <c r="AF147" s="52">
        <f t="shared" si="52"/>
        <v>0</v>
      </c>
      <c r="AG147" s="180"/>
    </row>
    <row r="148" spans="1:33" ht="15" hidden="1" customHeight="1" x14ac:dyDescent="0.25">
      <c r="B148" s="54"/>
      <c r="C148" s="2"/>
      <c r="D148" s="624" t="s">
        <v>334</v>
      </c>
      <c r="E148" s="624"/>
      <c r="F148" s="76">
        <v>0</v>
      </c>
      <c r="G148" s="76">
        <v>0</v>
      </c>
      <c r="H148" s="76">
        <v>0</v>
      </c>
      <c r="I148" s="76">
        <v>0</v>
      </c>
      <c r="J148" s="76">
        <v>0</v>
      </c>
      <c r="K148" s="76">
        <f t="shared" ref="K148:K204" si="59">SUM(T148:AE148)</f>
        <v>0</v>
      </c>
      <c r="L148" s="72"/>
      <c r="M148" s="42"/>
      <c r="N148" s="42"/>
      <c r="O148" s="42"/>
      <c r="P148" s="1"/>
      <c r="Q148" s="78"/>
      <c r="R148" s="78"/>
      <c r="S148" s="73"/>
      <c r="T148" s="72"/>
      <c r="U148" s="1"/>
      <c r="V148" s="78"/>
      <c r="W148" s="78"/>
      <c r="X148" s="1"/>
      <c r="Y148" s="78"/>
      <c r="Z148" s="78"/>
      <c r="AA148" s="44"/>
      <c r="AB148" s="343"/>
      <c r="AC148" s="78"/>
      <c r="AD148" s="78"/>
      <c r="AE148" s="44"/>
      <c r="AF148" s="52">
        <f t="shared" si="52"/>
        <v>0</v>
      </c>
      <c r="AG148" s="180"/>
    </row>
    <row r="149" spans="1:33" ht="27" customHeight="1" x14ac:dyDescent="0.25">
      <c r="B149" s="54"/>
      <c r="C149" s="2"/>
      <c r="D149" s="625" t="s">
        <v>491</v>
      </c>
      <c r="E149" s="625"/>
      <c r="F149" s="76">
        <v>801240</v>
      </c>
      <c r="G149" s="76">
        <v>801240</v>
      </c>
      <c r="H149" s="76">
        <v>801240</v>
      </c>
      <c r="I149" s="76">
        <v>801240</v>
      </c>
      <c r="J149" s="76">
        <v>731160</v>
      </c>
      <c r="K149" s="76">
        <f t="shared" si="59"/>
        <v>731160</v>
      </c>
      <c r="L149" s="72"/>
      <c r="M149" s="42"/>
      <c r="N149" s="42">
        <f>K149</f>
        <v>731160</v>
      </c>
      <c r="O149" s="42"/>
      <c r="P149" s="1"/>
      <c r="Q149" s="78"/>
      <c r="R149" s="78"/>
      <c r="S149" s="73"/>
      <c r="T149" s="72"/>
      <c r="U149" s="1"/>
      <c r="V149" s="78">
        <v>131520</v>
      </c>
      <c r="W149" s="78"/>
      <c r="X149" s="1"/>
      <c r="Y149" s="78"/>
      <c r="Z149" s="78"/>
      <c r="AA149" s="44">
        <v>346680</v>
      </c>
      <c r="AB149" s="343"/>
      <c r="AC149" s="78"/>
      <c r="AD149" s="78"/>
      <c r="AE149" s="44">
        <v>252960</v>
      </c>
      <c r="AF149" s="52">
        <f t="shared" si="52"/>
        <v>0</v>
      </c>
      <c r="AG149" s="180"/>
    </row>
    <row r="150" spans="1:33" x14ac:dyDescent="0.25">
      <c r="B150" s="54"/>
      <c r="C150" s="2"/>
      <c r="D150" s="624" t="s">
        <v>801</v>
      </c>
      <c r="E150" s="624"/>
      <c r="F150" s="76">
        <v>30814</v>
      </c>
      <c r="G150" s="76">
        <v>30814</v>
      </c>
      <c r="H150" s="76">
        <v>30814</v>
      </c>
      <c r="I150" s="76">
        <v>30814</v>
      </c>
      <c r="J150" s="76">
        <v>30136</v>
      </c>
      <c r="K150" s="76">
        <f t="shared" si="59"/>
        <v>30136</v>
      </c>
      <c r="L150" s="72"/>
      <c r="M150" s="42"/>
      <c r="N150" s="42">
        <f>K150</f>
        <v>30136</v>
      </c>
      <c r="O150" s="42"/>
      <c r="P150" s="1"/>
      <c r="Q150" s="78"/>
      <c r="R150" s="78"/>
      <c r="S150" s="73"/>
      <c r="T150" s="72"/>
      <c r="U150" s="1"/>
      <c r="V150" s="78">
        <v>6074</v>
      </c>
      <c r="W150" s="78"/>
      <c r="X150" s="1"/>
      <c r="Y150" s="78"/>
      <c r="Z150" s="78"/>
      <c r="AA150" s="44">
        <v>14420</v>
      </c>
      <c r="AB150" s="343"/>
      <c r="AC150" s="78"/>
      <c r="AD150" s="78"/>
      <c r="AE150" s="44">
        <v>9642</v>
      </c>
      <c r="AF150" s="52">
        <f t="shared" si="52"/>
        <v>0</v>
      </c>
      <c r="AG150" s="180"/>
    </row>
    <row r="151" spans="1:33" ht="15" hidden="1" customHeight="1" x14ac:dyDescent="0.25">
      <c r="B151" s="54"/>
      <c r="C151" s="2"/>
      <c r="D151" s="624" t="s">
        <v>406</v>
      </c>
      <c r="E151" s="624"/>
      <c r="F151" s="76">
        <v>0</v>
      </c>
      <c r="G151" s="76">
        <v>0</v>
      </c>
      <c r="H151" s="76">
        <v>0</v>
      </c>
      <c r="I151" s="76">
        <v>0</v>
      </c>
      <c r="J151" s="76">
        <v>0</v>
      </c>
      <c r="K151" s="76">
        <f t="shared" si="59"/>
        <v>0</v>
      </c>
      <c r="L151" s="72"/>
      <c r="M151" s="42"/>
      <c r="N151" s="42"/>
      <c r="O151" s="42"/>
      <c r="P151" s="1"/>
      <c r="Q151" s="78"/>
      <c r="R151" s="78"/>
      <c r="S151" s="73"/>
      <c r="T151" s="72"/>
      <c r="U151" s="1"/>
      <c r="V151" s="78"/>
      <c r="W151" s="78"/>
      <c r="X151" s="1"/>
      <c r="Y151" s="78"/>
      <c r="Z151" s="78"/>
      <c r="AA151" s="44"/>
      <c r="AB151" s="343"/>
      <c r="AC151" s="78"/>
      <c r="AD151" s="78"/>
      <c r="AE151" s="44"/>
      <c r="AF151" s="52">
        <f t="shared" si="52"/>
        <v>0</v>
      </c>
      <c r="AG151" s="180"/>
    </row>
    <row r="152" spans="1:33" ht="15" hidden="1" customHeight="1" x14ac:dyDescent="0.25">
      <c r="B152" s="54"/>
      <c r="C152" s="2"/>
      <c r="D152" s="624" t="s">
        <v>407</v>
      </c>
      <c r="E152" s="624"/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76">
        <f t="shared" si="59"/>
        <v>0</v>
      </c>
      <c r="L152" s="72"/>
      <c r="M152" s="42"/>
      <c r="N152" s="42"/>
      <c r="O152" s="42"/>
      <c r="P152" s="1"/>
      <c r="Q152" s="78"/>
      <c r="R152" s="78"/>
      <c r="S152" s="73"/>
      <c r="T152" s="72"/>
      <c r="U152" s="1"/>
      <c r="V152" s="78"/>
      <c r="W152" s="78"/>
      <c r="X152" s="1"/>
      <c r="Y152" s="78"/>
      <c r="Z152" s="78"/>
      <c r="AA152" s="44"/>
      <c r="AB152" s="343"/>
      <c r="AC152" s="78"/>
      <c r="AD152" s="78"/>
      <c r="AE152" s="44"/>
      <c r="AF152" s="52">
        <f t="shared" si="52"/>
        <v>0</v>
      </c>
      <c r="AG152" s="180"/>
    </row>
    <row r="153" spans="1:33" ht="15" hidden="1" customHeight="1" x14ac:dyDescent="0.25">
      <c r="B153" s="54"/>
      <c r="C153" s="2"/>
      <c r="D153" s="624" t="s">
        <v>335</v>
      </c>
      <c r="E153" s="624"/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76">
        <f t="shared" si="59"/>
        <v>0</v>
      </c>
      <c r="L153" s="72"/>
      <c r="M153" s="42"/>
      <c r="N153" s="42"/>
      <c r="O153" s="42"/>
      <c r="P153" s="1"/>
      <c r="Q153" s="78"/>
      <c r="R153" s="78"/>
      <c r="S153" s="73"/>
      <c r="T153" s="72"/>
      <c r="U153" s="1"/>
      <c r="V153" s="78"/>
      <c r="W153" s="78"/>
      <c r="X153" s="1"/>
      <c r="Y153" s="78"/>
      <c r="Z153" s="78"/>
      <c r="AA153" s="44"/>
      <c r="AB153" s="343"/>
      <c r="AC153" s="78"/>
      <c r="AD153" s="78"/>
      <c r="AE153" s="44"/>
      <c r="AF153" s="52">
        <f t="shared" si="52"/>
        <v>0</v>
      </c>
      <c r="AG153" s="180"/>
    </row>
    <row r="154" spans="1:33" ht="15" hidden="1" customHeight="1" x14ac:dyDescent="0.25">
      <c r="B154" s="54"/>
      <c r="C154" s="2"/>
      <c r="D154" s="624" t="s">
        <v>408</v>
      </c>
      <c r="E154" s="624"/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f t="shared" si="59"/>
        <v>0</v>
      </c>
      <c r="L154" s="72"/>
      <c r="M154" s="42"/>
      <c r="N154" s="42"/>
      <c r="O154" s="42"/>
      <c r="P154" s="1"/>
      <c r="Q154" s="78"/>
      <c r="R154" s="78"/>
      <c r="S154" s="73"/>
      <c r="T154" s="72"/>
      <c r="U154" s="1"/>
      <c r="V154" s="78"/>
      <c r="W154" s="78"/>
      <c r="X154" s="1"/>
      <c r="Y154" s="78"/>
      <c r="Z154" s="78"/>
      <c r="AA154" s="44"/>
      <c r="AB154" s="343"/>
      <c r="AC154" s="78"/>
      <c r="AD154" s="78"/>
      <c r="AE154" s="44"/>
      <c r="AF154" s="52">
        <f t="shared" si="52"/>
        <v>0</v>
      </c>
      <c r="AG154" s="180"/>
    </row>
    <row r="155" spans="1:33" s="41" customFormat="1" ht="15" hidden="1" customHeight="1" x14ac:dyDescent="0.25">
      <c r="A155" s="118" t="s">
        <v>52</v>
      </c>
      <c r="B155" s="101" t="s">
        <v>743</v>
      </c>
      <c r="C155" s="655" t="s">
        <v>409</v>
      </c>
      <c r="D155" s="656"/>
      <c r="E155" s="656"/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f t="shared" si="59"/>
        <v>0</v>
      </c>
      <c r="L155" s="102"/>
      <c r="M155" s="105"/>
      <c r="N155" s="105"/>
      <c r="O155" s="105"/>
      <c r="P155" s="103"/>
      <c r="Q155" s="106"/>
      <c r="R155" s="106"/>
      <c r="S155" s="104"/>
      <c r="T155" s="102"/>
      <c r="U155" s="103"/>
      <c r="V155" s="106"/>
      <c r="W155" s="106"/>
      <c r="X155" s="103"/>
      <c r="Y155" s="106"/>
      <c r="Z155" s="106"/>
      <c r="AA155" s="107"/>
      <c r="AB155" s="342"/>
      <c r="AC155" s="106"/>
      <c r="AD155" s="106"/>
      <c r="AE155" s="107"/>
      <c r="AF155" s="52">
        <f t="shared" si="52"/>
        <v>0</v>
      </c>
      <c r="AG155" s="180"/>
    </row>
    <row r="156" spans="1:33" s="41" customFormat="1" ht="15" hidden="1" customHeight="1" x14ac:dyDescent="0.25">
      <c r="A156" s="118" t="s">
        <v>53</v>
      </c>
      <c r="B156" s="101" t="s">
        <v>744</v>
      </c>
      <c r="C156" s="655" t="s">
        <v>410</v>
      </c>
      <c r="D156" s="656"/>
      <c r="E156" s="656"/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f t="shared" si="59"/>
        <v>0</v>
      </c>
      <c r="L156" s="102"/>
      <c r="M156" s="105"/>
      <c r="N156" s="105"/>
      <c r="O156" s="105"/>
      <c r="P156" s="103"/>
      <c r="Q156" s="106"/>
      <c r="R156" s="106"/>
      <c r="S156" s="104"/>
      <c r="T156" s="102"/>
      <c r="U156" s="103"/>
      <c r="V156" s="106"/>
      <c r="W156" s="106"/>
      <c r="X156" s="103"/>
      <c r="Y156" s="106"/>
      <c r="Z156" s="106"/>
      <c r="AA156" s="107"/>
      <c r="AB156" s="342"/>
      <c r="AC156" s="106"/>
      <c r="AD156" s="106"/>
      <c r="AE156" s="107"/>
      <c r="AF156" s="52">
        <f t="shared" si="52"/>
        <v>0</v>
      </c>
      <c r="AG156" s="180"/>
    </row>
    <row r="157" spans="1:33" s="41" customFormat="1" ht="15" hidden="1" customHeight="1" x14ac:dyDescent="0.25">
      <c r="A157" s="118" t="s">
        <v>54</v>
      </c>
      <c r="B157" s="101" t="s">
        <v>745</v>
      </c>
      <c r="C157" s="655" t="s">
        <v>928</v>
      </c>
      <c r="D157" s="656"/>
      <c r="E157" s="656"/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f t="shared" si="59"/>
        <v>0</v>
      </c>
      <c r="L157" s="102"/>
      <c r="M157" s="105"/>
      <c r="N157" s="105"/>
      <c r="O157" s="105"/>
      <c r="P157" s="103"/>
      <c r="Q157" s="106"/>
      <c r="R157" s="106"/>
      <c r="S157" s="104"/>
      <c r="T157" s="102"/>
      <c r="U157" s="103"/>
      <c r="V157" s="106"/>
      <c r="W157" s="106"/>
      <c r="X157" s="103"/>
      <c r="Y157" s="106"/>
      <c r="Z157" s="106"/>
      <c r="AA157" s="107"/>
      <c r="AB157" s="342"/>
      <c r="AC157" s="106"/>
      <c r="AD157" s="106"/>
      <c r="AE157" s="107"/>
      <c r="AF157" s="52">
        <f t="shared" si="52"/>
        <v>0</v>
      </c>
      <c r="AG157" s="180"/>
    </row>
    <row r="158" spans="1:33" s="41" customFormat="1" x14ac:dyDescent="0.25">
      <c r="A158" s="118"/>
      <c r="B158" s="101" t="s">
        <v>929</v>
      </c>
      <c r="C158" s="655" t="s">
        <v>930</v>
      </c>
      <c r="D158" s="656"/>
      <c r="E158" s="656"/>
      <c r="F158" s="77">
        <v>4000</v>
      </c>
      <c r="G158" s="77">
        <v>4000</v>
      </c>
      <c r="H158" s="77">
        <v>4000</v>
      </c>
      <c r="I158" s="77">
        <v>4000</v>
      </c>
      <c r="J158" s="77">
        <v>4000</v>
      </c>
      <c r="K158" s="77">
        <v>4000</v>
      </c>
      <c r="L158" s="102">
        <f t="shared" ref="L158:R158" si="60">L159+L160</f>
        <v>4000</v>
      </c>
      <c r="M158" s="105">
        <f t="shared" si="60"/>
        <v>0</v>
      </c>
      <c r="N158" s="105">
        <f t="shared" si="60"/>
        <v>0</v>
      </c>
      <c r="O158" s="105">
        <f t="shared" si="60"/>
        <v>0</v>
      </c>
      <c r="P158" s="103">
        <f t="shared" si="60"/>
        <v>0</v>
      </c>
      <c r="Q158" s="106"/>
      <c r="R158" s="106">
        <f t="shared" si="60"/>
        <v>0</v>
      </c>
      <c r="S158" s="104"/>
      <c r="T158" s="102">
        <f>T159+T160</f>
        <v>143</v>
      </c>
      <c r="U158" s="103">
        <f t="shared" ref="U158:AE158" si="61">U159+U160</f>
        <v>0</v>
      </c>
      <c r="V158" s="106">
        <f t="shared" si="61"/>
        <v>0</v>
      </c>
      <c r="W158" s="106">
        <f t="shared" si="61"/>
        <v>0</v>
      </c>
      <c r="X158" s="103">
        <f t="shared" si="61"/>
        <v>122</v>
      </c>
      <c r="Y158" s="106">
        <f t="shared" si="61"/>
        <v>0</v>
      </c>
      <c r="Z158" s="106">
        <f t="shared" si="61"/>
        <v>126</v>
      </c>
      <c r="AA158" s="107">
        <f t="shared" si="61"/>
        <v>0</v>
      </c>
      <c r="AB158" s="345">
        <f t="shared" si="61"/>
        <v>0</v>
      </c>
      <c r="AC158" s="106">
        <f t="shared" si="61"/>
        <v>242</v>
      </c>
      <c r="AD158" s="106">
        <f t="shared" si="61"/>
        <v>1147</v>
      </c>
      <c r="AE158" s="107">
        <f t="shared" si="61"/>
        <v>720</v>
      </c>
      <c r="AF158" s="52">
        <f t="shared" si="52"/>
        <v>0</v>
      </c>
      <c r="AG158" s="180"/>
    </row>
    <row r="159" spans="1:33" s="199" customFormat="1" ht="15" hidden="1" customHeight="1" x14ac:dyDescent="0.25">
      <c r="A159" s="118" t="s">
        <v>931</v>
      </c>
      <c r="B159" s="181" t="s">
        <v>932</v>
      </c>
      <c r="C159" s="228"/>
      <c r="D159" s="227" t="s">
        <v>933</v>
      </c>
      <c r="E159" s="566"/>
      <c r="F159" s="193">
        <v>0</v>
      </c>
      <c r="G159" s="193">
        <v>0</v>
      </c>
      <c r="H159" s="193">
        <v>0</v>
      </c>
      <c r="I159" s="193">
        <v>0</v>
      </c>
      <c r="J159" s="193">
        <v>0</v>
      </c>
      <c r="K159" s="193">
        <f t="shared" si="59"/>
        <v>0</v>
      </c>
      <c r="L159" s="191"/>
      <c r="M159" s="184"/>
      <c r="N159" s="184"/>
      <c r="O159" s="184"/>
      <c r="P159" s="185"/>
      <c r="Q159" s="186"/>
      <c r="R159" s="186"/>
      <c r="S159" s="192"/>
      <c r="T159" s="191"/>
      <c r="U159" s="185"/>
      <c r="V159" s="186"/>
      <c r="W159" s="186"/>
      <c r="X159" s="185"/>
      <c r="Y159" s="186"/>
      <c r="Z159" s="186"/>
      <c r="AA159" s="187"/>
      <c r="AB159" s="340"/>
      <c r="AC159" s="186"/>
      <c r="AD159" s="186"/>
      <c r="AE159" s="187"/>
      <c r="AF159" s="52">
        <f t="shared" si="52"/>
        <v>0</v>
      </c>
      <c r="AG159" s="180"/>
    </row>
    <row r="160" spans="1:33" s="199" customFormat="1" x14ac:dyDescent="0.25">
      <c r="A160" s="118" t="s">
        <v>828</v>
      </c>
      <c r="B160" s="181" t="s">
        <v>871</v>
      </c>
      <c r="C160" s="194"/>
      <c r="D160" s="247" t="s">
        <v>829</v>
      </c>
      <c r="E160" s="247"/>
      <c r="F160" s="193">
        <v>4000</v>
      </c>
      <c r="G160" s="193">
        <v>4000</v>
      </c>
      <c r="H160" s="193">
        <v>4000</v>
      </c>
      <c r="I160" s="193">
        <v>4000</v>
      </c>
      <c r="J160" s="193">
        <v>4000</v>
      </c>
      <c r="K160" s="193">
        <v>4000</v>
      </c>
      <c r="L160" s="191">
        <f t="shared" ref="L160:R160" si="62">L161+L162+L163</f>
        <v>4000</v>
      </c>
      <c r="M160" s="184">
        <f t="shared" si="62"/>
        <v>0</v>
      </c>
      <c r="N160" s="184">
        <f t="shared" si="62"/>
        <v>0</v>
      </c>
      <c r="O160" s="184">
        <f t="shared" si="62"/>
        <v>0</v>
      </c>
      <c r="P160" s="185">
        <f t="shared" si="62"/>
        <v>0</v>
      </c>
      <c r="Q160" s="186"/>
      <c r="R160" s="186">
        <f t="shared" si="62"/>
        <v>0</v>
      </c>
      <c r="S160" s="192"/>
      <c r="T160" s="191">
        <f>T161+T162+T163</f>
        <v>143</v>
      </c>
      <c r="U160" s="185">
        <f t="shared" ref="U160:AE160" si="63">U161+U162+U163</f>
        <v>0</v>
      </c>
      <c r="V160" s="186">
        <f t="shared" si="63"/>
        <v>0</v>
      </c>
      <c r="W160" s="186">
        <f t="shared" si="63"/>
        <v>0</v>
      </c>
      <c r="X160" s="185">
        <f t="shared" si="63"/>
        <v>122</v>
      </c>
      <c r="Y160" s="186">
        <f t="shared" si="63"/>
        <v>0</v>
      </c>
      <c r="Z160" s="186">
        <f t="shared" si="63"/>
        <v>126</v>
      </c>
      <c r="AA160" s="187">
        <f t="shared" si="63"/>
        <v>0</v>
      </c>
      <c r="AB160" s="340">
        <f t="shared" si="63"/>
        <v>0</v>
      </c>
      <c r="AC160" s="186">
        <f t="shared" si="63"/>
        <v>242</v>
      </c>
      <c r="AD160" s="186">
        <f t="shared" si="63"/>
        <v>1147</v>
      </c>
      <c r="AE160" s="187">
        <f t="shared" si="63"/>
        <v>720</v>
      </c>
      <c r="AF160" s="52">
        <f t="shared" si="52"/>
        <v>0</v>
      </c>
      <c r="AG160" s="180"/>
    </row>
    <row r="161" spans="1:33" ht="15" hidden="1" customHeight="1" x14ac:dyDescent="0.25">
      <c r="B161" s="54"/>
      <c r="C161" s="2"/>
      <c r="D161" s="225"/>
      <c r="E161" s="225" t="s">
        <v>830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f t="shared" si="59"/>
        <v>0</v>
      </c>
      <c r="L161" s="72"/>
      <c r="M161" s="42"/>
      <c r="N161" s="42"/>
      <c r="O161" s="42"/>
      <c r="P161" s="1"/>
      <c r="Q161" s="78"/>
      <c r="R161" s="78"/>
      <c r="S161" s="73"/>
      <c r="T161" s="72"/>
      <c r="U161" s="1"/>
      <c r="V161" s="78"/>
      <c r="W161" s="78"/>
      <c r="X161" s="1"/>
      <c r="Y161" s="78"/>
      <c r="Z161" s="78"/>
      <c r="AA161" s="44"/>
      <c r="AB161" s="343"/>
      <c r="AC161" s="78"/>
      <c r="AD161" s="78"/>
      <c r="AE161" s="44"/>
      <c r="AF161" s="52">
        <f t="shared" si="52"/>
        <v>0</v>
      </c>
      <c r="AG161" s="180"/>
    </row>
    <row r="162" spans="1:33" ht="15" hidden="1" customHeight="1" x14ac:dyDescent="0.25">
      <c r="B162" s="54"/>
      <c r="C162" s="2"/>
      <c r="D162" s="225"/>
      <c r="E162" s="225" t="s">
        <v>336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f t="shared" si="59"/>
        <v>0</v>
      </c>
      <c r="L162" s="72"/>
      <c r="M162" s="42"/>
      <c r="N162" s="42"/>
      <c r="O162" s="42"/>
      <c r="P162" s="1"/>
      <c r="Q162" s="78"/>
      <c r="R162" s="78"/>
      <c r="S162" s="73"/>
      <c r="T162" s="72"/>
      <c r="U162" s="1"/>
      <c r="V162" s="78"/>
      <c r="W162" s="78"/>
      <c r="X162" s="1"/>
      <c r="Y162" s="78"/>
      <c r="Z162" s="78"/>
      <c r="AA162" s="44"/>
      <c r="AB162" s="343"/>
      <c r="AC162" s="78"/>
      <c r="AD162" s="78"/>
      <c r="AE162" s="44"/>
      <c r="AF162" s="52">
        <f t="shared" si="52"/>
        <v>0</v>
      </c>
      <c r="AG162" s="180"/>
    </row>
    <row r="163" spans="1:33" x14ac:dyDescent="0.25">
      <c r="B163" s="54"/>
      <c r="C163" s="2"/>
      <c r="D163" s="225"/>
      <c r="E163" s="225" t="s">
        <v>831</v>
      </c>
      <c r="F163" s="76">
        <v>4000</v>
      </c>
      <c r="G163" s="76">
        <v>4000</v>
      </c>
      <c r="H163" s="76">
        <v>4000</v>
      </c>
      <c r="I163" s="76">
        <v>4000</v>
      </c>
      <c r="J163" s="76">
        <v>4000</v>
      </c>
      <c r="K163" s="76">
        <v>4000</v>
      </c>
      <c r="L163" s="72">
        <f>K163</f>
        <v>4000</v>
      </c>
      <c r="M163" s="42"/>
      <c r="N163" s="42"/>
      <c r="O163" s="42"/>
      <c r="P163" s="1"/>
      <c r="Q163" s="78"/>
      <c r="R163" s="78"/>
      <c r="S163" s="73"/>
      <c r="T163" s="72">
        <v>143</v>
      </c>
      <c r="U163" s="1"/>
      <c r="V163" s="78"/>
      <c r="W163" s="78"/>
      <c r="X163" s="1">
        <v>122</v>
      </c>
      <c r="Y163" s="78"/>
      <c r="Z163" s="78">
        <v>126</v>
      </c>
      <c r="AA163" s="44"/>
      <c r="AB163" s="343"/>
      <c r="AC163" s="78">
        <v>242</v>
      </c>
      <c r="AD163" s="78">
        <f>1128+19</f>
        <v>1147</v>
      </c>
      <c r="AE163" s="44">
        <v>720</v>
      </c>
      <c r="AF163" s="52">
        <f t="shared" si="52"/>
        <v>0</v>
      </c>
      <c r="AG163" s="180"/>
    </row>
    <row r="164" spans="1:33" s="41" customFormat="1" ht="15" hidden="1" customHeight="1" x14ac:dyDescent="0.25">
      <c r="A164" s="118"/>
      <c r="B164" s="101" t="s">
        <v>746</v>
      </c>
      <c r="C164" s="655" t="s">
        <v>934</v>
      </c>
      <c r="D164" s="656"/>
      <c r="E164" s="656"/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f t="shared" si="59"/>
        <v>0</v>
      </c>
      <c r="L164" s="102">
        <f t="shared" ref="L164:R164" si="64">L165+L166</f>
        <v>0</v>
      </c>
      <c r="M164" s="105">
        <f t="shared" si="64"/>
        <v>0</v>
      </c>
      <c r="N164" s="105">
        <f t="shared" si="64"/>
        <v>0</v>
      </c>
      <c r="O164" s="105">
        <f t="shared" si="64"/>
        <v>0</v>
      </c>
      <c r="P164" s="103">
        <f t="shared" si="64"/>
        <v>0</v>
      </c>
      <c r="Q164" s="106"/>
      <c r="R164" s="106">
        <f t="shared" si="64"/>
        <v>0</v>
      </c>
      <c r="S164" s="104"/>
      <c r="T164" s="102">
        <f>T165+T166</f>
        <v>0</v>
      </c>
      <c r="U164" s="103">
        <f t="shared" ref="U164:AE164" si="65">U165+U166</f>
        <v>0</v>
      </c>
      <c r="V164" s="106">
        <f t="shared" si="65"/>
        <v>0</v>
      </c>
      <c r="W164" s="106">
        <f t="shared" si="65"/>
        <v>0</v>
      </c>
      <c r="X164" s="103">
        <f t="shared" si="65"/>
        <v>0</v>
      </c>
      <c r="Y164" s="106">
        <f t="shared" si="65"/>
        <v>0</v>
      </c>
      <c r="Z164" s="106">
        <f t="shared" si="65"/>
        <v>0</v>
      </c>
      <c r="AA164" s="107">
        <f t="shared" si="65"/>
        <v>0</v>
      </c>
      <c r="AB164" s="342">
        <f t="shared" si="65"/>
        <v>0</v>
      </c>
      <c r="AC164" s="106">
        <f t="shared" si="65"/>
        <v>0</v>
      </c>
      <c r="AD164" s="106">
        <f t="shared" si="65"/>
        <v>0</v>
      </c>
      <c r="AE164" s="107">
        <f t="shared" si="65"/>
        <v>0</v>
      </c>
      <c r="AF164" s="52">
        <f t="shared" si="52"/>
        <v>0</v>
      </c>
      <c r="AG164" s="180"/>
    </row>
    <row r="165" spans="1:33" s="199" customFormat="1" ht="15" hidden="1" customHeight="1" x14ac:dyDescent="0.25">
      <c r="A165" s="118" t="s">
        <v>938</v>
      </c>
      <c r="B165" s="181" t="s">
        <v>936</v>
      </c>
      <c r="C165" s="190"/>
      <c r="D165" s="630" t="s">
        <v>935</v>
      </c>
      <c r="E165" s="630"/>
      <c r="F165" s="193">
        <v>0</v>
      </c>
      <c r="G165" s="193">
        <v>0</v>
      </c>
      <c r="H165" s="193">
        <v>0</v>
      </c>
      <c r="I165" s="193">
        <v>0</v>
      </c>
      <c r="J165" s="193">
        <v>0</v>
      </c>
      <c r="K165" s="193">
        <f t="shared" si="59"/>
        <v>0</v>
      </c>
      <c r="L165" s="191"/>
      <c r="M165" s="184"/>
      <c r="N165" s="184"/>
      <c r="O165" s="184"/>
      <c r="P165" s="185"/>
      <c r="Q165" s="186"/>
      <c r="R165" s="186"/>
      <c r="S165" s="192"/>
      <c r="T165" s="191"/>
      <c r="U165" s="185"/>
      <c r="V165" s="186"/>
      <c r="W165" s="186"/>
      <c r="X165" s="185"/>
      <c r="Y165" s="186"/>
      <c r="Z165" s="186"/>
      <c r="AA165" s="187"/>
      <c r="AB165" s="340"/>
      <c r="AC165" s="186"/>
      <c r="AD165" s="186"/>
      <c r="AE165" s="187"/>
      <c r="AF165" s="52">
        <f t="shared" si="52"/>
        <v>0</v>
      </c>
      <c r="AG165" s="200"/>
    </row>
    <row r="166" spans="1:33" s="199" customFormat="1" ht="15" hidden="1" customHeight="1" x14ac:dyDescent="0.25">
      <c r="A166" s="118" t="s">
        <v>832</v>
      </c>
      <c r="B166" s="181" t="s">
        <v>937</v>
      </c>
      <c r="C166" s="190"/>
      <c r="D166" s="630" t="s">
        <v>833</v>
      </c>
      <c r="E166" s="630"/>
      <c r="F166" s="193">
        <v>0</v>
      </c>
      <c r="G166" s="193">
        <v>0</v>
      </c>
      <c r="H166" s="193">
        <v>0</v>
      </c>
      <c r="I166" s="193">
        <v>0</v>
      </c>
      <c r="J166" s="193">
        <v>0</v>
      </c>
      <c r="K166" s="193">
        <f t="shared" si="59"/>
        <v>0</v>
      </c>
      <c r="L166" s="191"/>
      <c r="M166" s="184"/>
      <c r="N166" s="184"/>
      <c r="O166" s="184"/>
      <c r="P166" s="185"/>
      <c r="Q166" s="186"/>
      <c r="R166" s="186"/>
      <c r="S166" s="192"/>
      <c r="T166" s="191"/>
      <c r="U166" s="185"/>
      <c r="V166" s="186"/>
      <c r="W166" s="186"/>
      <c r="X166" s="185"/>
      <c r="Y166" s="186"/>
      <c r="Z166" s="186"/>
      <c r="AA166" s="187"/>
      <c r="AB166" s="340"/>
      <c r="AC166" s="186"/>
      <c r="AD166" s="186"/>
      <c r="AE166" s="187"/>
      <c r="AF166" s="52">
        <f t="shared" si="52"/>
        <v>0</v>
      </c>
      <c r="AG166" s="200"/>
    </row>
    <row r="167" spans="1:33" s="41" customFormat="1" ht="15" hidden="1" customHeight="1" x14ac:dyDescent="0.25">
      <c r="A167" s="118" t="s">
        <v>55</v>
      </c>
      <c r="B167" s="101" t="s">
        <v>747</v>
      </c>
      <c r="C167" s="655" t="s">
        <v>939</v>
      </c>
      <c r="D167" s="656"/>
      <c r="E167" s="656"/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f t="shared" si="59"/>
        <v>0</v>
      </c>
      <c r="L167" s="102"/>
      <c r="M167" s="105"/>
      <c r="N167" s="105"/>
      <c r="O167" s="105"/>
      <c r="P167" s="103"/>
      <c r="Q167" s="106"/>
      <c r="R167" s="106"/>
      <c r="S167" s="104"/>
      <c r="T167" s="102"/>
      <c r="U167" s="103"/>
      <c r="V167" s="106"/>
      <c r="W167" s="106"/>
      <c r="X167" s="103"/>
      <c r="Y167" s="106"/>
      <c r="Z167" s="106"/>
      <c r="AA167" s="107"/>
      <c r="AB167" s="342"/>
      <c r="AC167" s="106"/>
      <c r="AD167" s="106"/>
      <c r="AE167" s="107"/>
      <c r="AF167" s="52">
        <f t="shared" si="52"/>
        <v>0</v>
      </c>
      <c r="AG167" s="180"/>
    </row>
    <row r="168" spans="1:33" s="41" customFormat="1" x14ac:dyDescent="0.25">
      <c r="A168" s="118" t="s">
        <v>56</v>
      </c>
      <c r="B168" s="101" t="s">
        <v>748</v>
      </c>
      <c r="C168" s="655" t="s">
        <v>57</v>
      </c>
      <c r="D168" s="656"/>
      <c r="E168" s="656"/>
      <c r="F168" s="77">
        <v>0</v>
      </c>
      <c r="G168" s="77">
        <v>0</v>
      </c>
      <c r="H168" s="77">
        <v>0</v>
      </c>
      <c r="I168" s="77">
        <v>0</v>
      </c>
      <c r="J168" s="77">
        <f>J171</f>
        <v>42714</v>
      </c>
      <c r="K168" s="77">
        <f>SUM(T168:AE168)</f>
        <v>42714</v>
      </c>
      <c r="L168" s="102">
        <f>L169+L170+L171</f>
        <v>42714</v>
      </c>
      <c r="M168" s="105">
        <f t="shared" ref="M168:R168" si="66">M169+M170+M171</f>
        <v>0</v>
      </c>
      <c r="N168" s="105">
        <f t="shared" si="66"/>
        <v>0</v>
      </c>
      <c r="O168" s="105">
        <f t="shared" si="66"/>
        <v>0</v>
      </c>
      <c r="P168" s="103">
        <f>P169+P170+P171</f>
        <v>0</v>
      </c>
      <c r="Q168" s="106"/>
      <c r="R168" s="106">
        <f t="shared" si="66"/>
        <v>0</v>
      </c>
      <c r="S168" s="104"/>
      <c r="T168" s="102">
        <f>T169+T170+T171</f>
        <v>0</v>
      </c>
      <c r="U168" s="103">
        <f t="shared" ref="U168:AE168" si="67">U169+U170+U171</f>
        <v>0</v>
      </c>
      <c r="V168" s="106">
        <f t="shared" si="67"/>
        <v>0</v>
      </c>
      <c r="W168" s="106">
        <f t="shared" si="67"/>
        <v>0</v>
      </c>
      <c r="X168" s="103">
        <f t="shared" si="67"/>
        <v>0</v>
      </c>
      <c r="Y168" s="106">
        <f t="shared" si="67"/>
        <v>42157</v>
      </c>
      <c r="Z168" s="106">
        <f t="shared" si="67"/>
        <v>0</v>
      </c>
      <c r="AA168" s="107">
        <f t="shared" si="67"/>
        <v>203</v>
      </c>
      <c r="AB168" s="345">
        <f t="shared" si="67"/>
        <v>354</v>
      </c>
      <c r="AC168" s="106">
        <f t="shared" si="67"/>
        <v>0</v>
      </c>
      <c r="AD168" s="106">
        <f t="shared" si="67"/>
        <v>0</v>
      </c>
      <c r="AE168" s="107">
        <f t="shared" si="67"/>
        <v>0</v>
      </c>
      <c r="AF168" s="52">
        <f t="shared" si="52"/>
        <v>0</v>
      </c>
      <c r="AG168" s="180"/>
    </row>
    <row r="169" spans="1:33" ht="15" customHeight="1" x14ac:dyDescent="0.25">
      <c r="B169" s="54"/>
      <c r="C169" s="2"/>
      <c r="D169" s="624" t="s">
        <v>411</v>
      </c>
      <c r="E169" s="624"/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76">
        <f t="shared" si="59"/>
        <v>0</v>
      </c>
      <c r="L169" s="72"/>
      <c r="M169" s="42"/>
      <c r="N169" s="42"/>
      <c r="O169" s="42"/>
      <c r="P169" s="1"/>
      <c r="Q169" s="78"/>
      <c r="R169" s="78"/>
      <c r="S169" s="73"/>
      <c r="T169" s="72"/>
      <c r="U169" s="1"/>
      <c r="V169" s="78"/>
      <c r="W169" s="78"/>
      <c r="X169" s="1"/>
      <c r="Y169" s="78"/>
      <c r="Z169" s="78"/>
      <c r="AA169" s="44"/>
      <c r="AB169" s="343"/>
      <c r="AC169" s="78"/>
      <c r="AD169" s="78"/>
      <c r="AE169" s="44"/>
      <c r="AF169" s="52">
        <f t="shared" si="52"/>
        <v>0</v>
      </c>
      <c r="AG169" s="180"/>
    </row>
    <row r="170" spans="1:33" ht="15" customHeight="1" x14ac:dyDescent="0.25">
      <c r="B170" s="54"/>
      <c r="C170" s="2"/>
      <c r="D170" s="624" t="s">
        <v>337</v>
      </c>
      <c r="E170" s="624"/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f>SUM(T170:AE170)</f>
        <v>0</v>
      </c>
      <c r="L170" s="72">
        <f>K170</f>
        <v>0</v>
      </c>
      <c r="M170" s="42"/>
      <c r="N170" s="42"/>
      <c r="O170" s="42"/>
      <c r="P170" s="1"/>
      <c r="Q170" s="78"/>
      <c r="R170" s="78"/>
      <c r="S170" s="73"/>
      <c r="T170" s="72"/>
      <c r="U170" s="1"/>
      <c r="V170" s="78"/>
      <c r="W170" s="78"/>
      <c r="X170" s="1"/>
      <c r="Y170" s="78"/>
      <c r="Z170" s="78"/>
      <c r="AA170" s="44"/>
      <c r="AB170" s="343"/>
      <c r="AC170" s="78"/>
      <c r="AD170" s="78"/>
      <c r="AE170" s="44"/>
      <c r="AF170" s="52">
        <f t="shared" si="52"/>
        <v>0</v>
      </c>
      <c r="AG170" s="180"/>
    </row>
    <row r="171" spans="1:33" x14ac:dyDescent="0.25">
      <c r="B171" s="54"/>
      <c r="C171" s="2"/>
      <c r="D171" s="630" t="s">
        <v>338</v>
      </c>
      <c r="E171" s="652"/>
      <c r="F171" s="193">
        <v>0</v>
      </c>
      <c r="G171" s="193">
        <v>0</v>
      </c>
      <c r="H171" s="193">
        <v>0</v>
      </c>
      <c r="I171" s="193">
        <v>0</v>
      </c>
      <c r="J171" s="193">
        <v>42714</v>
      </c>
      <c r="K171" s="193">
        <f>SUM(K172:K174)</f>
        <v>42714</v>
      </c>
      <c r="L171" s="191">
        <f>L174</f>
        <v>42714</v>
      </c>
      <c r="M171" s="42"/>
      <c r="N171" s="42"/>
      <c r="O171" s="42"/>
      <c r="P171" s="1">
        <f>P172+P173+P174</f>
        <v>0</v>
      </c>
      <c r="Q171" s="78"/>
      <c r="R171" s="78"/>
      <c r="S171" s="73"/>
      <c r="T171" s="191">
        <f>T172+T173+T174</f>
        <v>0</v>
      </c>
      <c r="U171" s="185">
        <f t="shared" ref="U171:AE171" si="68">U172+U173+U174</f>
        <v>0</v>
      </c>
      <c r="V171" s="186">
        <f t="shared" si="68"/>
        <v>0</v>
      </c>
      <c r="W171" s="186">
        <f t="shared" si="68"/>
        <v>0</v>
      </c>
      <c r="X171" s="185">
        <f t="shared" si="68"/>
        <v>0</v>
      </c>
      <c r="Y171" s="186">
        <f t="shared" si="68"/>
        <v>42157</v>
      </c>
      <c r="Z171" s="186">
        <f t="shared" si="68"/>
        <v>0</v>
      </c>
      <c r="AA171" s="187">
        <f t="shared" si="68"/>
        <v>203</v>
      </c>
      <c r="AB171" s="340">
        <f t="shared" si="68"/>
        <v>354</v>
      </c>
      <c r="AC171" s="186">
        <f t="shared" si="68"/>
        <v>0</v>
      </c>
      <c r="AD171" s="186">
        <f t="shared" si="68"/>
        <v>0</v>
      </c>
      <c r="AE171" s="187">
        <f t="shared" si="68"/>
        <v>0</v>
      </c>
      <c r="AF171" s="52">
        <f t="shared" si="52"/>
        <v>0</v>
      </c>
      <c r="AG171" s="180"/>
    </row>
    <row r="172" spans="1:33" hidden="1" x14ac:dyDescent="0.25">
      <c r="B172" s="54"/>
      <c r="C172" s="2"/>
      <c r="D172" s="348"/>
      <c r="E172" s="375" t="s">
        <v>1027</v>
      </c>
      <c r="F172" s="376">
        <v>0</v>
      </c>
      <c r="G172" s="376">
        <v>0</v>
      </c>
      <c r="H172" s="376">
        <v>0</v>
      </c>
      <c r="I172" s="376">
        <v>0</v>
      </c>
      <c r="J172" s="376">
        <v>0</v>
      </c>
      <c r="K172" s="376">
        <f>SUM(T172:AE172)</f>
        <v>0</v>
      </c>
      <c r="L172" s="72">
        <f>K172</f>
        <v>0</v>
      </c>
      <c r="M172" s="42"/>
      <c r="N172" s="42"/>
      <c r="O172" s="42"/>
      <c r="P172" s="1"/>
      <c r="Q172" s="78"/>
      <c r="R172" s="78"/>
      <c r="S172" s="73"/>
      <c r="T172" s="72"/>
      <c r="U172" s="1"/>
      <c r="V172" s="78"/>
      <c r="W172" s="78"/>
      <c r="X172" s="1"/>
      <c r="Y172" s="78"/>
      <c r="Z172" s="78"/>
      <c r="AA172" s="44"/>
      <c r="AB172" s="343"/>
      <c r="AC172" s="78"/>
      <c r="AD172" s="78"/>
      <c r="AE172" s="44"/>
      <c r="AF172" s="52">
        <f t="shared" si="52"/>
        <v>0</v>
      </c>
      <c r="AG172" s="180"/>
    </row>
    <row r="173" spans="1:33" hidden="1" x14ac:dyDescent="0.25">
      <c r="B173" s="54"/>
      <c r="C173" s="2"/>
      <c r="D173" s="348"/>
      <c r="E173" s="375" t="s">
        <v>1029</v>
      </c>
      <c r="F173" s="76"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f>SUM(T173:AE173)</f>
        <v>0</v>
      </c>
      <c r="L173" s="72">
        <f>K173</f>
        <v>0</v>
      </c>
      <c r="M173" s="42"/>
      <c r="N173" s="42"/>
      <c r="O173" s="42"/>
      <c r="P173" s="1"/>
      <c r="Q173" s="78"/>
      <c r="R173" s="78"/>
      <c r="S173" s="73"/>
      <c r="T173" s="72"/>
      <c r="U173" s="1"/>
      <c r="V173" s="78"/>
      <c r="W173" s="78"/>
      <c r="X173" s="1"/>
      <c r="Y173" s="78"/>
      <c r="Z173" s="78"/>
      <c r="AA173" s="44"/>
      <c r="AB173" s="343"/>
      <c r="AC173" s="78"/>
      <c r="AD173" s="78"/>
      <c r="AE173" s="44"/>
      <c r="AF173" s="52">
        <f t="shared" si="52"/>
        <v>0</v>
      </c>
      <c r="AG173" s="180"/>
    </row>
    <row r="174" spans="1:33" ht="15.75" thickBot="1" x14ac:dyDescent="0.3">
      <c r="B174" s="372"/>
      <c r="C174" s="373"/>
      <c r="D174" s="374"/>
      <c r="E174" s="377" t="s">
        <v>1028</v>
      </c>
      <c r="F174" s="379">
        <v>0</v>
      </c>
      <c r="G174" s="379">
        <v>0</v>
      </c>
      <c r="H174" s="379">
        <v>0</v>
      </c>
      <c r="I174" s="379">
        <v>0</v>
      </c>
      <c r="J174" s="379">
        <v>42714</v>
      </c>
      <c r="K174" s="379">
        <f>SUM(T174:AE174)</f>
        <v>42714</v>
      </c>
      <c r="L174" s="286">
        <f>K174</f>
        <v>42714</v>
      </c>
      <c r="M174" s="289"/>
      <c r="N174" s="289"/>
      <c r="O174" s="289"/>
      <c r="P174" s="287"/>
      <c r="Q174" s="288"/>
      <c r="R174" s="288"/>
      <c r="S174" s="378"/>
      <c r="T174" s="286"/>
      <c r="U174" s="287"/>
      <c r="V174" s="288"/>
      <c r="W174" s="288"/>
      <c r="X174" s="287"/>
      <c r="Y174" s="288">
        <v>42157</v>
      </c>
      <c r="Z174" s="288"/>
      <c r="AA174" s="290">
        <v>203</v>
      </c>
      <c r="AB174" s="391">
        <v>354</v>
      </c>
      <c r="AC174" s="288"/>
      <c r="AD174" s="288"/>
      <c r="AE174" s="290"/>
      <c r="AF174" s="52">
        <f t="shared" si="52"/>
        <v>0</v>
      </c>
      <c r="AG174" s="180"/>
    </row>
    <row r="175" spans="1:33" ht="15.75" thickBot="1" x14ac:dyDescent="0.3">
      <c r="B175" s="96" t="s">
        <v>58</v>
      </c>
      <c r="C175" s="648" t="s">
        <v>59</v>
      </c>
      <c r="D175" s="649"/>
      <c r="E175" s="649"/>
      <c r="F175" s="568">
        <v>0</v>
      </c>
      <c r="G175" s="568">
        <v>0</v>
      </c>
      <c r="H175" s="568">
        <v>0</v>
      </c>
      <c r="I175" s="568">
        <v>0</v>
      </c>
      <c r="J175" s="568">
        <f>J176+J177</f>
        <v>2500000</v>
      </c>
      <c r="K175" s="568">
        <f>K176+K177</f>
        <v>2500000</v>
      </c>
      <c r="L175" s="82">
        <f t="shared" ref="L175:R175" si="69">L176+L177+L180+L181+L184</f>
        <v>0</v>
      </c>
      <c r="M175" s="85">
        <f t="shared" si="69"/>
        <v>0</v>
      </c>
      <c r="N175" s="85">
        <f>N176+N177+N180+N181+N184</f>
        <v>2500000</v>
      </c>
      <c r="O175" s="85">
        <f t="shared" si="69"/>
        <v>0</v>
      </c>
      <c r="P175" s="83">
        <f t="shared" si="69"/>
        <v>0</v>
      </c>
      <c r="Q175" s="86"/>
      <c r="R175" s="86">
        <f t="shared" si="69"/>
        <v>0</v>
      </c>
      <c r="S175" s="84"/>
      <c r="T175" s="82">
        <f>T176+T177+T180+T181+T184</f>
        <v>0</v>
      </c>
      <c r="U175" s="83">
        <f t="shared" ref="U175:AE175" si="70">U176+U177+U180+U181+U184</f>
        <v>0</v>
      </c>
      <c r="V175" s="86">
        <f t="shared" si="70"/>
        <v>0</v>
      </c>
      <c r="W175" s="86">
        <f t="shared" si="70"/>
        <v>0</v>
      </c>
      <c r="X175" s="83">
        <f t="shared" si="70"/>
        <v>0</v>
      </c>
      <c r="Y175" s="86">
        <f t="shared" si="70"/>
        <v>0</v>
      </c>
      <c r="Z175" s="86">
        <f t="shared" si="70"/>
        <v>2500000</v>
      </c>
      <c r="AA175" s="87">
        <f t="shared" si="70"/>
        <v>0</v>
      </c>
      <c r="AB175" s="338">
        <f t="shared" si="70"/>
        <v>0</v>
      </c>
      <c r="AC175" s="86">
        <f t="shared" si="70"/>
        <v>0</v>
      </c>
      <c r="AD175" s="86">
        <f t="shared" si="70"/>
        <v>0</v>
      </c>
      <c r="AE175" s="87">
        <f t="shared" si="70"/>
        <v>0</v>
      </c>
      <c r="AF175" s="52">
        <f t="shared" si="52"/>
        <v>0</v>
      </c>
      <c r="AG175" s="180"/>
    </row>
    <row r="176" spans="1:33" s="18" customFormat="1" ht="15" customHeight="1" x14ac:dyDescent="0.25">
      <c r="A176" s="118" t="s">
        <v>60</v>
      </c>
      <c r="B176" s="108" t="s">
        <v>749</v>
      </c>
      <c r="C176" s="653" t="s">
        <v>412</v>
      </c>
      <c r="D176" s="654"/>
      <c r="E176" s="654"/>
      <c r="F176" s="383">
        <v>0</v>
      </c>
      <c r="G176" s="383">
        <v>0</v>
      </c>
      <c r="H176" s="383">
        <v>0</v>
      </c>
      <c r="I176" s="383">
        <v>0</v>
      </c>
      <c r="J176" s="383">
        <v>0</v>
      </c>
      <c r="K176" s="383">
        <f t="shared" si="59"/>
        <v>0</v>
      </c>
      <c r="L176" s="90"/>
      <c r="M176" s="93"/>
      <c r="N176" s="93"/>
      <c r="O176" s="93"/>
      <c r="P176" s="91"/>
      <c r="Q176" s="94"/>
      <c r="R176" s="94"/>
      <c r="S176" s="92"/>
      <c r="T176" s="90"/>
      <c r="U176" s="91"/>
      <c r="V176" s="94"/>
      <c r="W176" s="94"/>
      <c r="X176" s="91"/>
      <c r="Y176" s="94"/>
      <c r="Z176" s="94"/>
      <c r="AA176" s="95"/>
      <c r="AB176" s="341"/>
      <c r="AC176" s="94"/>
      <c r="AD176" s="94"/>
      <c r="AE176" s="95"/>
      <c r="AF176" s="52">
        <f t="shared" si="52"/>
        <v>0</v>
      </c>
      <c r="AG176" s="180"/>
    </row>
    <row r="177" spans="1:33" s="18" customFormat="1" ht="15" customHeight="1" x14ac:dyDescent="0.25">
      <c r="A177" s="118" t="s">
        <v>61</v>
      </c>
      <c r="B177" s="88" t="s">
        <v>750</v>
      </c>
      <c r="C177" s="640" t="s">
        <v>62</v>
      </c>
      <c r="D177" s="641"/>
      <c r="E177" s="641"/>
      <c r="F177" s="383">
        <v>0</v>
      </c>
      <c r="G177" s="383">
        <v>0</v>
      </c>
      <c r="H177" s="383">
        <v>0</v>
      </c>
      <c r="I177" s="383">
        <v>0</v>
      </c>
      <c r="J177" s="383">
        <v>2500000</v>
      </c>
      <c r="K177" s="383">
        <f t="shared" si="59"/>
        <v>2500000</v>
      </c>
      <c r="L177" s="90">
        <f t="shared" ref="L177:R177" si="71">L178+L179</f>
        <v>0</v>
      </c>
      <c r="M177" s="93">
        <f t="shared" si="71"/>
        <v>0</v>
      </c>
      <c r="N177" s="93">
        <f>N178+N179</f>
        <v>2500000</v>
      </c>
      <c r="O177" s="93">
        <f t="shared" si="71"/>
        <v>0</v>
      </c>
      <c r="P177" s="91">
        <f t="shared" si="71"/>
        <v>0</v>
      </c>
      <c r="Q177" s="94"/>
      <c r="R177" s="94">
        <f t="shared" si="71"/>
        <v>0</v>
      </c>
      <c r="S177" s="92"/>
      <c r="T177" s="90">
        <f>T178+T179</f>
        <v>0</v>
      </c>
      <c r="U177" s="91">
        <f t="shared" ref="U177:AE177" si="72">U178+U179</f>
        <v>0</v>
      </c>
      <c r="V177" s="94">
        <f t="shared" si="72"/>
        <v>0</v>
      </c>
      <c r="W177" s="94">
        <f t="shared" si="72"/>
        <v>0</v>
      </c>
      <c r="X177" s="91">
        <f t="shared" si="72"/>
        <v>0</v>
      </c>
      <c r="Y177" s="94">
        <f t="shared" si="72"/>
        <v>0</v>
      </c>
      <c r="Z177" s="94">
        <f t="shared" si="72"/>
        <v>2500000</v>
      </c>
      <c r="AA177" s="95">
        <f t="shared" si="72"/>
        <v>0</v>
      </c>
      <c r="AB177" s="341">
        <f t="shared" si="72"/>
        <v>0</v>
      </c>
      <c r="AC177" s="94">
        <f t="shared" si="72"/>
        <v>0</v>
      </c>
      <c r="AD177" s="94">
        <f t="shared" si="72"/>
        <v>0</v>
      </c>
      <c r="AE177" s="95">
        <f t="shared" si="72"/>
        <v>0</v>
      </c>
      <c r="AF177" s="52">
        <f t="shared" si="52"/>
        <v>0</v>
      </c>
      <c r="AG177" s="180"/>
    </row>
    <row r="178" spans="1:33" ht="15" customHeight="1" x14ac:dyDescent="0.25">
      <c r="B178" s="54"/>
      <c r="C178" s="2"/>
      <c r="D178" s="624" t="s">
        <v>339</v>
      </c>
      <c r="E178" s="624"/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f t="shared" si="59"/>
        <v>0</v>
      </c>
      <c r="L178" s="72"/>
      <c r="M178" s="42"/>
      <c r="N178" s="42">
        <f>K178</f>
        <v>0</v>
      </c>
      <c r="O178" s="42"/>
      <c r="P178" s="1"/>
      <c r="Q178" s="78"/>
      <c r="R178" s="78"/>
      <c r="S178" s="73"/>
      <c r="T178" s="72"/>
      <c r="U178" s="1"/>
      <c r="V178" s="78"/>
      <c r="W178" s="78"/>
      <c r="X178" s="1"/>
      <c r="Y178" s="78"/>
      <c r="Z178" s="78"/>
      <c r="AA178" s="44"/>
      <c r="AB178" s="343"/>
      <c r="AC178" s="78"/>
      <c r="AD178" s="78"/>
      <c r="AE178" s="44"/>
      <c r="AF178" s="52">
        <f t="shared" si="52"/>
        <v>0</v>
      </c>
      <c r="AG178" s="180"/>
    </row>
    <row r="179" spans="1:33" ht="15" customHeight="1" thickBot="1" x14ac:dyDescent="0.3">
      <c r="B179" s="54"/>
      <c r="C179" s="2"/>
      <c r="D179" s="624" t="s">
        <v>340</v>
      </c>
      <c r="E179" s="624"/>
      <c r="F179" s="76">
        <v>0</v>
      </c>
      <c r="G179" s="76">
        <v>0</v>
      </c>
      <c r="H179" s="76">
        <v>0</v>
      </c>
      <c r="I179" s="76">
        <v>0</v>
      </c>
      <c r="J179" s="76">
        <v>2500000</v>
      </c>
      <c r="K179" s="76">
        <f t="shared" si="59"/>
        <v>2500000</v>
      </c>
      <c r="L179" s="72"/>
      <c r="M179" s="42"/>
      <c r="N179" s="42">
        <f>K179</f>
        <v>2500000</v>
      </c>
      <c r="O179" s="42"/>
      <c r="P179" s="1"/>
      <c r="Q179" s="78"/>
      <c r="R179" s="78"/>
      <c r="S179" s="73"/>
      <c r="T179" s="72"/>
      <c r="U179" s="1"/>
      <c r="V179" s="78"/>
      <c r="W179" s="78"/>
      <c r="X179" s="1"/>
      <c r="Y179" s="78"/>
      <c r="Z179" s="78">
        <v>2500000</v>
      </c>
      <c r="AA179" s="44"/>
      <c r="AB179" s="343"/>
      <c r="AC179" s="78"/>
      <c r="AD179" s="78"/>
      <c r="AE179" s="44"/>
      <c r="AF179" s="52">
        <f t="shared" si="52"/>
        <v>0</v>
      </c>
      <c r="AG179" s="180"/>
    </row>
    <row r="180" spans="1:33" s="18" customFormat="1" ht="15" hidden="1" customHeight="1" x14ac:dyDescent="0.25">
      <c r="A180" s="118" t="s">
        <v>63</v>
      </c>
      <c r="B180" s="88" t="s">
        <v>751</v>
      </c>
      <c r="C180" s="626" t="s">
        <v>413</v>
      </c>
      <c r="D180" s="627"/>
      <c r="E180" s="627"/>
      <c r="F180" s="383">
        <v>0</v>
      </c>
      <c r="G180" s="383">
        <v>0</v>
      </c>
      <c r="H180" s="383">
        <v>0</v>
      </c>
      <c r="I180" s="383">
        <v>0</v>
      </c>
      <c r="J180" s="383">
        <v>0</v>
      </c>
      <c r="K180" s="383">
        <f t="shared" si="59"/>
        <v>0</v>
      </c>
      <c r="L180" s="90"/>
      <c r="M180" s="93"/>
      <c r="N180" s="93"/>
      <c r="O180" s="93"/>
      <c r="P180" s="91"/>
      <c r="Q180" s="94"/>
      <c r="R180" s="94"/>
      <c r="S180" s="92"/>
      <c r="T180" s="90"/>
      <c r="U180" s="91"/>
      <c r="V180" s="94"/>
      <c r="W180" s="94"/>
      <c r="X180" s="91"/>
      <c r="Y180" s="94"/>
      <c r="Z180" s="94"/>
      <c r="AA180" s="95"/>
      <c r="AB180" s="346"/>
      <c r="AC180" s="94"/>
      <c r="AD180" s="94"/>
      <c r="AE180" s="95"/>
      <c r="AF180" s="52">
        <f t="shared" si="52"/>
        <v>0</v>
      </c>
      <c r="AG180" s="180"/>
    </row>
    <row r="181" spans="1:33" s="18" customFormat="1" ht="15" hidden="1" customHeight="1" x14ac:dyDescent="0.25">
      <c r="A181" s="118" t="s">
        <v>64</v>
      </c>
      <c r="B181" s="88" t="s">
        <v>752</v>
      </c>
      <c r="C181" s="626" t="s">
        <v>65</v>
      </c>
      <c r="D181" s="627"/>
      <c r="E181" s="627"/>
      <c r="F181" s="383">
        <v>0</v>
      </c>
      <c r="G181" s="383">
        <v>0</v>
      </c>
      <c r="H181" s="383">
        <v>0</v>
      </c>
      <c r="I181" s="383">
        <v>0</v>
      </c>
      <c r="J181" s="383">
        <v>0</v>
      </c>
      <c r="K181" s="383">
        <f t="shared" si="59"/>
        <v>0</v>
      </c>
      <c r="L181" s="90">
        <f t="shared" ref="L181:R181" si="73">L182+L183</f>
        <v>0</v>
      </c>
      <c r="M181" s="93">
        <f t="shared" si="73"/>
        <v>0</v>
      </c>
      <c r="N181" s="93">
        <f t="shared" si="73"/>
        <v>0</v>
      </c>
      <c r="O181" s="93">
        <f t="shared" si="73"/>
        <v>0</v>
      </c>
      <c r="P181" s="91">
        <f t="shared" si="73"/>
        <v>0</v>
      </c>
      <c r="Q181" s="94"/>
      <c r="R181" s="94">
        <f t="shared" si="73"/>
        <v>0</v>
      </c>
      <c r="S181" s="92"/>
      <c r="T181" s="90">
        <f>T182+T183</f>
        <v>0</v>
      </c>
      <c r="U181" s="91">
        <f t="shared" ref="U181:AE181" si="74">U182+U183</f>
        <v>0</v>
      </c>
      <c r="V181" s="94">
        <f t="shared" si="74"/>
        <v>0</v>
      </c>
      <c r="W181" s="94">
        <f t="shared" si="74"/>
        <v>0</v>
      </c>
      <c r="X181" s="91">
        <f t="shared" si="74"/>
        <v>0</v>
      </c>
      <c r="Y181" s="94">
        <f t="shared" si="74"/>
        <v>0</v>
      </c>
      <c r="Z181" s="94">
        <f t="shared" si="74"/>
        <v>0</v>
      </c>
      <c r="AA181" s="95">
        <f t="shared" si="74"/>
        <v>0</v>
      </c>
      <c r="AB181" s="346">
        <f t="shared" si="74"/>
        <v>0</v>
      </c>
      <c r="AC181" s="94">
        <f t="shared" si="74"/>
        <v>0</v>
      </c>
      <c r="AD181" s="94">
        <f t="shared" si="74"/>
        <v>0</v>
      </c>
      <c r="AE181" s="95">
        <f t="shared" si="74"/>
        <v>0</v>
      </c>
      <c r="AF181" s="52">
        <f t="shared" si="52"/>
        <v>0</v>
      </c>
      <c r="AG181" s="180"/>
    </row>
    <row r="182" spans="1:33" ht="15" hidden="1" customHeight="1" x14ac:dyDescent="0.25">
      <c r="B182" s="54"/>
      <c r="C182" s="2"/>
      <c r="D182" s="624" t="s">
        <v>341</v>
      </c>
      <c r="E182" s="624"/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f t="shared" si="59"/>
        <v>0</v>
      </c>
      <c r="L182" s="72"/>
      <c r="M182" s="42"/>
      <c r="N182" s="42"/>
      <c r="O182" s="42"/>
      <c r="P182" s="1"/>
      <c r="Q182" s="78"/>
      <c r="R182" s="78"/>
      <c r="S182" s="73"/>
      <c r="T182" s="72"/>
      <c r="U182" s="1"/>
      <c r="V182" s="78"/>
      <c r="W182" s="78"/>
      <c r="X182" s="1"/>
      <c r="Y182" s="78"/>
      <c r="Z182" s="78"/>
      <c r="AA182" s="44"/>
      <c r="AB182" s="343"/>
      <c r="AC182" s="78"/>
      <c r="AD182" s="78"/>
      <c r="AE182" s="44"/>
      <c r="AF182" s="52">
        <f t="shared" si="52"/>
        <v>0</v>
      </c>
      <c r="AG182" s="180"/>
    </row>
    <row r="183" spans="1:33" ht="15" hidden="1" customHeight="1" x14ac:dyDescent="0.25">
      <c r="B183" s="54"/>
      <c r="C183" s="2"/>
      <c r="D183" s="624" t="s">
        <v>342</v>
      </c>
      <c r="E183" s="624"/>
      <c r="F183" s="76"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f t="shared" si="59"/>
        <v>0</v>
      </c>
      <c r="L183" s="72"/>
      <c r="M183" s="42"/>
      <c r="N183" s="42"/>
      <c r="O183" s="42"/>
      <c r="P183" s="1"/>
      <c r="Q183" s="78"/>
      <c r="R183" s="78"/>
      <c r="S183" s="73"/>
      <c r="T183" s="72"/>
      <c r="U183" s="1"/>
      <c r="V183" s="78"/>
      <c r="W183" s="78"/>
      <c r="X183" s="1"/>
      <c r="Y183" s="78"/>
      <c r="Z183" s="78"/>
      <c r="AA183" s="44"/>
      <c r="AB183" s="343"/>
      <c r="AC183" s="78"/>
      <c r="AD183" s="78"/>
      <c r="AE183" s="44"/>
      <c r="AF183" s="52">
        <f t="shared" si="52"/>
        <v>0</v>
      </c>
      <c r="AG183" s="180"/>
    </row>
    <row r="184" spans="1:33" s="18" customFormat="1" ht="15.75" hidden="1" customHeight="1" thickBot="1" x14ac:dyDescent="0.3">
      <c r="A184" s="118" t="s">
        <v>66</v>
      </c>
      <c r="B184" s="117" t="s">
        <v>753</v>
      </c>
      <c r="C184" s="636" t="s">
        <v>414</v>
      </c>
      <c r="D184" s="637"/>
      <c r="E184" s="637"/>
      <c r="F184" s="383">
        <v>0</v>
      </c>
      <c r="G184" s="383">
        <v>0</v>
      </c>
      <c r="H184" s="383">
        <v>0</v>
      </c>
      <c r="I184" s="383">
        <v>0</v>
      </c>
      <c r="J184" s="383">
        <v>0</v>
      </c>
      <c r="K184" s="383">
        <f t="shared" si="59"/>
        <v>0</v>
      </c>
      <c r="L184" s="90"/>
      <c r="M184" s="93"/>
      <c r="N184" s="93"/>
      <c r="O184" s="93"/>
      <c r="P184" s="91"/>
      <c r="Q184" s="94"/>
      <c r="R184" s="94"/>
      <c r="S184" s="92"/>
      <c r="T184" s="90"/>
      <c r="U184" s="91"/>
      <c r="V184" s="94"/>
      <c r="W184" s="94"/>
      <c r="X184" s="91"/>
      <c r="Y184" s="94"/>
      <c r="Z184" s="94"/>
      <c r="AA184" s="95"/>
      <c r="AB184" s="346"/>
      <c r="AC184" s="94"/>
      <c r="AD184" s="94"/>
      <c r="AE184" s="95"/>
      <c r="AF184" s="52">
        <f t="shared" si="52"/>
        <v>0</v>
      </c>
      <c r="AG184" s="180"/>
    </row>
    <row r="185" spans="1:33" ht="15.75" customHeight="1" thickBot="1" x14ac:dyDescent="0.3">
      <c r="B185" s="96" t="s">
        <v>67</v>
      </c>
      <c r="C185" s="648" t="s">
        <v>68</v>
      </c>
      <c r="D185" s="649"/>
      <c r="E185" s="649"/>
      <c r="F185" s="568">
        <v>0</v>
      </c>
      <c r="G185" s="568">
        <v>0</v>
      </c>
      <c r="H185" s="568">
        <v>0</v>
      </c>
      <c r="I185" s="568">
        <v>0</v>
      </c>
      <c r="J185" s="568">
        <v>0</v>
      </c>
      <c r="K185" s="568">
        <f t="shared" si="59"/>
        <v>0</v>
      </c>
      <c r="L185" s="82">
        <f t="shared" ref="L185:R185" si="75">L186+L187+L188+L189+L199</f>
        <v>0</v>
      </c>
      <c r="M185" s="85">
        <f t="shared" si="75"/>
        <v>0</v>
      </c>
      <c r="N185" s="85">
        <f t="shared" si="75"/>
        <v>0</v>
      </c>
      <c r="O185" s="85">
        <f t="shared" si="75"/>
        <v>0</v>
      </c>
      <c r="P185" s="83">
        <f t="shared" si="75"/>
        <v>0</v>
      </c>
      <c r="Q185" s="86"/>
      <c r="R185" s="86">
        <f t="shared" si="75"/>
        <v>0</v>
      </c>
      <c r="S185" s="84"/>
      <c r="T185" s="82">
        <f>T186+T187+T188+T189+T199</f>
        <v>0</v>
      </c>
      <c r="U185" s="83">
        <f t="shared" ref="U185:AE185" si="76">U186+U187+U188+U189+U199</f>
        <v>0</v>
      </c>
      <c r="V185" s="86">
        <f t="shared" si="76"/>
        <v>0</v>
      </c>
      <c r="W185" s="86">
        <f t="shared" si="76"/>
        <v>0</v>
      </c>
      <c r="X185" s="83">
        <f t="shared" si="76"/>
        <v>0</v>
      </c>
      <c r="Y185" s="86">
        <f t="shared" si="76"/>
        <v>0</v>
      </c>
      <c r="Z185" s="86">
        <f t="shared" si="76"/>
        <v>0</v>
      </c>
      <c r="AA185" s="87">
        <f t="shared" si="76"/>
        <v>0</v>
      </c>
      <c r="AB185" s="85">
        <f t="shared" si="76"/>
        <v>0</v>
      </c>
      <c r="AC185" s="86">
        <f t="shared" si="76"/>
        <v>0</v>
      </c>
      <c r="AD185" s="86">
        <f t="shared" si="76"/>
        <v>0</v>
      </c>
      <c r="AE185" s="87">
        <f t="shared" si="76"/>
        <v>0</v>
      </c>
      <c r="AF185" s="52">
        <f t="shared" si="52"/>
        <v>0</v>
      </c>
      <c r="AG185" s="180"/>
    </row>
    <row r="186" spans="1:33" s="18" customFormat="1" ht="25.5" hidden="1" customHeight="1" x14ac:dyDescent="0.25">
      <c r="A186" s="118" t="s">
        <v>69</v>
      </c>
      <c r="B186" s="88" t="s">
        <v>754</v>
      </c>
      <c r="C186" s="646" t="s">
        <v>415</v>
      </c>
      <c r="D186" s="647"/>
      <c r="E186" s="647"/>
      <c r="F186" s="383">
        <v>0</v>
      </c>
      <c r="G186" s="383">
        <v>0</v>
      </c>
      <c r="H186" s="383">
        <v>0</v>
      </c>
      <c r="I186" s="383">
        <v>0</v>
      </c>
      <c r="J186" s="383">
        <v>0</v>
      </c>
      <c r="K186" s="383">
        <f t="shared" si="59"/>
        <v>0</v>
      </c>
      <c r="L186" s="90"/>
      <c r="M186" s="93"/>
      <c r="N186" s="93"/>
      <c r="O186" s="93"/>
      <c r="P186" s="91"/>
      <c r="Q186" s="94"/>
      <c r="R186" s="94"/>
      <c r="S186" s="92"/>
      <c r="T186" s="90"/>
      <c r="U186" s="91"/>
      <c r="V186" s="94"/>
      <c r="W186" s="94"/>
      <c r="X186" s="91"/>
      <c r="Y186" s="94"/>
      <c r="Z186" s="94"/>
      <c r="AA186" s="95"/>
      <c r="AB186" s="346"/>
      <c r="AC186" s="94"/>
      <c r="AD186" s="94"/>
      <c r="AE186" s="95"/>
      <c r="AF186" s="52">
        <f t="shared" si="52"/>
        <v>0</v>
      </c>
      <c r="AG186" s="180"/>
    </row>
    <row r="187" spans="1:33" s="18" customFormat="1" ht="25.5" hidden="1" customHeight="1" x14ac:dyDescent="0.25">
      <c r="A187" s="118" t="s">
        <v>70</v>
      </c>
      <c r="B187" s="88" t="s">
        <v>755</v>
      </c>
      <c r="C187" s="646" t="s">
        <v>71</v>
      </c>
      <c r="D187" s="647"/>
      <c r="E187" s="647"/>
      <c r="F187" s="383">
        <v>0</v>
      </c>
      <c r="G187" s="383">
        <v>0</v>
      </c>
      <c r="H187" s="383">
        <v>0</v>
      </c>
      <c r="I187" s="383">
        <v>0</v>
      </c>
      <c r="J187" s="383">
        <v>0</v>
      </c>
      <c r="K187" s="383">
        <f t="shared" si="59"/>
        <v>0</v>
      </c>
      <c r="L187" s="90"/>
      <c r="M187" s="93"/>
      <c r="N187" s="93"/>
      <c r="O187" s="93"/>
      <c r="P187" s="91"/>
      <c r="Q187" s="94"/>
      <c r="R187" s="94"/>
      <c r="S187" s="92"/>
      <c r="T187" s="90"/>
      <c r="U187" s="91"/>
      <c r="V187" s="94"/>
      <c r="W187" s="94"/>
      <c r="X187" s="91"/>
      <c r="Y187" s="94"/>
      <c r="Z187" s="94"/>
      <c r="AA187" s="95"/>
      <c r="AB187" s="346"/>
      <c r="AC187" s="94"/>
      <c r="AD187" s="94"/>
      <c r="AE187" s="95"/>
      <c r="AF187" s="52">
        <f t="shared" si="52"/>
        <v>0</v>
      </c>
      <c r="AG187" s="180"/>
    </row>
    <row r="188" spans="1:33" s="18" customFormat="1" ht="25.5" hidden="1" customHeight="1" x14ac:dyDescent="0.25">
      <c r="A188" s="118" t="s">
        <v>72</v>
      </c>
      <c r="B188" s="88" t="s">
        <v>756</v>
      </c>
      <c r="C188" s="646" t="s">
        <v>73</v>
      </c>
      <c r="D188" s="647"/>
      <c r="E188" s="647"/>
      <c r="F188" s="383">
        <v>0</v>
      </c>
      <c r="G188" s="383">
        <v>0</v>
      </c>
      <c r="H188" s="383">
        <v>0</v>
      </c>
      <c r="I188" s="383">
        <v>0</v>
      </c>
      <c r="J188" s="383">
        <v>0</v>
      </c>
      <c r="K188" s="383">
        <f t="shared" si="59"/>
        <v>0</v>
      </c>
      <c r="L188" s="90"/>
      <c r="M188" s="93"/>
      <c r="N188" s="93"/>
      <c r="O188" s="93"/>
      <c r="P188" s="91"/>
      <c r="Q188" s="94"/>
      <c r="R188" s="94"/>
      <c r="S188" s="92"/>
      <c r="T188" s="90"/>
      <c r="U188" s="91"/>
      <c r="V188" s="94"/>
      <c r="W188" s="94"/>
      <c r="X188" s="91"/>
      <c r="Y188" s="94"/>
      <c r="Z188" s="94"/>
      <c r="AA188" s="95"/>
      <c r="AB188" s="346"/>
      <c r="AC188" s="94"/>
      <c r="AD188" s="94"/>
      <c r="AE188" s="95"/>
      <c r="AF188" s="52">
        <f t="shared" si="52"/>
        <v>0</v>
      </c>
      <c r="AG188" s="180"/>
    </row>
    <row r="189" spans="1:33" s="18" customFormat="1" ht="25.5" hidden="1" customHeight="1" x14ac:dyDescent="0.25">
      <c r="A189" s="118" t="s">
        <v>74</v>
      </c>
      <c r="B189" s="88" t="s">
        <v>757</v>
      </c>
      <c r="C189" s="646" t="s">
        <v>604</v>
      </c>
      <c r="D189" s="647"/>
      <c r="E189" s="647"/>
      <c r="F189" s="383">
        <v>0</v>
      </c>
      <c r="G189" s="383">
        <v>0</v>
      </c>
      <c r="H189" s="383">
        <v>0</v>
      </c>
      <c r="I189" s="383">
        <v>0</v>
      </c>
      <c r="J189" s="383">
        <v>0</v>
      </c>
      <c r="K189" s="383">
        <f t="shared" si="59"/>
        <v>0</v>
      </c>
      <c r="L189" s="90">
        <f t="shared" ref="L189:R189" si="77">L190+L191+L192+L193+L194+L195+L196+L197+L198</f>
        <v>0</v>
      </c>
      <c r="M189" s="93">
        <f t="shared" si="77"/>
        <v>0</v>
      </c>
      <c r="N189" s="93">
        <f t="shared" si="77"/>
        <v>0</v>
      </c>
      <c r="O189" s="93">
        <f t="shared" si="77"/>
        <v>0</v>
      </c>
      <c r="P189" s="91">
        <f t="shared" si="77"/>
        <v>0</v>
      </c>
      <c r="Q189" s="94"/>
      <c r="R189" s="94">
        <f t="shared" si="77"/>
        <v>0</v>
      </c>
      <c r="S189" s="92"/>
      <c r="T189" s="90">
        <f>T190+T191+T192+T193+T194+T195+T196+T197+T198</f>
        <v>0</v>
      </c>
      <c r="U189" s="91">
        <f t="shared" ref="U189:AE189" si="78">U190+U191+U192+U193+U194+U195+U196+U197+U198</f>
        <v>0</v>
      </c>
      <c r="V189" s="94">
        <f t="shared" si="78"/>
        <v>0</v>
      </c>
      <c r="W189" s="94">
        <f t="shared" si="78"/>
        <v>0</v>
      </c>
      <c r="X189" s="91">
        <f t="shared" si="78"/>
        <v>0</v>
      </c>
      <c r="Y189" s="94">
        <f t="shared" si="78"/>
        <v>0</v>
      </c>
      <c r="Z189" s="94">
        <f t="shared" si="78"/>
        <v>0</v>
      </c>
      <c r="AA189" s="95">
        <f t="shared" si="78"/>
        <v>0</v>
      </c>
      <c r="AB189" s="346">
        <f t="shared" si="78"/>
        <v>0</v>
      </c>
      <c r="AC189" s="94">
        <f t="shared" si="78"/>
        <v>0</v>
      </c>
      <c r="AD189" s="94">
        <f t="shared" si="78"/>
        <v>0</v>
      </c>
      <c r="AE189" s="95">
        <f t="shared" si="78"/>
        <v>0</v>
      </c>
      <c r="AF189" s="52">
        <f t="shared" si="52"/>
        <v>0</v>
      </c>
      <c r="AG189" s="180"/>
    </row>
    <row r="190" spans="1:33" ht="15" hidden="1" customHeight="1" x14ac:dyDescent="0.25">
      <c r="B190" s="54"/>
      <c r="C190" s="2"/>
      <c r="D190" s="624" t="s">
        <v>416</v>
      </c>
      <c r="E190" s="624"/>
      <c r="F190" s="76"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f t="shared" si="59"/>
        <v>0</v>
      </c>
      <c r="L190" s="72"/>
      <c r="M190" s="42"/>
      <c r="N190" s="42"/>
      <c r="O190" s="42"/>
      <c r="P190" s="1"/>
      <c r="Q190" s="78"/>
      <c r="R190" s="78"/>
      <c r="S190" s="73"/>
      <c r="T190" s="72"/>
      <c r="U190" s="1"/>
      <c r="V190" s="78"/>
      <c r="W190" s="78"/>
      <c r="X190" s="1"/>
      <c r="Y190" s="78"/>
      <c r="Z190" s="78"/>
      <c r="AA190" s="44"/>
      <c r="AB190" s="343"/>
      <c r="AC190" s="78"/>
      <c r="AD190" s="78"/>
      <c r="AE190" s="44"/>
      <c r="AF190" s="52">
        <f t="shared" si="52"/>
        <v>0</v>
      </c>
      <c r="AG190" s="180"/>
    </row>
    <row r="191" spans="1:33" ht="15" hidden="1" customHeight="1" x14ac:dyDescent="0.25">
      <c r="B191" s="54"/>
      <c r="C191" s="2"/>
      <c r="D191" s="624" t="s">
        <v>418</v>
      </c>
      <c r="E191" s="624"/>
      <c r="F191" s="76"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f t="shared" si="59"/>
        <v>0</v>
      </c>
      <c r="L191" s="72"/>
      <c r="M191" s="42"/>
      <c r="N191" s="42"/>
      <c r="O191" s="42"/>
      <c r="P191" s="1"/>
      <c r="Q191" s="78"/>
      <c r="R191" s="78"/>
      <c r="S191" s="73"/>
      <c r="T191" s="72"/>
      <c r="U191" s="1"/>
      <c r="V191" s="78"/>
      <c r="W191" s="78"/>
      <c r="X191" s="1"/>
      <c r="Y191" s="78"/>
      <c r="Z191" s="78"/>
      <c r="AA191" s="44"/>
      <c r="AB191" s="343"/>
      <c r="AC191" s="78"/>
      <c r="AD191" s="78"/>
      <c r="AE191" s="44"/>
      <c r="AF191" s="52">
        <f t="shared" si="52"/>
        <v>0</v>
      </c>
      <c r="AG191" s="180"/>
    </row>
    <row r="192" spans="1:33" ht="15" hidden="1" customHeight="1" x14ac:dyDescent="0.25">
      <c r="B192" s="54"/>
      <c r="C192" s="2"/>
      <c r="D192" s="624" t="s">
        <v>419</v>
      </c>
      <c r="E192" s="624"/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f t="shared" si="59"/>
        <v>0</v>
      </c>
      <c r="L192" s="72"/>
      <c r="M192" s="42"/>
      <c r="N192" s="42"/>
      <c r="O192" s="42"/>
      <c r="P192" s="1"/>
      <c r="Q192" s="78"/>
      <c r="R192" s="78"/>
      <c r="S192" s="73"/>
      <c r="T192" s="72"/>
      <c r="U192" s="1"/>
      <c r="V192" s="78"/>
      <c r="W192" s="78"/>
      <c r="X192" s="1"/>
      <c r="Y192" s="78"/>
      <c r="Z192" s="78"/>
      <c r="AA192" s="44"/>
      <c r="AB192" s="343"/>
      <c r="AC192" s="78"/>
      <c r="AD192" s="78"/>
      <c r="AE192" s="44"/>
      <c r="AF192" s="52">
        <f t="shared" si="52"/>
        <v>0</v>
      </c>
      <c r="AG192" s="180"/>
    </row>
    <row r="193" spans="1:33" ht="15" hidden="1" customHeight="1" x14ac:dyDescent="0.25">
      <c r="B193" s="54"/>
      <c r="C193" s="2"/>
      <c r="D193" s="624" t="s">
        <v>417</v>
      </c>
      <c r="E193" s="624"/>
      <c r="F193" s="76"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f t="shared" si="59"/>
        <v>0</v>
      </c>
      <c r="L193" s="72"/>
      <c r="M193" s="42"/>
      <c r="N193" s="42"/>
      <c r="O193" s="42"/>
      <c r="P193" s="1"/>
      <c r="Q193" s="78"/>
      <c r="R193" s="78"/>
      <c r="S193" s="73"/>
      <c r="T193" s="72"/>
      <c r="U193" s="1"/>
      <c r="V193" s="78"/>
      <c r="W193" s="78"/>
      <c r="X193" s="1"/>
      <c r="Y193" s="78"/>
      <c r="Z193" s="78"/>
      <c r="AA193" s="44"/>
      <c r="AB193" s="343"/>
      <c r="AC193" s="78"/>
      <c r="AD193" s="78"/>
      <c r="AE193" s="44"/>
      <c r="AF193" s="52">
        <f t="shared" si="52"/>
        <v>0</v>
      </c>
      <c r="AG193" s="180"/>
    </row>
    <row r="194" spans="1:33" ht="15" hidden="1" customHeight="1" x14ac:dyDescent="0.25">
      <c r="B194" s="54"/>
      <c r="C194" s="2"/>
      <c r="D194" s="624" t="s">
        <v>420</v>
      </c>
      <c r="E194" s="624"/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76">
        <f t="shared" si="59"/>
        <v>0</v>
      </c>
      <c r="L194" s="72"/>
      <c r="M194" s="42"/>
      <c r="N194" s="42"/>
      <c r="O194" s="42"/>
      <c r="P194" s="1"/>
      <c r="Q194" s="78"/>
      <c r="R194" s="78"/>
      <c r="S194" s="73"/>
      <c r="T194" s="72"/>
      <c r="U194" s="1"/>
      <c r="V194" s="78"/>
      <c r="W194" s="78"/>
      <c r="X194" s="1"/>
      <c r="Y194" s="78"/>
      <c r="Z194" s="78"/>
      <c r="AA194" s="44"/>
      <c r="AB194" s="343"/>
      <c r="AC194" s="78"/>
      <c r="AD194" s="78"/>
      <c r="AE194" s="44"/>
      <c r="AF194" s="52">
        <f t="shared" si="52"/>
        <v>0</v>
      </c>
      <c r="AG194" s="180"/>
    </row>
    <row r="195" spans="1:33" ht="25.5" hidden="1" customHeight="1" x14ac:dyDescent="0.25">
      <c r="B195" s="54"/>
      <c r="C195" s="2"/>
      <c r="D195" s="625" t="s">
        <v>492</v>
      </c>
      <c r="E195" s="625"/>
      <c r="F195" s="76"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f t="shared" si="59"/>
        <v>0</v>
      </c>
      <c r="L195" s="72"/>
      <c r="M195" s="42"/>
      <c r="N195" s="42"/>
      <c r="O195" s="42"/>
      <c r="P195" s="1"/>
      <c r="Q195" s="78"/>
      <c r="R195" s="78"/>
      <c r="S195" s="73"/>
      <c r="T195" s="72"/>
      <c r="U195" s="1"/>
      <c r="V195" s="78"/>
      <c r="W195" s="78"/>
      <c r="X195" s="1"/>
      <c r="Y195" s="78"/>
      <c r="Z195" s="78"/>
      <c r="AA195" s="44"/>
      <c r="AB195" s="343"/>
      <c r="AC195" s="78"/>
      <c r="AD195" s="78"/>
      <c r="AE195" s="44"/>
      <c r="AF195" s="52">
        <f t="shared" si="52"/>
        <v>0</v>
      </c>
      <c r="AG195" s="180"/>
    </row>
    <row r="196" spans="1:33" ht="25.5" hidden="1" customHeight="1" x14ac:dyDescent="0.25">
      <c r="B196" s="54"/>
      <c r="C196" s="2"/>
      <c r="D196" s="625" t="s">
        <v>493</v>
      </c>
      <c r="E196" s="625"/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f t="shared" si="59"/>
        <v>0</v>
      </c>
      <c r="L196" s="72"/>
      <c r="M196" s="42"/>
      <c r="N196" s="42"/>
      <c r="O196" s="42"/>
      <c r="P196" s="1"/>
      <c r="Q196" s="78"/>
      <c r="R196" s="78"/>
      <c r="S196" s="73"/>
      <c r="T196" s="72"/>
      <c r="U196" s="1"/>
      <c r="V196" s="78"/>
      <c r="W196" s="78"/>
      <c r="X196" s="1"/>
      <c r="Y196" s="78"/>
      <c r="Z196" s="78"/>
      <c r="AA196" s="44"/>
      <c r="AB196" s="343"/>
      <c r="AC196" s="78"/>
      <c r="AD196" s="78"/>
      <c r="AE196" s="44"/>
      <c r="AF196" s="52">
        <f t="shared" si="52"/>
        <v>0</v>
      </c>
      <c r="AG196" s="180"/>
    </row>
    <row r="197" spans="1:33" ht="15" hidden="1" customHeight="1" x14ac:dyDescent="0.25">
      <c r="B197" s="54"/>
      <c r="C197" s="2"/>
      <c r="D197" s="624" t="s">
        <v>421</v>
      </c>
      <c r="E197" s="624"/>
      <c r="F197" s="76">
        <v>0</v>
      </c>
      <c r="G197" s="76">
        <v>0</v>
      </c>
      <c r="H197" s="76">
        <v>0</v>
      </c>
      <c r="I197" s="76">
        <v>0</v>
      </c>
      <c r="J197" s="76">
        <v>0</v>
      </c>
      <c r="K197" s="76">
        <f t="shared" si="59"/>
        <v>0</v>
      </c>
      <c r="L197" s="72"/>
      <c r="M197" s="42"/>
      <c r="N197" s="42"/>
      <c r="O197" s="42"/>
      <c r="P197" s="1"/>
      <c r="Q197" s="78"/>
      <c r="R197" s="78"/>
      <c r="S197" s="73"/>
      <c r="T197" s="72"/>
      <c r="U197" s="1"/>
      <c r="V197" s="78"/>
      <c r="W197" s="78"/>
      <c r="X197" s="1"/>
      <c r="Y197" s="78"/>
      <c r="Z197" s="78"/>
      <c r="AA197" s="44"/>
      <c r="AB197" s="343"/>
      <c r="AC197" s="78"/>
      <c r="AD197" s="78"/>
      <c r="AE197" s="44"/>
      <c r="AF197" s="52">
        <f t="shared" si="52"/>
        <v>0</v>
      </c>
      <c r="AG197" s="180"/>
    </row>
    <row r="198" spans="1:33" ht="26.25" hidden="1" customHeight="1" x14ac:dyDescent="0.25">
      <c r="B198" s="54"/>
      <c r="C198" s="2"/>
      <c r="D198" s="625" t="s">
        <v>494</v>
      </c>
      <c r="E198" s="625"/>
      <c r="F198" s="76"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f t="shared" si="59"/>
        <v>0</v>
      </c>
      <c r="L198" s="72"/>
      <c r="M198" s="42"/>
      <c r="N198" s="42"/>
      <c r="O198" s="42"/>
      <c r="P198" s="1"/>
      <c r="Q198" s="78"/>
      <c r="R198" s="78"/>
      <c r="S198" s="73"/>
      <c r="T198" s="72"/>
      <c r="U198" s="1"/>
      <c r="V198" s="78"/>
      <c r="W198" s="78"/>
      <c r="X198" s="1"/>
      <c r="Y198" s="78"/>
      <c r="Z198" s="78"/>
      <c r="AA198" s="44"/>
      <c r="AB198" s="343"/>
      <c r="AC198" s="78"/>
      <c r="AD198" s="78"/>
      <c r="AE198" s="44"/>
      <c r="AF198" s="52">
        <f t="shared" ref="AF198:AF261" si="79">K198-J198</f>
        <v>0</v>
      </c>
      <c r="AG198" s="180"/>
    </row>
    <row r="199" spans="1:33" s="18" customFormat="1" ht="15" hidden="1" customHeight="1" x14ac:dyDescent="0.25">
      <c r="A199" s="118" t="s">
        <v>75</v>
      </c>
      <c r="B199" s="88" t="s">
        <v>758</v>
      </c>
      <c r="C199" s="626" t="s">
        <v>76</v>
      </c>
      <c r="D199" s="627"/>
      <c r="E199" s="627"/>
      <c r="F199" s="383">
        <v>0</v>
      </c>
      <c r="G199" s="383">
        <v>0</v>
      </c>
      <c r="H199" s="383">
        <v>0</v>
      </c>
      <c r="I199" s="383">
        <v>0</v>
      </c>
      <c r="J199" s="383">
        <v>0</v>
      </c>
      <c r="K199" s="383">
        <f t="shared" si="59"/>
        <v>0</v>
      </c>
      <c r="L199" s="90">
        <f t="shared" ref="L199:R199" si="80">L200+L201+L202+L203+L204+L205+L206+L207+L208+L209+L210</f>
        <v>0</v>
      </c>
      <c r="M199" s="93">
        <f t="shared" si="80"/>
        <v>0</v>
      </c>
      <c r="N199" s="93">
        <f t="shared" si="80"/>
        <v>0</v>
      </c>
      <c r="O199" s="93">
        <f t="shared" si="80"/>
        <v>0</v>
      </c>
      <c r="P199" s="91">
        <f t="shared" si="80"/>
        <v>0</v>
      </c>
      <c r="Q199" s="94"/>
      <c r="R199" s="94">
        <f t="shared" si="80"/>
        <v>0</v>
      </c>
      <c r="S199" s="92"/>
      <c r="T199" s="90">
        <f>T200+T201+T202+T203+T204+T205+T206+T207+T208+T209+T210</f>
        <v>0</v>
      </c>
      <c r="U199" s="91">
        <f t="shared" ref="U199:AE199" si="81">U200+U201+U202+U203+U204+U205+U206+U207+U208+U209+U210</f>
        <v>0</v>
      </c>
      <c r="V199" s="94">
        <f t="shared" si="81"/>
        <v>0</v>
      </c>
      <c r="W199" s="94">
        <f t="shared" si="81"/>
        <v>0</v>
      </c>
      <c r="X199" s="91">
        <f t="shared" si="81"/>
        <v>0</v>
      </c>
      <c r="Y199" s="94">
        <f t="shared" si="81"/>
        <v>0</v>
      </c>
      <c r="Z199" s="94">
        <f t="shared" si="81"/>
        <v>0</v>
      </c>
      <c r="AA199" s="95">
        <f t="shared" si="81"/>
        <v>0</v>
      </c>
      <c r="AB199" s="346">
        <f t="shared" si="81"/>
        <v>0</v>
      </c>
      <c r="AC199" s="94">
        <f t="shared" si="81"/>
        <v>0</v>
      </c>
      <c r="AD199" s="94">
        <f t="shared" si="81"/>
        <v>0</v>
      </c>
      <c r="AE199" s="95">
        <f t="shared" si="81"/>
        <v>0</v>
      </c>
      <c r="AF199" s="52">
        <f t="shared" si="79"/>
        <v>0</v>
      </c>
      <c r="AG199" s="180"/>
    </row>
    <row r="200" spans="1:33" ht="15" hidden="1" customHeight="1" x14ac:dyDescent="0.25">
      <c r="B200" s="54"/>
      <c r="C200" s="2"/>
      <c r="D200" s="624" t="s">
        <v>422</v>
      </c>
      <c r="E200" s="624"/>
      <c r="F200" s="76"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f t="shared" si="59"/>
        <v>0</v>
      </c>
      <c r="L200" s="72"/>
      <c r="M200" s="42"/>
      <c r="N200" s="42"/>
      <c r="O200" s="42"/>
      <c r="P200" s="1"/>
      <c r="Q200" s="78"/>
      <c r="R200" s="78"/>
      <c r="S200" s="73"/>
      <c r="T200" s="72"/>
      <c r="U200" s="1"/>
      <c r="V200" s="78"/>
      <c r="W200" s="78"/>
      <c r="X200" s="1"/>
      <c r="Y200" s="78"/>
      <c r="Z200" s="78"/>
      <c r="AA200" s="44"/>
      <c r="AB200" s="343"/>
      <c r="AC200" s="78"/>
      <c r="AD200" s="78"/>
      <c r="AE200" s="44"/>
      <c r="AF200" s="52">
        <f t="shared" si="79"/>
        <v>0</v>
      </c>
      <c r="AG200" s="180"/>
    </row>
    <row r="201" spans="1:33" ht="15" hidden="1" customHeight="1" x14ac:dyDescent="0.25">
      <c r="B201" s="54"/>
      <c r="C201" s="2"/>
      <c r="D201" s="624" t="s">
        <v>425</v>
      </c>
      <c r="E201" s="624"/>
      <c r="F201" s="76">
        <v>0</v>
      </c>
      <c r="G201" s="76">
        <v>0</v>
      </c>
      <c r="H201" s="76">
        <v>0</v>
      </c>
      <c r="I201" s="76">
        <v>0</v>
      </c>
      <c r="J201" s="76">
        <v>0</v>
      </c>
      <c r="K201" s="76">
        <f t="shared" si="59"/>
        <v>0</v>
      </c>
      <c r="L201" s="72"/>
      <c r="M201" s="42"/>
      <c r="N201" s="42"/>
      <c r="O201" s="42"/>
      <c r="P201" s="1"/>
      <c r="Q201" s="78"/>
      <c r="R201" s="78"/>
      <c r="S201" s="73"/>
      <c r="T201" s="72"/>
      <c r="U201" s="1"/>
      <c r="V201" s="78"/>
      <c r="W201" s="78"/>
      <c r="X201" s="1"/>
      <c r="Y201" s="78"/>
      <c r="Z201" s="78"/>
      <c r="AA201" s="44"/>
      <c r="AB201" s="343"/>
      <c r="AC201" s="78"/>
      <c r="AD201" s="78"/>
      <c r="AE201" s="44"/>
      <c r="AF201" s="52">
        <f t="shared" si="79"/>
        <v>0</v>
      </c>
      <c r="AG201" s="180"/>
    </row>
    <row r="202" spans="1:33" ht="15" hidden="1" customHeight="1" x14ac:dyDescent="0.25">
      <c r="B202" s="54"/>
      <c r="C202" s="2"/>
      <c r="D202" s="624" t="s">
        <v>426</v>
      </c>
      <c r="E202" s="624"/>
      <c r="F202" s="76">
        <v>0</v>
      </c>
      <c r="G202" s="76">
        <v>0</v>
      </c>
      <c r="H202" s="76">
        <v>0</v>
      </c>
      <c r="I202" s="76">
        <v>0</v>
      </c>
      <c r="J202" s="76">
        <v>0</v>
      </c>
      <c r="K202" s="76">
        <f t="shared" si="59"/>
        <v>0</v>
      </c>
      <c r="L202" s="72"/>
      <c r="M202" s="42"/>
      <c r="N202" s="42"/>
      <c r="O202" s="42"/>
      <c r="P202" s="1"/>
      <c r="Q202" s="78"/>
      <c r="R202" s="78"/>
      <c r="S202" s="73"/>
      <c r="T202" s="72"/>
      <c r="U202" s="1"/>
      <c r="V202" s="78"/>
      <c r="W202" s="78"/>
      <c r="X202" s="1"/>
      <c r="Y202" s="78"/>
      <c r="Z202" s="78"/>
      <c r="AA202" s="44"/>
      <c r="AB202" s="343"/>
      <c r="AC202" s="78"/>
      <c r="AD202" s="78"/>
      <c r="AE202" s="44"/>
      <c r="AF202" s="52">
        <f t="shared" si="79"/>
        <v>0</v>
      </c>
      <c r="AG202" s="180"/>
    </row>
    <row r="203" spans="1:33" ht="15" hidden="1" customHeight="1" x14ac:dyDescent="0.25">
      <c r="B203" s="54"/>
      <c r="C203" s="2"/>
      <c r="D203" s="624" t="s">
        <v>423</v>
      </c>
      <c r="E203" s="624"/>
      <c r="F203" s="76"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f t="shared" si="59"/>
        <v>0</v>
      </c>
      <c r="L203" s="72"/>
      <c r="M203" s="42"/>
      <c r="N203" s="42"/>
      <c r="O203" s="42"/>
      <c r="P203" s="1"/>
      <c r="Q203" s="78"/>
      <c r="R203" s="78"/>
      <c r="S203" s="73"/>
      <c r="T203" s="72"/>
      <c r="U203" s="1"/>
      <c r="V203" s="78"/>
      <c r="W203" s="78"/>
      <c r="X203" s="1"/>
      <c r="Y203" s="78"/>
      <c r="Z203" s="78"/>
      <c r="AA203" s="44"/>
      <c r="AB203" s="343"/>
      <c r="AC203" s="78"/>
      <c r="AD203" s="78"/>
      <c r="AE203" s="44"/>
      <c r="AF203" s="52">
        <f t="shared" si="79"/>
        <v>0</v>
      </c>
      <c r="AG203" s="180"/>
    </row>
    <row r="204" spans="1:33" ht="15" hidden="1" customHeight="1" x14ac:dyDescent="0.25">
      <c r="B204" s="54"/>
      <c r="C204" s="2"/>
      <c r="D204" s="624" t="s">
        <v>427</v>
      </c>
      <c r="E204" s="624"/>
      <c r="F204" s="76">
        <v>0</v>
      </c>
      <c r="G204" s="76">
        <v>0</v>
      </c>
      <c r="H204" s="76">
        <v>0</v>
      </c>
      <c r="I204" s="76">
        <v>0</v>
      </c>
      <c r="J204" s="76">
        <v>0</v>
      </c>
      <c r="K204" s="76">
        <f t="shared" si="59"/>
        <v>0</v>
      </c>
      <c r="L204" s="72"/>
      <c r="M204" s="42"/>
      <c r="N204" s="42"/>
      <c r="O204" s="42"/>
      <c r="P204" s="1"/>
      <c r="Q204" s="78"/>
      <c r="R204" s="78"/>
      <c r="S204" s="73"/>
      <c r="T204" s="72"/>
      <c r="U204" s="1"/>
      <c r="V204" s="78"/>
      <c r="W204" s="78"/>
      <c r="X204" s="1"/>
      <c r="Y204" s="78"/>
      <c r="Z204" s="78"/>
      <c r="AA204" s="44"/>
      <c r="AB204" s="343"/>
      <c r="AC204" s="78"/>
      <c r="AD204" s="78"/>
      <c r="AE204" s="44"/>
      <c r="AF204" s="52">
        <f t="shared" si="79"/>
        <v>0</v>
      </c>
      <c r="AG204" s="180"/>
    </row>
    <row r="205" spans="1:33" ht="25.5" hidden="1" customHeight="1" x14ac:dyDescent="0.25">
      <c r="B205" s="54"/>
      <c r="C205" s="2"/>
      <c r="D205" s="625" t="s">
        <v>495</v>
      </c>
      <c r="E205" s="625"/>
      <c r="F205" s="76"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f t="shared" ref="K205:K268" si="82">SUM(T205:AE205)</f>
        <v>0</v>
      </c>
      <c r="L205" s="72"/>
      <c r="M205" s="42"/>
      <c r="N205" s="42"/>
      <c r="O205" s="42"/>
      <c r="P205" s="1"/>
      <c r="Q205" s="78"/>
      <c r="R205" s="78"/>
      <c r="S205" s="73"/>
      <c r="T205" s="72"/>
      <c r="U205" s="1"/>
      <c r="V205" s="78"/>
      <c r="W205" s="78"/>
      <c r="X205" s="1"/>
      <c r="Y205" s="78"/>
      <c r="Z205" s="78"/>
      <c r="AA205" s="44"/>
      <c r="AB205" s="343"/>
      <c r="AC205" s="78"/>
      <c r="AD205" s="78"/>
      <c r="AE205" s="44"/>
      <c r="AF205" s="52">
        <f t="shared" si="79"/>
        <v>0</v>
      </c>
      <c r="AG205" s="180"/>
    </row>
    <row r="206" spans="1:33" ht="25.5" hidden="1" customHeight="1" x14ac:dyDescent="0.25">
      <c r="B206" s="54"/>
      <c r="C206" s="2"/>
      <c r="D206" s="625" t="s">
        <v>496</v>
      </c>
      <c r="E206" s="625"/>
      <c r="F206" s="76"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f t="shared" si="82"/>
        <v>0</v>
      </c>
      <c r="L206" s="72"/>
      <c r="M206" s="42"/>
      <c r="N206" s="42"/>
      <c r="O206" s="42"/>
      <c r="P206" s="1"/>
      <c r="Q206" s="78"/>
      <c r="R206" s="78"/>
      <c r="S206" s="73"/>
      <c r="T206" s="72"/>
      <c r="U206" s="1"/>
      <c r="V206" s="78"/>
      <c r="W206" s="78"/>
      <c r="X206" s="1"/>
      <c r="Y206" s="78"/>
      <c r="Z206" s="78"/>
      <c r="AA206" s="44"/>
      <c r="AB206" s="343"/>
      <c r="AC206" s="78"/>
      <c r="AD206" s="78"/>
      <c r="AE206" s="44"/>
      <c r="AF206" s="52">
        <f t="shared" si="79"/>
        <v>0</v>
      </c>
      <c r="AG206" s="180"/>
    </row>
    <row r="207" spans="1:33" ht="15" hidden="1" customHeight="1" x14ac:dyDescent="0.25">
      <c r="B207" s="54"/>
      <c r="C207" s="2"/>
      <c r="D207" s="624" t="s">
        <v>428</v>
      </c>
      <c r="E207" s="624"/>
      <c r="F207" s="76">
        <v>0</v>
      </c>
      <c r="G207" s="76">
        <v>0</v>
      </c>
      <c r="H207" s="76">
        <v>0</v>
      </c>
      <c r="I207" s="76">
        <v>0</v>
      </c>
      <c r="J207" s="76">
        <v>0</v>
      </c>
      <c r="K207" s="76">
        <f t="shared" si="82"/>
        <v>0</v>
      </c>
      <c r="L207" s="72"/>
      <c r="M207" s="42"/>
      <c r="N207" s="42"/>
      <c r="O207" s="42"/>
      <c r="P207" s="1"/>
      <c r="Q207" s="78"/>
      <c r="R207" s="78"/>
      <c r="S207" s="73"/>
      <c r="T207" s="72"/>
      <c r="U207" s="1"/>
      <c r="V207" s="78"/>
      <c r="W207" s="78"/>
      <c r="X207" s="1"/>
      <c r="Y207" s="78"/>
      <c r="Z207" s="78"/>
      <c r="AA207" s="44"/>
      <c r="AB207" s="343"/>
      <c r="AC207" s="78"/>
      <c r="AD207" s="78"/>
      <c r="AE207" s="44"/>
      <c r="AF207" s="52">
        <f t="shared" si="79"/>
        <v>0</v>
      </c>
      <c r="AG207" s="180"/>
    </row>
    <row r="208" spans="1:33" ht="15" hidden="1" customHeight="1" x14ac:dyDescent="0.25">
      <c r="B208" s="54"/>
      <c r="C208" s="2"/>
      <c r="D208" s="624" t="s">
        <v>424</v>
      </c>
      <c r="E208" s="624"/>
      <c r="F208" s="76"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f t="shared" si="82"/>
        <v>0</v>
      </c>
      <c r="L208" s="72"/>
      <c r="M208" s="42"/>
      <c r="N208" s="42"/>
      <c r="O208" s="42"/>
      <c r="P208" s="1"/>
      <c r="Q208" s="78"/>
      <c r="R208" s="78"/>
      <c r="S208" s="73"/>
      <c r="T208" s="72"/>
      <c r="U208" s="1"/>
      <c r="V208" s="78"/>
      <c r="W208" s="78"/>
      <c r="X208" s="1"/>
      <c r="Y208" s="78"/>
      <c r="Z208" s="78"/>
      <c r="AA208" s="44"/>
      <c r="AB208" s="343"/>
      <c r="AC208" s="78"/>
      <c r="AD208" s="78"/>
      <c r="AE208" s="44"/>
      <c r="AF208" s="52">
        <f t="shared" si="79"/>
        <v>0</v>
      </c>
      <c r="AG208" s="180"/>
    </row>
    <row r="209" spans="1:33" ht="25.5" hidden="1" customHeight="1" x14ac:dyDescent="0.25">
      <c r="B209" s="54"/>
      <c r="C209" s="2"/>
      <c r="D209" s="625" t="s">
        <v>497</v>
      </c>
      <c r="E209" s="625"/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f t="shared" si="82"/>
        <v>0</v>
      </c>
      <c r="L209" s="72"/>
      <c r="M209" s="42"/>
      <c r="N209" s="42"/>
      <c r="O209" s="42"/>
      <c r="P209" s="1"/>
      <c r="Q209" s="78"/>
      <c r="R209" s="78"/>
      <c r="S209" s="73"/>
      <c r="T209" s="72"/>
      <c r="U209" s="1"/>
      <c r="V209" s="78"/>
      <c r="W209" s="78"/>
      <c r="X209" s="1"/>
      <c r="Y209" s="78"/>
      <c r="Z209" s="78"/>
      <c r="AA209" s="44"/>
      <c r="AB209" s="343"/>
      <c r="AC209" s="78"/>
      <c r="AD209" s="78"/>
      <c r="AE209" s="44"/>
      <c r="AF209" s="52">
        <f t="shared" si="79"/>
        <v>0</v>
      </c>
      <c r="AG209" s="180"/>
    </row>
    <row r="210" spans="1:33" ht="15.75" hidden="1" customHeight="1" thickBot="1" x14ac:dyDescent="0.3">
      <c r="B210" s="56"/>
      <c r="C210" s="20"/>
      <c r="D210" s="631" t="s">
        <v>498</v>
      </c>
      <c r="E210" s="631"/>
      <c r="F210" s="76"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f t="shared" si="82"/>
        <v>0</v>
      </c>
      <c r="L210" s="72"/>
      <c r="M210" s="42"/>
      <c r="N210" s="42"/>
      <c r="O210" s="42"/>
      <c r="P210" s="1"/>
      <c r="Q210" s="78"/>
      <c r="R210" s="78"/>
      <c r="S210" s="73"/>
      <c r="T210" s="72"/>
      <c r="U210" s="1"/>
      <c r="V210" s="78"/>
      <c r="W210" s="78"/>
      <c r="X210" s="1"/>
      <c r="Y210" s="78"/>
      <c r="Z210" s="78"/>
      <c r="AA210" s="44"/>
      <c r="AB210" s="343"/>
      <c r="AC210" s="78"/>
      <c r="AD210" s="78"/>
      <c r="AE210" s="44"/>
      <c r="AF210" s="52">
        <f t="shared" si="79"/>
        <v>0</v>
      </c>
      <c r="AG210" s="180"/>
    </row>
    <row r="211" spans="1:33" ht="15.75" thickBot="1" x14ac:dyDescent="0.3">
      <c r="B211" s="96" t="s">
        <v>77</v>
      </c>
      <c r="C211" s="648" t="s">
        <v>78</v>
      </c>
      <c r="D211" s="649"/>
      <c r="E211" s="649"/>
      <c r="F211" s="568">
        <v>100000</v>
      </c>
      <c r="G211" s="568">
        <v>100000</v>
      </c>
      <c r="H211" s="568">
        <v>100000</v>
      </c>
      <c r="I211" s="568">
        <v>100000</v>
      </c>
      <c r="J211" s="568">
        <v>100000</v>
      </c>
      <c r="K211" s="568">
        <f t="shared" si="82"/>
        <v>100000</v>
      </c>
      <c r="L211" s="82">
        <f t="shared" ref="L211:R211" si="83">L212+L213+L214+L215+L225</f>
        <v>0</v>
      </c>
      <c r="M211" s="85">
        <f t="shared" si="83"/>
        <v>0</v>
      </c>
      <c r="N211" s="85">
        <f t="shared" si="83"/>
        <v>0</v>
      </c>
      <c r="O211" s="85">
        <f t="shared" si="83"/>
        <v>0</v>
      </c>
      <c r="P211" s="83">
        <f t="shared" si="83"/>
        <v>0</v>
      </c>
      <c r="Q211" s="86">
        <f>Q225</f>
        <v>100000</v>
      </c>
      <c r="R211" s="86">
        <f t="shared" si="83"/>
        <v>0</v>
      </c>
      <c r="S211" s="84"/>
      <c r="T211" s="82">
        <f>T212+T213+T214+T215+T225</f>
        <v>0</v>
      </c>
      <c r="U211" s="83">
        <f t="shared" ref="U211:AE211" si="84">U212+U213+U214+U215+U225</f>
        <v>0</v>
      </c>
      <c r="V211" s="86">
        <f t="shared" si="84"/>
        <v>0</v>
      </c>
      <c r="W211" s="86">
        <f t="shared" si="84"/>
        <v>0</v>
      </c>
      <c r="X211" s="83">
        <f t="shared" si="84"/>
        <v>0</v>
      </c>
      <c r="Y211" s="86">
        <f t="shared" si="84"/>
        <v>0</v>
      </c>
      <c r="Z211" s="86">
        <f t="shared" si="84"/>
        <v>0</v>
      </c>
      <c r="AA211" s="87">
        <f t="shared" si="84"/>
        <v>0</v>
      </c>
      <c r="AB211" s="338">
        <f t="shared" si="84"/>
        <v>0</v>
      </c>
      <c r="AC211" s="86">
        <f t="shared" si="84"/>
        <v>100000</v>
      </c>
      <c r="AD211" s="86">
        <f t="shared" si="84"/>
        <v>0</v>
      </c>
      <c r="AE211" s="87">
        <f t="shared" si="84"/>
        <v>0</v>
      </c>
      <c r="AF211" s="52">
        <f t="shared" si="79"/>
        <v>0</v>
      </c>
      <c r="AG211" s="180"/>
    </row>
    <row r="212" spans="1:33" s="18" customFormat="1" ht="25.5" hidden="1" customHeight="1" x14ac:dyDescent="0.25">
      <c r="A212" s="118" t="s">
        <v>79</v>
      </c>
      <c r="B212" s="108" t="s">
        <v>759</v>
      </c>
      <c r="C212" s="650" t="s">
        <v>80</v>
      </c>
      <c r="D212" s="651"/>
      <c r="E212" s="651"/>
      <c r="F212" s="383">
        <v>0</v>
      </c>
      <c r="G212" s="383">
        <v>0</v>
      </c>
      <c r="H212" s="383">
        <v>0</v>
      </c>
      <c r="I212" s="383">
        <v>0</v>
      </c>
      <c r="J212" s="383">
        <v>0</v>
      </c>
      <c r="K212" s="383">
        <f t="shared" si="82"/>
        <v>0</v>
      </c>
      <c r="L212" s="90"/>
      <c r="M212" s="93"/>
      <c r="N212" s="93"/>
      <c r="O212" s="93"/>
      <c r="P212" s="91"/>
      <c r="Q212" s="94"/>
      <c r="R212" s="94"/>
      <c r="S212" s="92"/>
      <c r="T212" s="90"/>
      <c r="U212" s="91"/>
      <c r="V212" s="94"/>
      <c r="W212" s="94"/>
      <c r="X212" s="91"/>
      <c r="Y212" s="94"/>
      <c r="Z212" s="94"/>
      <c r="AA212" s="95"/>
      <c r="AB212" s="346"/>
      <c r="AC212" s="94"/>
      <c r="AD212" s="94"/>
      <c r="AE212" s="95"/>
      <c r="AF212" s="52">
        <f t="shared" si="79"/>
        <v>0</v>
      </c>
      <c r="AG212" s="180"/>
    </row>
    <row r="213" spans="1:33" s="18" customFormat="1" ht="15" hidden="1" customHeight="1" x14ac:dyDescent="0.25">
      <c r="A213" s="118" t="s">
        <v>81</v>
      </c>
      <c r="B213" s="88" t="s">
        <v>760</v>
      </c>
      <c r="C213" s="640" t="s">
        <v>940</v>
      </c>
      <c r="D213" s="641"/>
      <c r="E213" s="641"/>
      <c r="F213" s="383">
        <v>0</v>
      </c>
      <c r="G213" s="383">
        <v>0</v>
      </c>
      <c r="H213" s="383">
        <v>0</v>
      </c>
      <c r="I213" s="383">
        <v>0</v>
      </c>
      <c r="J213" s="383">
        <v>0</v>
      </c>
      <c r="K213" s="383">
        <f t="shared" si="82"/>
        <v>0</v>
      </c>
      <c r="L213" s="90"/>
      <c r="M213" s="93"/>
      <c r="N213" s="93"/>
      <c r="O213" s="93"/>
      <c r="P213" s="91"/>
      <c r="Q213" s="94"/>
      <c r="R213" s="94"/>
      <c r="S213" s="92"/>
      <c r="T213" s="90"/>
      <c r="U213" s="91"/>
      <c r="V213" s="94"/>
      <c r="W213" s="94"/>
      <c r="X213" s="91"/>
      <c r="Y213" s="94"/>
      <c r="Z213" s="94"/>
      <c r="AA213" s="95"/>
      <c r="AB213" s="346"/>
      <c r="AC213" s="94"/>
      <c r="AD213" s="94"/>
      <c r="AE213" s="95"/>
      <c r="AF213" s="52">
        <f t="shared" si="79"/>
        <v>0</v>
      </c>
      <c r="AG213" s="180"/>
    </row>
    <row r="214" spans="1:33" s="18" customFormat="1" ht="25.5" hidden="1" customHeight="1" x14ac:dyDescent="0.25">
      <c r="A214" s="118" t="s">
        <v>82</v>
      </c>
      <c r="B214" s="88" t="s">
        <v>761</v>
      </c>
      <c r="C214" s="646" t="s">
        <v>941</v>
      </c>
      <c r="D214" s="647"/>
      <c r="E214" s="647"/>
      <c r="F214" s="383">
        <v>0</v>
      </c>
      <c r="G214" s="383">
        <v>0</v>
      </c>
      <c r="H214" s="383">
        <v>0</v>
      </c>
      <c r="I214" s="383">
        <v>0</v>
      </c>
      <c r="J214" s="383">
        <v>0</v>
      </c>
      <c r="K214" s="383">
        <f t="shared" si="82"/>
        <v>0</v>
      </c>
      <c r="L214" s="90"/>
      <c r="M214" s="93"/>
      <c r="N214" s="93"/>
      <c r="O214" s="93"/>
      <c r="P214" s="91"/>
      <c r="Q214" s="94"/>
      <c r="R214" s="94"/>
      <c r="S214" s="92"/>
      <c r="T214" s="90"/>
      <c r="U214" s="91"/>
      <c r="V214" s="94"/>
      <c r="W214" s="94"/>
      <c r="X214" s="91"/>
      <c r="Y214" s="94"/>
      <c r="Z214" s="94"/>
      <c r="AA214" s="95"/>
      <c r="AB214" s="346"/>
      <c r="AC214" s="94"/>
      <c r="AD214" s="94"/>
      <c r="AE214" s="95"/>
      <c r="AF214" s="52">
        <f t="shared" si="79"/>
        <v>0</v>
      </c>
      <c r="AG214" s="180"/>
    </row>
    <row r="215" spans="1:33" s="18" customFormat="1" ht="25.5" hidden="1" customHeight="1" x14ac:dyDescent="0.25">
      <c r="A215" s="118" t="s">
        <v>83</v>
      </c>
      <c r="B215" s="88" t="s">
        <v>762</v>
      </c>
      <c r="C215" s="646" t="s">
        <v>84</v>
      </c>
      <c r="D215" s="647"/>
      <c r="E215" s="647"/>
      <c r="F215" s="383">
        <v>0</v>
      </c>
      <c r="G215" s="383">
        <v>0</v>
      </c>
      <c r="H215" s="383">
        <v>0</v>
      </c>
      <c r="I215" s="383">
        <v>0</v>
      </c>
      <c r="J215" s="383">
        <v>0</v>
      </c>
      <c r="K215" s="383">
        <f t="shared" si="82"/>
        <v>0</v>
      </c>
      <c r="L215" s="90">
        <f t="shared" ref="L215:R215" si="85">L216+L217+L218+L219+L220+L221+L222+L223+L224</f>
        <v>0</v>
      </c>
      <c r="M215" s="93">
        <f t="shared" si="85"/>
        <v>0</v>
      </c>
      <c r="N215" s="93">
        <f t="shared" si="85"/>
        <v>0</v>
      </c>
      <c r="O215" s="93">
        <f t="shared" si="85"/>
        <v>0</v>
      </c>
      <c r="P215" s="91">
        <f t="shared" si="85"/>
        <v>0</v>
      </c>
      <c r="Q215" s="94"/>
      <c r="R215" s="94">
        <f t="shared" si="85"/>
        <v>0</v>
      </c>
      <c r="S215" s="92"/>
      <c r="T215" s="90">
        <f>T216+T217+T218+T219+T220+T221+T222+T223+T224</f>
        <v>0</v>
      </c>
      <c r="U215" s="91">
        <f t="shared" ref="U215:AE215" si="86">U216+U217+U218+U219+U220+U221+U222+U223+U224</f>
        <v>0</v>
      </c>
      <c r="V215" s="94">
        <f t="shared" si="86"/>
        <v>0</v>
      </c>
      <c r="W215" s="94">
        <f t="shared" si="86"/>
        <v>0</v>
      </c>
      <c r="X215" s="91">
        <f t="shared" si="86"/>
        <v>0</v>
      </c>
      <c r="Y215" s="94">
        <f t="shared" si="86"/>
        <v>0</v>
      </c>
      <c r="Z215" s="94">
        <f t="shared" si="86"/>
        <v>0</v>
      </c>
      <c r="AA215" s="95">
        <f t="shared" si="86"/>
        <v>0</v>
      </c>
      <c r="AB215" s="346">
        <f t="shared" si="86"/>
        <v>0</v>
      </c>
      <c r="AC215" s="94">
        <f t="shared" si="86"/>
        <v>0</v>
      </c>
      <c r="AD215" s="94">
        <f t="shared" si="86"/>
        <v>0</v>
      </c>
      <c r="AE215" s="95">
        <f t="shared" si="86"/>
        <v>0</v>
      </c>
      <c r="AF215" s="52">
        <f t="shared" si="79"/>
        <v>0</v>
      </c>
      <c r="AG215" s="180"/>
    </row>
    <row r="216" spans="1:33" ht="15" hidden="1" customHeight="1" x14ac:dyDescent="0.25">
      <c r="B216" s="54"/>
      <c r="C216" s="2"/>
      <c r="D216" s="624" t="s">
        <v>429</v>
      </c>
      <c r="E216" s="624"/>
      <c r="F216" s="76">
        <v>0</v>
      </c>
      <c r="G216" s="76">
        <v>0</v>
      </c>
      <c r="H216" s="76">
        <v>0</v>
      </c>
      <c r="I216" s="76">
        <v>0</v>
      </c>
      <c r="J216" s="76">
        <v>0</v>
      </c>
      <c r="K216" s="76">
        <f t="shared" si="82"/>
        <v>0</v>
      </c>
      <c r="L216" s="72"/>
      <c r="M216" s="42"/>
      <c r="N216" s="42"/>
      <c r="O216" s="42"/>
      <c r="P216" s="1"/>
      <c r="Q216" s="78"/>
      <c r="R216" s="78"/>
      <c r="S216" s="73"/>
      <c r="T216" s="72"/>
      <c r="U216" s="1"/>
      <c r="V216" s="78"/>
      <c r="W216" s="78"/>
      <c r="X216" s="1"/>
      <c r="Y216" s="78"/>
      <c r="Z216" s="78"/>
      <c r="AA216" s="44"/>
      <c r="AB216" s="343"/>
      <c r="AC216" s="78"/>
      <c r="AD216" s="78"/>
      <c r="AE216" s="44"/>
      <c r="AF216" s="52">
        <f t="shared" si="79"/>
        <v>0</v>
      </c>
      <c r="AG216" s="180"/>
    </row>
    <row r="217" spans="1:33" ht="15" hidden="1" customHeight="1" x14ac:dyDescent="0.25">
      <c r="B217" s="54"/>
      <c r="C217" s="2"/>
      <c r="D217" s="624" t="s">
        <v>431</v>
      </c>
      <c r="E217" s="624"/>
      <c r="F217" s="76">
        <v>0</v>
      </c>
      <c r="G217" s="76">
        <v>0</v>
      </c>
      <c r="H217" s="76">
        <v>0</v>
      </c>
      <c r="I217" s="76">
        <v>0</v>
      </c>
      <c r="J217" s="76">
        <v>0</v>
      </c>
      <c r="K217" s="76">
        <f t="shared" si="82"/>
        <v>0</v>
      </c>
      <c r="L217" s="72"/>
      <c r="M217" s="42"/>
      <c r="N217" s="42"/>
      <c r="O217" s="42"/>
      <c r="P217" s="1"/>
      <c r="Q217" s="78"/>
      <c r="R217" s="78"/>
      <c r="S217" s="73"/>
      <c r="T217" s="72"/>
      <c r="U217" s="1"/>
      <c r="V217" s="78"/>
      <c r="W217" s="78"/>
      <c r="X217" s="1"/>
      <c r="Y217" s="78"/>
      <c r="Z217" s="78"/>
      <c r="AA217" s="44"/>
      <c r="AB217" s="343"/>
      <c r="AC217" s="78"/>
      <c r="AD217" s="78"/>
      <c r="AE217" s="44"/>
      <c r="AF217" s="52">
        <f t="shared" si="79"/>
        <v>0</v>
      </c>
      <c r="AG217" s="180"/>
    </row>
    <row r="218" spans="1:33" ht="15" hidden="1" customHeight="1" x14ac:dyDescent="0.25">
      <c r="B218" s="54"/>
      <c r="C218" s="2"/>
      <c r="D218" s="624" t="s">
        <v>432</v>
      </c>
      <c r="E218" s="624"/>
      <c r="F218" s="76">
        <v>0</v>
      </c>
      <c r="G218" s="76">
        <v>0</v>
      </c>
      <c r="H218" s="76">
        <v>0</v>
      </c>
      <c r="I218" s="76">
        <v>0</v>
      </c>
      <c r="J218" s="76">
        <v>0</v>
      </c>
      <c r="K218" s="76">
        <f t="shared" si="82"/>
        <v>0</v>
      </c>
      <c r="L218" s="72"/>
      <c r="M218" s="42"/>
      <c r="N218" s="42"/>
      <c r="O218" s="42"/>
      <c r="P218" s="1"/>
      <c r="Q218" s="78"/>
      <c r="R218" s="78"/>
      <c r="S218" s="73"/>
      <c r="T218" s="72"/>
      <c r="U218" s="1"/>
      <c r="V218" s="78"/>
      <c r="W218" s="78"/>
      <c r="X218" s="1"/>
      <c r="Y218" s="78"/>
      <c r="Z218" s="78"/>
      <c r="AA218" s="44"/>
      <c r="AB218" s="343"/>
      <c r="AC218" s="78"/>
      <c r="AD218" s="78"/>
      <c r="AE218" s="44"/>
      <c r="AF218" s="52">
        <f t="shared" si="79"/>
        <v>0</v>
      </c>
      <c r="AG218" s="180"/>
    </row>
    <row r="219" spans="1:33" ht="15" hidden="1" customHeight="1" x14ac:dyDescent="0.25">
      <c r="B219" s="54"/>
      <c r="C219" s="2"/>
      <c r="D219" s="624" t="s">
        <v>430</v>
      </c>
      <c r="E219" s="624"/>
      <c r="F219" s="76">
        <v>0</v>
      </c>
      <c r="G219" s="76">
        <v>0</v>
      </c>
      <c r="H219" s="76">
        <v>0</v>
      </c>
      <c r="I219" s="76">
        <v>0</v>
      </c>
      <c r="J219" s="76">
        <v>0</v>
      </c>
      <c r="K219" s="76">
        <f t="shared" si="82"/>
        <v>0</v>
      </c>
      <c r="L219" s="72"/>
      <c r="M219" s="42"/>
      <c r="N219" s="42"/>
      <c r="O219" s="42"/>
      <c r="P219" s="1"/>
      <c r="Q219" s="78"/>
      <c r="R219" s="78"/>
      <c r="S219" s="73"/>
      <c r="T219" s="72"/>
      <c r="U219" s="1"/>
      <c r="V219" s="78"/>
      <c r="W219" s="78"/>
      <c r="X219" s="1"/>
      <c r="Y219" s="78"/>
      <c r="Z219" s="78"/>
      <c r="AA219" s="44"/>
      <c r="AB219" s="343"/>
      <c r="AC219" s="78"/>
      <c r="AD219" s="78"/>
      <c r="AE219" s="44"/>
      <c r="AF219" s="52">
        <f t="shared" si="79"/>
        <v>0</v>
      </c>
      <c r="AG219" s="180"/>
    </row>
    <row r="220" spans="1:33" ht="15" hidden="1" customHeight="1" x14ac:dyDescent="0.25">
      <c r="B220" s="54"/>
      <c r="C220" s="2"/>
      <c r="D220" s="624" t="s">
        <v>433</v>
      </c>
      <c r="E220" s="624"/>
      <c r="F220" s="76">
        <v>0</v>
      </c>
      <c r="G220" s="76">
        <v>0</v>
      </c>
      <c r="H220" s="76">
        <v>0</v>
      </c>
      <c r="I220" s="76">
        <v>0</v>
      </c>
      <c r="J220" s="76">
        <v>0</v>
      </c>
      <c r="K220" s="76">
        <f t="shared" si="82"/>
        <v>0</v>
      </c>
      <c r="L220" s="72"/>
      <c r="M220" s="42"/>
      <c r="N220" s="42"/>
      <c r="O220" s="42"/>
      <c r="P220" s="1"/>
      <c r="Q220" s="78"/>
      <c r="R220" s="78"/>
      <c r="S220" s="73"/>
      <c r="T220" s="72"/>
      <c r="U220" s="1"/>
      <c r="V220" s="78"/>
      <c r="W220" s="78"/>
      <c r="X220" s="1"/>
      <c r="Y220" s="78"/>
      <c r="Z220" s="78"/>
      <c r="AA220" s="44"/>
      <c r="AB220" s="343"/>
      <c r="AC220" s="78"/>
      <c r="AD220" s="78"/>
      <c r="AE220" s="44"/>
      <c r="AF220" s="52">
        <f t="shared" si="79"/>
        <v>0</v>
      </c>
      <c r="AG220" s="180"/>
    </row>
    <row r="221" spans="1:33" ht="25.5" hidden="1" customHeight="1" x14ac:dyDescent="0.25">
      <c r="B221" s="54"/>
      <c r="C221" s="2"/>
      <c r="D221" s="625" t="s">
        <v>499</v>
      </c>
      <c r="E221" s="625"/>
      <c r="F221" s="76">
        <v>0</v>
      </c>
      <c r="G221" s="76">
        <v>0</v>
      </c>
      <c r="H221" s="76">
        <v>0</v>
      </c>
      <c r="I221" s="76">
        <v>0</v>
      </c>
      <c r="J221" s="76">
        <v>0</v>
      </c>
      <c r="K221" s="76">
        <f t="shared" si="82"/>
        <v>0</v>
      </c>
      <c r="L221" s="72"/>
      <c r="M221" s="42"/>
      <c r="N221" s="42"/>
      <c r="O221" s="42"/>
      <c r="P221" s="1"/>
      <c r="Q221" s="78"/>
      <c r="R221" s="78"/>
      <c r="S221" s="73"/>
      <c r="T221" s="72"/>
      <c r="U221" s="1"/>
      <c r="V221" s="78"/>
      <c r="W221" s="78"/>
      <c r="X221" s="1"/>
      <c r="Y221" s="78"/>
      <c r="Z221" s="78"/>
      <c r="AA221" s="44"/>
      <c r="AB221" s="343"/>
      <c r="AC221" s="78"/>
      <c r="AD221" s="78"/>
      <c r="AE221" s="44"/>
      <c r="AF221" s="52">
        <f t="shared" si="79"/>
        <v>0</v>
      </c>
      <c r="AG221" s="180"/>
    </row>
    <row r="222" spans="1:33" ht="25.5" hidden="1" customHeight="1" x14ac:dyDescent="0.25">
      <c r="B222" s="54"/>
      <c r="C222" s="2"/>
      <c r="D222" s="625" t="s">
        <v>500</v>
      </c>
      <c r="E222" s="625"/>
      <c r="F222" s="76">
        <v>0</v>
      </c>
      <c r="G222" s="76">
        <v>0</v>
      </c>
      <c r="H222" s="76">
        <v>0</v>
      </c>
      <c r="I222" s="76">
        <v>0</v>
      </c>
      <c r="J222" s="76">
        <v>0</v>
      </c>
      <c r="K222" s="76">
        <f t="shared" si="82"/>
        <v>0</v>
      </c>
      <c r="L222" s="72"/>
      <c r="M222" s="42"/>
      <c r="N222" s="42"/>
      <c r="O222" s="42"/>
      <c r="P222" s="1"/>
      <c r="Q222" s="78"/>
      <c r="R222" s="78"/>
      <c r="S222" s="73"/>
      <c r="T222" s="72"/>
      <c r="U222" s="1"/>
      <c r="V222" s="78"/>
      <c r="W222" s="78"/>
      <c r="X222" s="1"/>
      <c r="Y222" s="78"/>
      <c r="Z222" s="78"/>
      <c r="AA222" s="44"/>
      <c r="AB222" s="343"/>
      <c r="AC222" s="78"/>
      <c r="AD222" s="78"/>
      <c r="AE222" s="44"/>
      <c r="AF222" s="52">
        <f t="shared" si="79"/>
        <v>0</v>
      </c>
      <c r="AG222" s="180"/>
    </row>
    <row r="223" spans="1:33" ht="15" hidden="1" customHeight="1" x14ac:dyDescent="0.25">
      <c r="B223" s="54"/>
      <c r="C223" s="2"/>
      <c r="D223" s="624" t="s">
        <v>434</v>
      </c>
      <c r="E223" s="624"/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f t="shared" si="82"/>
        <v>0</v>
      </c>
      <c r="L223" s="72"/>
      <c r="M223" s="42"/>
      <c r="N223" s="42"/>
      <c r="O223" s="42"/>
      <c r="P223" s="1"/>
      <c r="Q223" s="78"/>
      <c r="R223" s="78"/>
      <c r="S223" s="73"/>
      <c r="T223" s="72"/>
      <c r="U223" s="1"/>
      <c r="V223" s="78"/>
      <c r="W223" s="78"/>
      <c r="X223" s="1"/>
      <c r="Y223" s="78"/>
      <c r="Z223" s="78"/>
      <c r="AA223" s="44"/>
      <c r="AB223" s="343"/>
      <c r="AC223" s="78"/>
      <c r="AD223" s="78"/>
      <c r="AE223" s="44"/>
      <c r="AF223" s="52">
        <f t="shared" si="79"/>
        <v>0</v>
      </c>
      <c r="AG223" s="180"/>
    </row>
    <row r="224" spans="1:33" ht="15" hidden="1" customHeight="1" x14ac:dyDescent="0.25">
      <c r="B224" s="54"/>
      <c r="C224" s="2"/>
      <c r="D224" s="624" t="s">
        <v>501</v>
      </c>
      <c r="E224" s="624"/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76">
        <f t="shared" si="82"/>
        <v>0</v>
      </c>
      <c r="L224" s="72"/>
      <c r="M224" s="42"/>
      <c r="N224" s="42"/>
      <c r="O224" s="42"/>
      <c r="P224" s="1"/>
      <c r="Q224" s="78"/>
      <c r="R224" s="78"/>
      <c r="S224" s="73"/>
      <c r="T224" s="72"/>
      <c r="U224" s="1"/>
      <c r="V224" s="78"/>
      <c r="W224" s="78"/>
      <c r="X224" s="1"/>
      <c r="Y224" s="78"/>
      <c r="Z224" s="78"/>
      <c r="AA224" s="44"/>
      <c r="AB224" s="343"/>
      <c r="AC224" s="78"/>
      <c r="AD224" s="78"/>
      <c r="AE224" s="44"/>
      <c r="AF224" s="52">
        <f t="shared" si="79"/>
        <v>0</v>
      </c>
      <c r="AG224" s="180"/>
    </row>
    <row r="225" spans="1:33" s="18" customFormat="1" ht="15" customHeight="1" x14ac:dyDescent="0.25">
      <c r="A225" s="118" t="s">
        <v>85</v>
      </c>
      <c r="B225" s="88" t="s">
        <v>763</v>
      </c>
      <c r="C225" s="626" t="s">
        <v>86</v>
      </c>
      <c r="D225" s="627"/>
      <c r="E225" s="627"/>
      <c r="F225" s="383">
        <v>100000</v>
      </c>
      <c r="G225" s="383">
        <v>100000</v>
      </c>
      <c r="H225" s="383">
        <v>100000</v>
      </c>
      <c r="I225" s="383">
        <v>100000</v>
      </c>
      <c r="J225" s="383">
        <v>100000</v>
      </c>
      <c r="K225" s="383">
        <f t="shared" si="82"/>
        <v>100000</v>
      </c>
      <c r="L225" s="90">
        <f t="shared" ref="L225:R225" si="87">L226+L227+L228+L229+L230+L231+L232+L233+L234+L235+L236</f>
        <v>0</v>
      </c>
      <c r="M225" s="93">
        <f t="shared" si="87"/>
        <v>0</v>
      </c>
      <c r="N225" s="93">
        <f t="shared" si="87"/>
        <v>0</v>
      </c>
      <c r="O225" s="93">
        <f t="shared" si="87"/>
        <v>0</v>
      </c>
      <c r="P225" s="91">
        <f>P226+P227+P228+P229+P230+P231+P232+P233+P234+P235+P236</f>
        <v>0</v>
      </c>
      <c r="Q225" s="94">
        <f>Q229</f>
        <v>100000</v>
      </c>
      <c r="R225" s="94">
        <f t="shared" si="87"/>
        <v>0</v>
      </c>
      <c r="S225" s="92"/>
      <c r="T225" s="90">
        <f>T226+T227+T228+T229+T230+T231+T232+T233+T234+T235+T236</f>
        <v>0</v>
      </c>
      <c r="U225" s="91">
        <f t="shared" ref="U225:AE225" si="88">U226+U227+U228+U229+U230+U231+U232+U233+U234+U235+U236</f>
        <v>0</v>
      </c>
      <c r="V225" s="94">
        <f t="shared" si="88"/>
        <v>0</v>
      </c>
      <c r="W225" s="94">
        <f t="shared" si="88"/>
        <v>0</v>
      </c>
      <c r="X225" s="91">
        <f t="shared" si="88"/>
        <v>0</v>
      </c>
      <c r="Y225" s="94">
        <f t="shared" si="88"/>
        <v>0</v>
      </c>
      <c r="Z225" s="94">
        <f t="shared" si="88"/>
        <v>0</v>
      </c>
      <c r="AA225" s="95">
        <f t="shared" si="88"/>
        <v>0</v>
      </c>
      <c r="AB225" s="341">
        <f t="shared" si="88"/>
        <v>0</v>
      </c>
      <c r="AC225" s="94">
        <f t="shared" si="88"/>
        <v>100000</v>
      </c>
      <c r="AD225" s="94">
        <f t="shared" si="88"/>
        <v>0</v>
      </c>
      <c r="AE225" s="95">
        <f t="shared" si="88"/>
        <v>0</v>
      </c>
      <c r="AF225" s="52">
        <f t="shared" si="79"/>
        <v>0</v>
      </c>
      <c r="AG225" s="180"/>
    </row>
    <row r="226" spans="1:33" ht="15" hidden="1" customHeight="1" x14ac:dyDescent="0.25">
      <c r="B226" s="54"/>
      <c r="C226" s="2"/>
      <c r="D226" s="624" t="s">
        <v>435</v>
      </c>
      <c r="E226" s="624"/>
      <c r="F226" s="76">
        <v>0</v>
      </c>
      <c r="G226" s="76">
        <v>0</v>
      </c>
      <c r="H226" s="76">
        <v>0</v>
      </c>
      <c r="I226" s="76">
        <v>0</v>
      </c>
      <c r="J226" s="76">
        <v>0</v>
      </c>
      <c r="K226" s="76">
        <f t="shared" si="82"/>
        <v>0</v>
      </c>
      <c r="L226" s="72"/>
      <c r="M226" s="42"/>
      <c r="N226" s="42"/>
      <c r="O226" s="42"/>
      <c r="P226" s="1"/>
      <c r="Q226" s="78"/>
      <c r="R226" s="78"/>
      <c r="S226" s="73"/>
      <c r="T226" s="72"/>
      <c r="U226" s="1"/>
      <c r="V226" s="78"/>
      <c r="W226" s="78"/>
      <c r="X226" s="1"/>
      <c r="Y226" s="78"/>
      <c r="Z226" s="78"/>
      <c r="AA226" s="44"/>
      <c r="AB226" s="343"/>
      <c r="AC226" s="78"/>
      <c r="AD226" s="78"/>
      <c r="AE226" s="44"/>
      <c r="AF226" s="52">
        <f t="shared" si="79"/>
        <v>0</v>
      </c>
      <c r="AG226" s="180"/>
    </row>
    <row r="227" spans="1:33" ht="15" hidden="1" customHeight="1" x14ac:dyDescent="0.25">
      <c r="B227" s="54"/>
      <c r="C227" s="2"/>
      <c r="D227" s="624" t="s">
        <v>438</v>
      </c>
      <c r="E227" s="624"/>
      <c r="F227" s="76">
        <v>0</v>
      </c>
      <c r="G227" s="76">
        <v>0</v>
      </c>
      <c r="H227" s="76">
        <v>0</v>
      </c>
      <c r="I227" s="76">
        <v>0</v>
      </c>
      <c r="J227" s="76">
        <v>0</v>
      </c>
      <c r="K227" s="76">
        <f t="shared" si="82"/>
        <v>0</v>
      </c>
      <c r="L227" s="72"/>
      <c r="M227" s="42"/>
      <c r="N227" s="42"/>
      <c r="O227" s="42"/>
      <c r="P227" s="1"/>
      <c r="Q227" s="78"/>
      <c r="R227" s="78"/>
      <c r="S227" s="73"/>
      <c r="T227" s="72"/>
      <c r="U227" s="1"/>
      <c r="V227" s="78"/>
      <c r="W227" s="78"/>
      <c r="X227" s="1"/>
      <c r="Y227" s="78"/>
      <c r="Z227" s="78"/>
      <c r="AA227" s="44"/>
      <c r="AB227" s="343"/>
      <c r="AC227" s="78"/>
      <c r="AD227" s="78"/>
      <c r="AE227" s="44"/>
      <c r="AF227" s="52">
        <f t="shared" si="79"/>
        <v>0</v>
      </c>
      <c r="AG227" s="180"/>
    </row>
    <row r="228" spans="1:33" ht="15" hidden="1" customHeight="1" x14ac:dyDescent="0.25">
      <c r="B228" s="54"/>
      <c r="C228" s="2"/>
      <c r="D228" s="624" t="s">
        <v>439</v>
      </c>
      <c r="E228" s="624"/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f t="shared" si="82"/>
        <v>0</v>
      </c>
      <c r="L228" s="72"/>
      <c r="M228" s="42"/>
      <c r="N228" s="42"/>
      <c r="O228" s="42"/>
      <c r="P228" s="1"/>
      <c r="Q228" s="78"/>
      <c r="R228" s="78"/>
      <c r="S228" s="73"/>
      <c r="T228" s="72"/>
      <c r="U228" s="1"/>
      <c r="V228" s="78"/>
      <c r="W228" s="78"/>
      <c r="X228" s="1"/>
      <c r="Y228" s="78"/>
      <c r="Z228" s="78"/>
      <c r="AA228" s="44"/>
      <c r="AB228" s="343"/>
      <c r="AC228" s="78"/>
      <c r="AD228" s="78"/>
      <c r="AE228" s="44"/>
      <c r="AF228" s="52">
        <f t="shared" si="79"/>
        <v>0</v>
      </c>
      <c r="AG228" s="180"/>
    </row>
    <row r="229" spans="1:33" ht="15" customHeight="1" thickBot="1" x14ac:dyDescent="0.3">
      <c r="B229" s="54"/>
      <c r="C229" s="2"/>
      <c r="D229" s="624" t="s">
        <v>436</v>
      </c>
      <c r="E229" s="624"/>
      <c r="F229" s="76">
        <v>100000</v>
      </c>
      <c r="G229" s="76">
        <v>100000</v>
      </c>
      <c r="H229" s="76">
        <v>100000</v>
      </c>
      <c r="I229" s="76">
        <v>100000</v>
      </c>
      <c r="J229" s="76">
        <v>100000</v>
      </c>
      <c r="K229" s="76">
        <f>SUM(T229:AE229)</f>
        <v>100000</v>
      </c>
      <c r="L229" s="72"/>
      <c r="M229" s="42"/>
      <c r="N229" s="42"/>
      <c r="O229" s="42"/>
      <c r="P229" s="1"/>
      <c r="Q229" s="78">
        <f>K229</f>
        <v>100000</v>
      </c>
      <c r="R229" s="78"/>
      <c r="S229" s="73"/>
      <c r="T229" s="72"/>
      <c r="U229" s="1"/>
      <c r="V229" s="78"/>
      <c r="W229" s="78"/>
      <c r="X229" s="1"/>
      <c r="Y229" s="78"/>
      <c r="Z229" s="78"/>
      <c r="AA229" s="44"/>
      <c r="AB229" s="343"/>
      <c r="AC229" s="78">
        <v>100000</v>
      </c>
      <c r="AD229" s="78"/>
      <c r="AE229" s="44"/>
      <c r="AF229" s="52">
        <f t="shared" si="79"/>
        <v>0</v>
      </c>
      <c r="AG229" s="180"/>
    </row>
    <row r="230" spans="1:33" ht="15" hidden="1" customHeight="1" x14ac:dyDescent="0.25">
      <c r="B230" s="54"/>
      <c r="C230" s="2"/>
      <c r="D230" s="624" t="s">
        <v>440</v>
      </c>
      <c r="E230" s="624"/>
      <c r="F230" s="76">
        <v>0</v>
      </c>
      <c r="G230" s="76">
        <v>0</v>
      </c>
      <c r="H230" s="76">
        <v>0</v>
      </c>
      <c r="I230" s="76">
        <v>0</v>
      </c>
      <c r="J230" s="76">
        <v>0</v>
      </c>
      <c r="K230" s="76">
        <f t="shared" si="82"/>
        <v>0</v>
      </c>
      <c r="L230" s="72"/>
      <c r="M230" s="42"/>
      <c r="N230" s="42"/>
      <c r="O230" s="42"/>
      <c r="P230" s="1"/>
      <c r="Q230" s="78"/>
      <c r="R230" s="78"/>
      <c r="S230" s="73"/>
      <c r="T230" s="72"/>
      <c r="U230" s="1"/>
      <c r="V230" s="78"/>
      <c r="W230" s="78"/>
      <c r="X230" s="1"/>
      <c r="Y230" s="78"/>
      <c r="Z230" s="78"/>
      <c r="AA230" s="44"/>
      <c r="AB230" s="343"/>
      <c r="AC230" s="78"/>
      <c r="AD230" s="78"/>
      <c r="AE230" s="44"/>
      <c r="AF230" s="52">
        <f t="shared" si="79"/>
        <v>0</v>
      </c>
      <c r="AG230" s="180"/>
    </row>
    <row r="231" spans="1:33" ht="25.5" hidden="1" customHeight="1" x14ac:dyDescent="0.25">
      <c r="B231" s="54"/>
      <c r="C231" s="2"/>
      <c r="D231" s="625" t="s">
        <v>502</v>
      </c>
      <c r="E231" s="625"/>
      <c r="F231" s="76">
        <v>0</v>
      </c>
      <c r="G231" s="76">
        <v>0</v>
      </c>
      <c r="H231" s="76">
        <v>0</v>
      </c>
      <c r="I231" s="76">
        <v>0</v>
      </c>
      <c r="J231" s="76">
        <v>0</v>
      </c>
      <c r="K231" s="76">
        <f t="shared" si="82"/>
        <v>0</v>
      </c>
      <c r="L231" s="72"/>
      <c r="M231" s="42"/>
      <c r="N231" s="42"/>
      <c r="O231" s="42"/>
      <c r="P231" s="1"/>
      <c r="Q231" s="78"/>
      <c r="R231" s="78"/>
      <c r="S231" s="73"/>
      <c r="T231" s="72"/>
      <c r="U231" s="1"/>
      <c r="V231" s="78"/>
      <c r="W231" s="78"/>
      <c r="X231" s="1"/>
      <c r="Y231" s="78"/>
      <c r="Z231" s="78"/>
      <c r="AA231" s="44"/>
      <c r="AB231" s="343"/>
      <c r="AC231" s="78"/>
      <c r="AD231" s="78"/>
      <c r="AE231" s="44"/>
      <c r="AF231" s="52">
        <f t="shared" si="79"/>
        <v>0</v>
      </c>
      <c r="AG231" s="180"/>
    </row>
    <row r="232" spans="1:33" ht="25.5" hidden="1" customHeight="1" x14ac:dyDescent="0.25">
      <c r="B232" s="54"/>
      <c r="C232" s="2"/>
      <c r="D232" s="625" t="s">
        <v>503</v>
      </c>
      <c r="E232" s="625"/>
      <c r="F232" s="76">
        <v>0</v>
      </c>
      <c r="G232" s="76">
        <v>0</v>
      </c>
      <c r="H232" s="76">
        <v>0</v>
      </c>
      <c r="I232" s="76">
        <v>0</v>
      </c>
      <c r="J232" s="76">
        <v>0</v>
      </c>
      <c r="K232" s="76">
        <f t="shared" si="82"/>
        <v>0</v>
      </c>
      <c r="L232" s="72"/>
      <c r="M232" s="42"/>
      <c r="N232" s="42"/>
      <c r="O232" s="42"/>
      <c r="P232" s="1"/>
      <c r="Q232" s="78"/>
      <c r="R232" s="78"/>
      <c r="S232" s="73"/>
      <c r="T232" s="72"/>
      <c r="U232" s="1"/>
      <c r="V232" s="78"/>
      <c r="W232" s="78"/>
      <c r="X232" s="1"/>
      <c r="Y232" s="78"/>
      <c r="Z232" s="78"/>
      <c r="AA232" s="44"/>
      <c r="AB232" s="343"/>
      <c r="AC232" s="78"/>
      <c r="AD232" s="78"/>
      <c r="AE232" s="44"/>
      <c r="AF232" s="52">
        <f t="shared" si="79"/>
        <v>0</v>
      </c>
      <c r="AG232" s="180"/>
    </row>
    <row r="233" spans="1:33" ht="15" hidden="1" customHeight="1" x14ac:dyDescent="0.25">
      <c r="B233" s="54"/>
      <c r="C233" s="2"/>
      <c r="D233" s="624" t="s">
        <v>441</v>
      </c>
      <c r="E233" s="624"/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f t="shared" si="82"/>
        <v>0</v>
      </c>
      <c r="L233" s="72"/>
      <c r="M233" s="42"/>
      <c r="N233" s="42"/>
      <c r="O233" s="42"/>
      <c r="P233" s="1"/>
      <c r="Q233" s="78"/>
      <c r="R233" s="78"/>
      <c r="S233" s="73"/>
      <c r="T233" s="72"/>
      <c r="U233" s="1"/>
      <c r="V233" s="78"/>
      <c r="W233" s="78"/>
      <c r="X233" s="1"/>
      <c r="Y233" s="78"/>
      <c r="Z233" s="78"/>
      <c r="AA233" s="44"/>
      <c r="AB233" s="343"/>
      <c r="AC233" s="78"/>
      <c r="AD233" s="78"/>
      <c r="AE233" s="44"/>
      <c r="AF233" s="52">
        <f t="shared" si="79"/>
        <v>0</v>
      </c>
      <c r="AG233" s="180"/>
    </row>
    <row r="234" spans="1:33" ht="15" hidden="1" customHeight="1" x14ac:dyDescent="0.25">
      <c r="B234" s="54"/>
      <c r="C234" s="2"/>
      <c r="D234" s="624" t="s">
        <v>437</v>
      </c>
      <c r="E234" s="624"/>
      <c r="F234" s="76">
        <v>0</v>
      </c>
      <c r="G234" s="76">
        <v>0</v>
      </c>
      <c r="H234" s="76">
        <v>0</v>
      </c>
      <c r="I234" s="76">
        <v>0</v>
      </c>
      <c r="J234" s="76">
        <v>0</v>
      </c>
      <c r="K234" s="76">
        <f t="shared" si="82"/>
        <v>0</v>
      </c>
      <c r="L234" s="72"/>
      <c r="M234" s="42"/>
      <c r="N234" s="42"/>
      <c r="O234" s="42"/>
      <c r="P234" s="1"/>
      <c r="Q234" s="78"/>
      <c r="R234" s="78"/>
      <c r="S234" s="73"/>
      <c r="T234" s="72"/>
      <c r="U234" s="1"/>
      <c r="V234" s="78"/>
      <c r="W234" s="78"/>
      <c r="X234" s="1"/>
      <c r="Y234" s="78"/>
      <c r="Z234" s="78"/>
      <c r="AA234" s="44"/>
      <c r="AB234" s="343"/>
      <c r="AC234" s="78"/>
      <c r="AD234" s="78"/>
      <c r="AE234" s="44"/>
      <c r="AF234" s="52">
        <f t="shared" si="79"/>
        <v>0</v>
      </c>
      <c r="AG234" s="180"/>
    </row>
    <row r="235" spans="1:33" ht="25.5" hidden="1" customHeight="1" x14ac:dyDescent="0.25">
      <c r="B235" s="54"/>
      <c r="C235" s="2"/>
      <c r="D235" s="625" t="s">
        <v>504</v>
      </c>
      <c r="E235" s="625"/>
      <c r="F235" s="76"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f t="shared" si="82"/>
        <v>0</v>
      </c>
      <c r="L235" s="72"/>
      <c r="M235" s="42"/>
      <c r="N235" s="42"/>
      <c r="O235" s="42"/>
      <c r="P235" s="1"/>
      <c r="Q235" s="78"/>
      <c r="R235" s="78"/>
      <c r="S235" s="73"/>
      <c r="T235" s="72"/>
      <c r="U235" s="1"/>
      <c r="V235" s="78"/>
      <c r="W235" s="78"/>
      <c r="X235" s="1"/>
      <c r="Y235" s="78"/>
      <c r="Z235" s="78"/>
      <c r="AA235" s="44"/>
      <c r="AB235" s="343"/>
      <c r="AC235" s="78"/>
      <c r="AD235" s="78"/>
      <c r="AE235" s="44"/>
      <c r="AF235" s="52">
        <f t="shared" si="79"/>
        <v>0</v>
      </c>
      <c r="AG235" s="180"/>
    </row>
    <row r="236" spans="1:33" ht="15.75" hidden="1" customHeight="1" thickBot="1" x14ac:dyDescent="0.3">
      <c r="B236" s="56"/>
      <c r="C236" s="20"/>
      <c r="D236" s="631" t="s">
        <v>505</v>
      </c>
      <c r="E236" s="631"/>
      <c r="F236" s="76"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f t="shared" si="82"/>
        <v>0</v>
      </c>
      <c r="L236" s="72"/>
      <c r="M236" s="42"/>
      <c r="N236" s="42"/>
      <c r="O236" s="42"/>
      <c r="P236" s="1"/>
      <c r="Q236" s="78"/>
      <c r="R236" s="78"/>
      <c r="S236" s="73"/>
      <c r="T236" s="72"/>
      <c r="U236" s="1"/>
      <c r="V236" s="78"/>
      <c r="W236" s="78"/>
      <c r="X236" s="1"/>
      <c r="Y236" s="78"/>
      <c r="Z236" s="78"/>
      <c r="AA236" s="44"/>
      <c r="AB236" s="343"/>
      <c r="AC236" s="78"/>
      <c r="AD236" s="78"/>
      <c r="AE236" s="44"/>
      <c r="AF236" s="52">
        <f t="shared" si="79"/>
        <v>0</v>
      </c>
      <c r="AG236" s="180"/>
    </row>
    <row r="237" spans="1:33" ht="15.75" thickBot="1" x14ac:dyDescent="0.3">
      <c r="B237" s="96" t="s">
        <v>87</v>
      </c>
      <c r="C237" s="632" t="s">
        <v>88</v>
      </c>
      <c r="D237" s="633"/>
      <c r="E237" s="633"/>
      <c r="F237" s="568">
        <v>35018030</v>
      </c>
      <c r="G237" s="568">
        <v>29523030</v>
      </c>
      <c r="H237" s="568">
        <v>29523030</v>
      </c>
      <c r="I237" s="568">
        <v>29523030</v>
      </c>
      <c r="J237" s="568">
        <v>29523030</v>
      </c>
      <c r="K237" s="568">
        <f t="shared" si="82"/>
        <v>29523030</v>
      </c>
      <c r="L237" s="82">
        <f t="shared" ref="L237:R237" si="89">L238+L262+L268+L269</f>
        <v>0</v>
      </c>
      <c r="M237" s="85">
        <f t="shared" si="89"/>
        <v>0</v>
      </c>
      <c r="N237" s="85">
        <f t="shared" si="89"/>
        <v>0</v>
      </c>
      <c r="O237" s="85">
        <f t="shared" si="89"/>
        <v>0</v>
      </c>
      <c r="P237" s="83">
        <f t="shared" si="89"/>
        <v>14523030</v>
      </c>
      <c r="Q237" s="86"/>
      <c r="R237" s="86">
        <f t="shared" si="89"/>
        <v>0</v>
      </c>
      <c r="S237" s="84">
        <f>S238</f>
        <v>15000000</v>
      </c>
      <c r="T237" s="82">
        <f>T238+T262+T268+T269</f>
        <v>14523030</v>
      </c>
      <c r="U237" s="83">
        <f t="shared" ref="U237:AE237" si="90">U238+U262+U268+U269</f>
        <v>0</v>
      </c>
      <c r="V237" s="86">
        <f t="shared" si="90"/>
        <v>0</v>
      </c>
      <c r="W237" s="86">
        <f t="shared" si="90"/>
        <v>2873787</v>
      </c>
      <c r="X237" s="83">
        <f t="shared" si="90"/>
        <v>0</v>
      </c>
      <c r="Y237" s="86">
        <f t="shared" si="90"/>
        <v>0</v>
      </c>
      <c r="Z237" s="86">
        <f t="shared" si="90"/>
        <v>12126213</v>
      </c>
      <c r="AA237" s="87">
        <f t="shared" si="90"/>
        <v>0</v>
      </c>
      <c r="AB237" s="338">
        <f t="shared" si="90"/>
        <v>0</v>
      </c>
      <c r="AC237" s="86">
        <f t="shared" si="90"/>
        <v>0</v>
      </c>
      <c r="AD237" s="86">
        <f t="shared" si="90"/>
        <v>0</v>
      </c>
      <c r="AE237" s="87">
        <f t="shared" si="90"/>
        <v>0</v>
      </c>
      <c r="AF237" s="52">
        <f t="shared" si="79"/>
        <v>0</v>
      </c>
      <c r="AG237" s="180"/>
    </row>
    <row r="238" spans="1:33" x14ac:dyDescent="0.25">
      <c r="B238" s="108" t="s">
        <v>764</v>
      </c>
      <c r="C238" s="634" t="s">
        <v>89</v>
      </c>
      <c r="D238" s="635"/>
      <c r="E238" s="635"/>
      <c r="F238" s="569">
        <v>35018030</v>
      </c>
      <c r="G238" s="569">
        <v>29523030</v>
      </c>
      <c r="H238" s="569">
        <v>29523030</v>
      </c>
      <c r="I238" s="569">
        <v>29523030</v>
      </c>
      <c r="J238" s="569">
        <v>29523030</v>
      </c>
      <c r="K238" s="569">
        <f t="shared" si="82"/>
        <v>29523030</v>
      </c>
      <c r="L238" s="109">
        <f t="shared" ref="L238:R238" si="91">L239+L243+L251+L254+L255+L256+L257+L258+L259</f>
        <v>0</v>
      </c>
      <c r="M238" s="112">
        <f t="shared" si="91"/>
        <v>0</v>
      </c>
      <c r="N238" s="112">
        <f t="shared" si="91"/>
        <v>0</v>
      </c>
      <c r="O238" s="112">
        <f t="shared" si="91"/>
        <v>0</v>
      </c>
      <c r="P238" s="110">
        <f t="shared" si="91"/>
        <v>14523030</v>
      </c>
      <c r="Q238" s="113"/>
      <c r="R238" s="113">
        <f t="shared" si="91"/>
        <v>0</v>
      </c>
      <c r="S238" s="111">
        <f>S239</f>
        <v>15000000</v>
      </c>
      <c r="T238" s="109">
        <f>T239+T243+T251+T254+T255+T256+T257+T258+T259</f>
        <v>14523030</v>
      </c>
      <c r="U238" s="110">
        <f t="shared" ref="U238:AE238" si="92">U239+U243+U251+U254+U255+U256+U257+U258+U259</f>
        <v>0</v>
      </c>
      <c r="V238" s="113">
        <f t="shared" si="92"/>
        <v>0</v>
      </c>
      <c r="W238" s="113">
        <f t="shared" si="92"/>
        <v>2873787</v>
      </c>
      <c r="X238" s="110">
        <f t="shared" si="92"/>
        <v>0</v>
      </c>
      <c r="Y238" s="113">
        <f t="shared" si="92"/>
        <v>0</v>
      </c>
      <c r="Z238" s="113">
        <f t="shared" si="92"/>
        <v>12126213</v>
      </c>
      <c r="AA238" s="114">
        <f t="shared" si="92"/>
        <v>0</v>
      </c>
      <c r="AB238" s="339">
        <f t="shared" si="92"/>
        <v>0</v>
      </c>
      <c r="AC238" s="113">
        <f t="shared" si="92"/>
        <v>0</v>
      </c>
      <c r="AD238" s="113">
        <f t="shared" si="92"/>
        <v>0</v>
      </c>
      <c r="AE238" s="114">
        <f t="shared" si="92"/>
        <v>0</v>
      </c>
      <c r="AF238" s="52">
        <f t="shared" si="79"/>
        <v>0</v>
      </c>
      <c r="AG238" s="180"/>
    </row>
    <row r="239" spans="1:33" s="18" customFormat="1" ht="15" customHeight="1" x14ac:dyDescent="0.25">
      <c r="A239" s="118"/>
      <c r="B239" s="53" t="s">
        <v>765</v>
      </c>
      <c r="C239" s="628" t="s">
        <v>90</v>
      </c>
      <c r="D239" s="629"/>
      <c r="E239" s="629"/>
      <c r="F239" s="77">
        <v>20500000</v>
      </c>
      <c r="G239" s="77">
        <v>15000000</v>
      </c>
      <c r="H239" s="77">
        <v>15000000</v>
      </c>
      <c r="I239" s="77">
        <v>15000000</v>
      </c>
      <c r="J239" s="77">
        <v>15000000</v>
      </c>
      <c r="K239" s="77">
        <f t="shared" si="82"/>
        <v>15000000</v>
      </c>
      <c r="L239" s="74">
        <f t="shared" ref="L239:R239" si="93">L240+L241+L242</f>
        <v>0</v>
      </c>
      <c r="M239" s="43">
        <f t="shared" si="93"/>
        <v>0</v>
      </c>
      <c r="N239" s="43">
        <f t="shared" si="93"/>
        <v>0</v>
      </c>
      <c r="O239" s="43">
        <f t="shared" si="93"/>
        <v>0</v>
      </c>
      <c r="P239" s="13">
        <f t="shared" si="93"/>
        <v>0</v>
      </c>
      <c r="Q239" s="79"/>
      <c r="R239" s="79">
        <f t="shared" si="93"/>
        <v>0</v>
      </c>
      <c r="S239" s="75">
        <f>K239</f>
        <v>15000000</v>
      </c>
      <c r="T239" s="74">
        <f>T240+T241+T242</f>
        <v>0</v>
      </c>
      <c r="U239" s="13">
        <f t="shared" ref="U239:AE239" si="94">U240+U241+U242</f>
        <v>0</v>
      </c>
      <c r="V239" s="79">
        <f t="shared" si="94"/>
        <v>0</v>
      </c>
      <c r="W239" s="79">
        <f t="shared" si="94"/>
        <v>2873787</v>
      </c>
      <c r="X239" s="13">
        <f t="shared" si="94"/>
        <v>0</v>
      </c>
      <c r="Y239" s="79">
        <f t="shared" si="94"/>
        <v>0</v>
      </c>
      <c r="Z239" s="79">
        <f t="shared" si="94"/>
        <v>12126213</v>
      </c>
      <c r="AA239" s="45">
        <f t="shared" si="94"/>
        <v>0</v>
      </c>
      <c r="AB239" s="342">
        <f t="shared" si="94"/>
        <v>0</v>
      </c>
      <c r="AC239" s="79">
        <f t="shared" si="94"/>
        <v>0</v>
      </c>
      <c r="AD239" s="79">
        <f t="shared" si="94"/>
        <v>0</v>
      </c>
      <c r="AE239" s="45">
        <f t="shared" si="94"/>
        <v>0</v>
      </c>
      <c r="AF239" s="52">
        <f t="shared" si="79"/>
        <v>0</v>
      </c>
      <c r="AG239" s="180"/>
    </row>
    <row r="240" spans="1:33" s="199" customFormat="1" ht="15" hidden="1" customHeight="1" x14ac:dyDescent="0.25">
      <c r="A240" s="118" t="s">
        <v>91</v>
      </c>
      <c r="B240" s="181" t="s">
        <v>767</v>
      </c>
      <c r="C240" s="194"/>
      <c r="D240" s="630" t="s">
        <v>966</v>
      </c>
      <c r="E240" s="630"/>
      <c r="F240" s="193">
        <v>0</v>
      </c>
      <c r="G240" s="193">
        <v>0</v>
      </c>
      <c r="H240" s="193">
        <v>0</v>
      </c>
      <c r="I240" s="193">
        <v>0</v>
      </c>
      <c r="J240" s="193">
        <v>0</v>
      </c>
      <c r="K240" s="193">
        <f t="shared" si="82"/>
        <v>0</v>
      </c>
      <c r="L240" s="191"/>
      <c r="M240" s="184"/>
      <c r="N240" s="184"/>
      <c r="O240" s="184"/>
      <c r="P240" s="185"/>
      <c r="Q240" s="186"/>
      <c r="R240" s="186"/>
      <c r="S240" s="192"/>
      <c r="T240" s="191"/>
      <c r="U240" s="185"/>
      <c r="V240" s="186"/>
      <c r="W240" s="186"/>
      <c r="X240" s="185"/>
      <c r="Y240" s="186"/>
      <c r="Z240" s="186"/>
      <c r="AA240" s="187"/>
      <c r="AB240" s="340"/>
      <c r="AC240" s="186"/>
      <c r="AD240" s="186"/>
      <c r="AE240" s="187"/>
      <c r="AF240" s="52">
        <f t="shared" si="79"/>
        <v>0</v>
      </c>
      <c r="AG240" s="200"/>
    </row>
    <row r="241" spans="1:33" s="199" customFormat="1" ht="15" hidden="1" customHeight="1" x14ac:dyDescent="0.25">
      <c r="A241" s="118" t="s">
        <v>92</v>
      </c>
      <c r="B241" s="181" t="s">
        <v>768</v>
      </c>
      <c r="C241" s="194"/>
      <c r="D241" s="630" t="s">
        <v>967</v>
      </c>
      <c r="E241" s="630"/>
      <c r="F241" s="193">
        <v>0</v>
      </c>
      <c r="G241" s="193">
        <v>0</v>
      </c>
      <c r="H241" s="193">
        <v>0</v>
      </c>
      <c r="I241" s="193">
        <v>0</v>
      </c>
      <c r="J241" s="193">
        <v>0</v>
      </c>
      <c r="K241" s="193">
        <f t="shared" si="82"/>
        <v>0</v>
      </c>
      <c r="L241" s="191"/>
      <c r="M241" s="184"/>
      <c r="N241" s="184"/>
      <c r="O241" s="184"/>
      <c r="P241" s="185"/>
      <c r="Q241" s="186"/>
      <c r="R241" s="186"/>
      <c r="S241" s="192"/>
      <c r="T241" s="191"/>
      <c r="U241" s="185"/>
      <c r="V241" s="186"/>
      <c r="W241" s="186"/>
      <c r="X241" s="185"/>
      <c r="Y241" s="186"/>
      <c r="Z241" s="186"/>
      <c r="AA241" s="187"/>
      <c r="AB241" s="340"/>
      <c r="AC241" s="186"/>
      <c r="AD241" s="186"/>
      <c r="AE241" s="187"/>
      <c r="AF241" s="52">
        <f t="shared" si="79"/>
        <v>0</v>
      </c>
      <c r="AG241" s="200"/>
    </row>
    <row r="242" spans="1:33" s="199" customFormat="1" ht="15" customHeight="1" x14ac:dyDescent="0.25">
      <c r="A242" s="118" t="s">
        <v>93</v>
      </c>
      <c r="B242" s="181" t="s">
        <v>769</v>
      </c>
      <c r="C242" s="194"/>
      <c r="D242" s="630" t="s">
        <v>968</v>
      </c>
      <c r="E242" s="630"/>
      <c r="F242" s="193">
        <v>20500000</v>
      </c>
      <c r="G242" s="193">
        <v>15000000</v>
      </c>
      <c r="H242" s="193">
        <v>15000000</v>
      </c>
      <c r="I242" s="193">
        <v>15000000</v>
      </c>
      <c r="J242" s="193">
        <v>15000000</v>
      </c>
      <c r="K242" s="193">
        <f t="shared" si="82"/>
        <v>15000000</v>
      </c>
      <c r="L242" s="191"/>
      <c r="M242" s="184"/>
      <c r="N242" s="184"/>
      <c r="O242" s="184"/>
      <c r="P242" s="185"/>
      <c r="Q242" s="186"/>
      <c r="R242" s="186"/>
      <c r="S242" s="192">
        <f>K242</f>
        <v>15000000</v>
      </c>
      <c r="T242" s="191"/>
      <c r="U242" s="185"/>
      <c r="V242" s="186"/>
      <c r="W242" s="186">
        <v>2873787</v>
      </c>
      <c r="X242" s="185"/>
      <c r="Y242" s="186"/>
      <c r="Z242" s="186">
        <v>12126213</v>
      </c>
      <c r="AA242" s="187"/>
      <c r="AB242" s="340"/>
      <c r="AC242" s="186"/>
      <c r="AD242" s="186"/>
      <c r="AE242" s="187"/>
      <c r="AF242" s="52">
        <f t="shared" si="79"/>
        <v>0</v>
      </c>
      <c r="AG242" s="200"/>
    </row>
    <row r="243" spans="1:33" s="18" customFormat="1" ht="15" hidden="1" customHeight="1" x14ac:dyDescent="0.25">
      <c r="A243" s="118"/>
      <c r="B243" s="53" t="s">
        <v>770</v>
      </c>
      <c r="C243" s="628" t="s">
        <v>94</v>
      </c>
      <c r="D243" s="629"/>
      <c r="E243" s="629"/>
      <c r="F243" s="77">
        <v>0</v>
      </c>
      <c r="G243" s="77">
        <v>0</v>
      </c>
      <c r="H243" s="77">
        <v>0</v>
      </c>
      <c r="I243" s="77">
        <v>0</v>
      </c>
      <c r="J243" s="77">
        <v>0</v>
      </c>
      <c r="K243" s="77">
        <f t="shared" si="82"/>
        <v>0</v>
      </c>
      <c r="L243" s="74">
        <f t="shared" ref="L243:R243" si="95">L244+L248+L249+L250</f>
        <v>0</v>
      </c>
      <c r="M243" s="43">
        <f t="shared" si="95"/>
        <v>0</v>
      </c>
      <c r="N243" s="43">
        <f t="shared" si="95"/>
        <v>0</v>
      </c>
      <c r="O243" s="43">
        <f t="shared" si="95"/>
        <v>0</v>
      </c>
      <c r="P243" s="13">
        <f t="shared" si="95"/>
        <v>0</v>
      </c>
      <c r="Q243" s="79"/>
      <c r="R243" s="79">
        <f t="shared" si="95"/>
        <v>0</v>
      </c>
      <c r="S243" s="75"/>
      <c r="T243" s="74">
        <f>T244+T248+T249+T250</f>
        <v>0</v>
      </c>
      <c r="U243" s="13">
        <f t="shared" ref="U243:AE243" si="96">U244+U248+U249+U250</f>
        <v>0</v>
      </c>
      <c r="V243" s="79">
        <f t="shared" si="96"/>
        <v>0</v>
      </c>
      <c r="W243" s="79">
        <f t="shared" si="96"/>
        <v>0</v>
      </c>
      <c r="X243" s="13">
        <f t="shared" si="96"/>
        <v>0</v>
      </c>
      <c r="Y243" s="79">
        <f t="shared" si="96"/>
        <v>0</v>
      </c>
      <c r="Z243" s="79">
        <f t="shared" si="96"/>
        <v>0</v>
      </c>
      <c r="AA243" s="45">
        <f t="shared" si="96"/>
        <v>0</v>
      </c>
      <c r="AB243" s="342">
        <f t="shared" si="96"/>
        <v>0</v>
      </c>
      <c r="AC243" s="79">
        <f t="shared" si="96"/>
        <v>0</v>
      </c>
      <c r="AD243" s="79">
        <f t="shared" si="96"/>
        <v>0</v>
      </c>
      <c r="AE243" s="45">
        <f t="shared" si="96"/>
        <v>0</v>
      </c>
      <c r="AF243" s="52">
        <f t="shared" si="79"/>
        <v>0</v>
      </c>
      <c r="AG243" s="180"/>
    </row>
    <row r="244" spans="1:33" s="199" customFormat="1" ht="15" hidden="1" customHeight="1" x14ac:dyDescent="0.25">
      <c r="A244" s="118" t="s">
        <v>95</v>
      </c>
      <c r="B244" s="181" t="s">
        <v>771</v>
      </c>
      <c r="C244" s="194"/>
      <c r="D244" s="247" t="s">
        <v>96</v>
      </c>
      <c r="E244" s="247"/>
      <c r="F244" s="193">
        <v>0</v>
      </c>
      <c r="G244" s="193">
        <v>0</v>
      </c>
      <c r="H244" s="193">
        <v>0</v>
      </c>
      <c r="I244" s="193">
        <v>0</v>
      </c>
      <c r="J244" s="193">
        <v>0</v>
      </c>
      <c r="K244" s="193">
        <f t="shared" si="82"/>
        <v>0</v>
      </c>
      <c r="L244" s="191">
        <f t="shared" ref="L244:R244" si="97">L245+L246+L247</f>
        <v>0</v>
      </c>
      <c r="M244" s="184">
        <f t="shared" si="97"/>
        <v>0</v>
      </c>
      <c r="N244" s="184">
        <f t="shared" si="97"/>
        <v>0</v>
      </c>
      <c r="O244" s="184">
        <f t="shared" si="97"/>
        <v>0</v>
      </c>
      <c r="P244" s="185">
        <f t="shared" si="97"/>
        <v>0</v>
      </c>
      <c r="Q244" s="186"/>
      <c r="R244" s="186">
        <f t="shared" si="97"/>
        <v>0</v>
      </c>
      <c r="S244" s="192"/>
      <c r="T244" s="191">
        <f>T245+T246+T247</f>
        <v>0</v>
      </c>
      <c r="U244" s="185">
        <f t="shared" ref="U244:AE244" si="98">U245+U246+U247</f>
        <v>0</v>
      </c>
      <c r="V244" s="186">
        <f t="shared" si="98"/>
        <v>0</v>
      </c>
      <c r="W244" s="186">
        <f t="shared" si="98"/>
        <v>0</v>
      </c>
      <c r="X244" s="185">
        <f t="shared" si="98"/>
        <v>0</v>
      </c>
      <c r="Y244" s="186">
        <f t="shared" si="98"/>
        <v>0</v>
      </c>
      <c r="Z244" s="186">
        <f t="shared" si="98"/>
        <v>0</v>
      </c>
      <c r="AA244" s="187">
        <f t="shared" si="98"/>
        <v>0</v>
      </c>
      <c r="AB244" s="340">
        <f t="shared" si="98"/>
        <v>0</v>
      </c>
      <c r="AC244" s="186">
        <f t="shared" si="98"/>
        <v>0</v>
      </c>
      <c r="AD244" s="186">
        <f t="shared" si="98"/>
        <v>0</v>
      </c>
      <c r="AE244" s="187">
        <f t="shared" si="98"/>
        <v>0</v>
      </c>
      <c r="AF244" s="52">
        <f t="shared" si="79"/>
        <v>0</v>
      </c>
      <c r="AG244" s="200"/>
    </row>
    <row r="245" spans="1:33" ht="15" hidden="1" customHeight="1" x14ac:dyDescent="0.25">
      <c r="B245" s="54"/>
      <c r="C245" s="2"/>
      <c r="D245" s="225"/>
      <c r="E245" s="225" t="s">
        <v>391</v>
      </c>
      <c r="F245" s="76">
        <v>0</v>
      </c>
      <c r="G245" s="76">
        <v>0</v>
      </c>
      <c r="H245" s="76">
        <v>0</v>
      </c>
      <c r="I245" s="76">
        <v>0</v>
      </c>
      <c r="J245" s="76">
        <v>0</v>
      </c>
      <c r="K245" s="76">
        <f t="shared" si="82"/>
        <v>0</v>
      </c>
      <c r="L245" s="72"/>
      <c r="M245" s="42"/>
      <c r="N245" s="42"/>
      <c r="O245" s="42"/>
      <c r="P245" s="1"/>
      <c r="Q245" s="78"/>
      <c r="R245" s="78"/>
      <c r="S245" s="73"/>
      <c r="T245" s="72"/>
      <c r="U245" s="1"/>
      <c r="V245" s="78"/>
      <c r="W245" s="78"/>
      <c r="X245" s="1"/>
      <c r="Y245" s="78"/>
      <c r="Z245" s="78"/>
      <c r="AA245" s="44"/>
      <c r="AB245" s="343"/>
      <c r="AC245" s="78"/>
      <c r="AD245" s="78"/>
      <c r="AE245" s="44"/>
      <c r="AF245" s="52">
        <f t="shared" si="79"/>
        <v>0</v>
      </c>
      <c r="AG245" s="180"/>
    </row>
    <row r="246" spans="1:33" ht="15" hidden="1" customHeight="1" x14ac:dyDescent="0.25">
      <c r="B246" s="54"/>
      <c r="C246" s="2"/>
      <c r="D246" s="225"/>
      <c r="E246" s="225" t="s">
        <v>392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76">
        <f t="shared" si="82"/>
        <v>0</v>
      </c>
      <c r="L246" s="72"/>
      <c r="M246" s="42"/>
      <c r="N246" s="42"/>
      <c r="O246" s="42"/>
      <c r="P246" s="1"/>
      <c r="Q246" s="78"/>
      <c r="R246" s="78"/>
      <c r="S246" s="73"/>
      <c r="T246" s="72"/>
      <c r="U246" s="1"/>
      <c r="V246" s="78"/>
      <c r="W246" s="78"/>
      <c r="X246" s="1"/>
      <c r="Y246" s="78"/>
      <c r="Z246" s="78"/>
      <c r="AA246" s="44"/>
      <c r="AB246" s="343"/>
      <c r="AC246" s="78"/>
      <c r="AD246" s="78"/>
      <c r="AE246" s="44"/>
      <c r="AF246" s="52">
        <f t="shared" si="79"/>
        <v>0</v>
      </c>
      <c r="AG246" s="180"/>
    </row>
    <row r="247" spans="1:33" ht="15" hidden="1" customHeight="1" x14ac:dyDescent="0.25">
      <c r="B247" s="54"/>
      <c r="C247" s="2"/>
      <c r="D247" s="225"/>
      <c r="E247" s="225" t="s">
        <v>442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f t="shared" si="82"/>
        <v>0</v>
      </c>
      <c r="L247" s="72"/>
      <c r="M247" s="42"/>
      <c r="N247" s="42"/>
      <c r="O247" s="42"/>
      <c r="P247" s="1"/>
      <c r="Q247" s="78"/>
      <c r="R247" s="78"/>
      <c r="S247" s="73"/>
      <c r="T247" s="72"/>
      <c r="U247" s="1"/>
      <c r="V247" s="78"/>
      <c r="W247" s="78"/>
      <c r="X247" s="1"/>
      <c r="Y247" s="78"/>
      <c r="Z247" s="78"/>
      <c r="AA247" s="44"/>
      <c r="AB247" s="343"/>
      <c r="AC247" s="78"/>
      <c r="AD247" s="78"/>
      <c r="AE247" s="44"/>
      <c r="AF247" s="52">
        <f t="shared" si="79"/>
        <v>0</v>
      </c>
      <c r="AG247" s="180"/>
    </row>
    <row r="248" spans="1:33" s="199" customFormat="1" ht="15" hidden="1" customHeight="1" x14ac:dyDescent="0.25">
      <c r="A248" s="118" t="s">
        <v>97</v>
      </c>
      <c r="B248" s="181" t="s">
        <v>772</v>
      </c>
      <c r="C248" s="194"/>
      <c r="D248" s="247" t="s">
        <v>98</v>
      </c>
      <c r="E248" s="247"/>
      <c r="F248" s="193">
        <v>0</v>
      </c>
      <c r="G248" s="193">
        <v>0</v>
      </c>
      <c r="H248" s="193">
        <v>0</v>
      </c>
      <c r="I248" s="193">
        <v>0</v>
      </c>
      <c r="J248" s="193">
        <v>0</v>
      </c>
      <c r="K248" s="193">
        <f t="shared" si="82"/>
        <v>0</v>
      </c>
      <c r="L248" s="191"/>
      <c r="M248" s="184"/>
      <c r="N248" s="184"/>
      <c r="O248" s="184"/>
      <c r="P248" s="185"/>
      <c r="Q248" s="186"/>
      <c r="R248" s="186"/>
      <c r="S248" s="192"/>
      <c r="T248" s="191"/>
      <c r="U248" s="185"/>
      <c r="V248" s="186"/>
      <c r="W248" s="186"/>
      <c r="X248" s="185"/>
      <c r="Y248" s="186"/>
      <c r="Z248" s="186"/>
      <c r="AA248" s="187"/>
      <c r="AB248" s="340"/>
      <c r="AC248" s="186"/>
      <c r="AD248" s="186"/>
      <c r="AE248" s="187"/>
      <c r="AF248" s="52">
        <f t="shared" si="79"/>
        <v>0</v>
      </c>
      <c r="AG248" s="200"/>
    </row>
    <row r="249" spans="1:33" s="199" customFormat="1" ht="15" hidden="1" customHeight="1" x14ac:dyDescent="0.25">
      <c r="A249" s="118" t="s">
        <v>99</v>
      </c>
      <c r="B249" s="181" t="s">
        <v>773</v>
      </c>
      <c r="C249" s="194"/>
      <c r="D249" s="247" t="s">
        <v>100</v>
      </c>
      <c r="E249" s="247"/>
      <c r="F249" s="193">
        <v>0</v>
      </c>
      <c r="G249" s="193">
        <v>0</v>
      </c>
      <c r="H249" s="193">
        <v>0</v>
      </c>
      <c r="I249" s="193">
        <v>0</v>
      </c>
      <c r="J249" s="193">
        <v>0</v>
      </c>
      <c r="K249" s="193">
        <f t="shared" si="82"/>
        <v>0</v>
      </c>
      <c r="L249" s="191"/>
      <c r="M249" s="184"/>
      <c r="N249" s="184"/>
      <c r="O249" s="184"/>
      <c r="P249" s="185"/>
      <c r="Q249" s="186"/>
      <c r="R249" s="186"/>
      <c r="S249" s="192"/>
      <c r="T249" s="191"/>
      <c r="U249" s="185"/>
      <c r="V249" s="186"/>
      <c r="W249" s="186"/>
      <c r="X249" s="185"/>
      <c r="Y249" s="186"/>
      <c r="Z249" s="186"/>
      <c r="AA249" s="187"/>
      <c r="AB249" s="340"/>
      <c r="AC249" s="186"/>
      <c r="AD249" s="186"/>
      <c r="AE249" s="187"/>
      <c r="AF249" s="52">
        <f t="shared" si="79"/>
        <v>0</v>
      </c>
      <c r="AG249" s="200"/>
    </row>
    <row r="250" spans="1:33" s="199" customFormat="1" ht="15" hidden="1" customHeight="1" x14ac:dyDescent="0.25">
      <c r="A250" s="118" t="s">
        <v>101</v>
      </c>
      <c r="B250" s="181" t="s">
        <v>774</v>
      </c>
      <c r="C250" s="194"/>
      <c r="D250" s="247" t="s">
        <v>102</v>
      </c>
      <c r="E250" s="247"/>
      <c r="F250" s="193">
        <v>0</v>
      </c>
      <c r="G250" s="193">
        <v>0</v>
      </c>
      <c r="H250" s="193">
        <v>0</v>
      </c>
      <c r="I250" s="193">
        <v>0</v>
      </c>
      <c r="J250" s="193">
        <v>0</v>
      </c>
      <c r="K250" s="193">
        <f t="shared" si="82"/>
        <v>0</v>
      </c>
      <c r="L250" s="191"/>
      <c r="M250" s="184"/>
      <c r="N250" s="184"/>
      <c r="O250" s="184"/>
      <c r="P250" s="185"/>
      <c r="Q250" s="186"/>
      <c r="R250" s="186"/>
      <c r="S250" s="192"/>
      <c r="T250" s="191"/>
      <c r="U250" s="185"/>
      <c r="V250" s="186"/>
      <c r="W250" s="186"/>
      <c r="X250" s="185"/>
      <c r="Y250" s="186"/>
      <c r="Z250" s="186"/>
      <c r="AA250" s="187"/>
      <c r="AB250" s="340"/>
      <c r="AC250" s="186"/>
      <c r="AD250" s="186"/>
      <c r="AE250" s="187"/>
      <c r="AF250" s="52">
        <f t="shared" si="79"/>
        <v>0</v>
      </c>
      <c r="AG250" s="200"/>
    </row>
    <row r="251" spans="1:33" s="18" customFormat="1" x14ac:dyDescent="0.25">
      <c r="A251" s="118"/>
      <c r="B251" s="53" t="s">
        <v>775</v>
      </c>
      <c r="C251" s="642" t="s">
        <v>103</v>
      </c>
      <c r="D251" s="643"/>
      <c r="E251" s="643"/>
      <c r="F251" s="77">
        <v>14518030</v>
      </c>
      <c r="G251" s="77">
        <v>14523030</v>
      </c>
      <c r="H251" s="77">
        <v>14523030</v>
      </c>
      <c r="I251" s="77">
        <v>14523030</v>
      </c>
      <c r="J251" s="77">
        <v>14523030</v>
      </c>
      <c r="K251" s="77">
        <f t="shared" si="82"/>
        <v>14523030</v>
      </c>
      <c r="L251" s="74">
        <f t="shared" ref="L251:R251" si="99">L252+L253</f>
        <v>0</v>
      </c>
      <c r="M251" s="43">
        <f t="shared" si="99"/>
        <v>0</v>
      </c>
      <c r="N251" s="43">
        <f t="shared" si="99"/>
        <v>0</v>
      </c>
      <c r="O251" s="43">
        <f t="shared" si="99"/>
        <v>0</v>
      </c>
      <c r="P251" s="13">
        <f>P252+P253</f>
        <v>14523030</v>
      </c>
      <c r="Q251" s="79"/>
      <c r="R251" s="79">
        <f t="shared" si="99"/>
        <v>0</v>
      </c>
      <c r="S251" s="75"/>
      <c r="T251" s="74">
        <f>T252+T253</f>
        <v>14523030</v>
      </c>
      <c r="U251" s="13">
        <f t="shared" ref="U251:AE251" si="100">U252+U253</f>
        <v>0</v>
      </c>
      <c r="V251" s="79">
        <f t="shared" si="100"/>
        <v>0</v>
      </c>
      <c r="W251" s="79">
        <f t="shared" si="100"/>
        <v>0</v>
      </c>
      <c r="X251" s="13">
        <f t="shared" si="100"/>
        <v>0</v>
      </c>
      <c r="Y251" s="79">
        <f t="shared" si="100"/>
        <v>0</v>
      </c>
      <c r="Z251" s="79">
        <f t="shared" si="100"/>
        <v>0</v>
      </c>
      <c r="AA251" s="45">
        <f t="shared" si="100"/>
        <v>0</v>
      </c>
      <c r="AB251" s="342">
        <f t="shared" si="100"/>
        <v>0</v>
      </c>
      <c r="AC251" s="79">
        <f t="shared" si="100"/>
        <v>0</v>
      </c>
      <c r="AD251" s="79">
        <f t="shared" si="100"/>
        <v>0</v>
      </c>
      <c r="AE251" s="45">
        <f t="shared" si="100"/>
        <v>0</v>
      </c>
      <c r="AF251" s="52">
        <f t="shared" si="79"/>
        <v>0</v>
      </c>
      <c r="AG251" s="180"/>
    </row>
    <row r="252" spans="1:33" s="199" customFormat="1" ht="15.75" thickBot="1" x14ac:dyDescent="0.3">
      <c r="A252" s="118" t="s">
        <v>104</v>
      </c>
      <c r="B252" s="181" t="s">
        <v>776</v>
      </c>
      <c r="C252" s="194"/>
      <c r="D252" s="630" t="s">
        <v>766</v>
      </c>
      <c r="E252" s="630"/>
      <c r="F252" s="193">
        <v>14518030</v>
      </c>
      <c r="G252" s="193">
        <v>14523030</v>
      </c>
      <c r="H252" s="193">
        <v>14523030</v>
      </c>
      <c r="I252" s="193">
        <v>14523030</v>
      </c>
      <c r="J252" s="193">
        <v>14523030</v>
      </c>
      <c r="K252" s="193">
        <f>SUM(T252:AE252)</f>
        <v>14523030</v>
      </c>
      <c r="L252" s="191"/>
      <c r="M252" s="184"/>
      <c r="N252" s="184"/>
      <c r="O252" s="184"/>
      <c r="P252" s="185">
        <f>K252</f>
        <v>14523030</v>
      </c>
      <c r="Q252" s="186"/>
      <c r="R252" s="186"/>
      <c r="S252" s="192"/>
      <c r="T252" s="191">
        <f>14518030+5000</f>
        <v>14523030</v>
      </c>
      <c r="U252" s="185"/>
      <c r="V252" s="186"/>
      <c r="W252" s="186"/>
      <c r="X252" s="185"/>
      <c r="Y252" s="186"/>
      <c r="Z252" s="186"/>
      <c r="AA252" s="187"/>
      <c r="AB252" s="340"/>
      <c r="AC252" s="186"/>
      <c r="AD252" s="186"/>
      <c r="AE252" s="187"/>
      <c r="AF252" s="52">
        <f t="shared" si="79"/>
        <v>0</v>
      </c>
      <c r="AG252" s="200"/>
    </row>
    <row r="253" spans="1:33" s="199" customFormat="1" ht="15.75" hidden="1" customHeight="1" x14ac:dyDescent="0.25">
      <c r="A253" s="118" t="s">
        <v>105</v>
      </c>
      <c r="B253" s="181" t="s">
        <v>777</v>
      </c>
      <c r="C253" s="194"/>
      <c r="D253" s="630" t="s">
        <v>778</v>
      </c>
      <c r="E253" s="630"/>
      <c r="F253" s="193">
        <v>0</v>
      </c>
      <c r="G253" s="193">
        <v>0</v>
      </c>
      <c r="H253" s="193">
        <v>0</v>
      </c>
      <c r="I253" s="193">
        <v>0</v>
      </c>
      <c r="J253" s="193">
        <v>0</v>
      </c>
      <c r="K253" s="193">
        <f t="shared" si="82"/>
        <v>0</v>
      </c>
      <c r="L253" s="191"/>
      <c r="M253" s="184"/>
      <c r="N253" s="184"/>
      <c r="O253" s="184"/>
      <c r="P253" s="185"/>
      <c r="Q253" s="186"/>
      <c r="R253" s="186"/>
      <c r="S253" s="192"/>
      <c r="T253" s="191"/>
      <c r="U253" s="185"/>
      <c r="V253" s="186"/>
      <c r="W253" s="186"/>
      <c r="X253" s="185"/>
      <c r="Y253" s="186"/>
      <c r="Z253" s="186"/>
      <c r="AA253" s="187"/>
      <c r="AB253" s="340"/>
      <c r="AC253" s="186"/>
      <c r="AD253" s="186"/>
      <c r="AE253" s="187"/>
      <c r="AF253" s="52">
        <f t="shared" si="79"/>
        <v>0</v>
      </c>
      <c r="AG253" s="200"/>
    </row>
    <row r="254" spans="1:33" s="41" customFormat="1" ht="15.75" hidden="1" customHeight="1" thickBot="1" x14ac:dyDescent="0.3">
      <c r="A254" s="118" t="s">
        <v>106</v>
      </c>
      <c r="B254" s="53" t="s">
        <v>779</v>
      </c>
      <c r="C254" s="642" t="s">
        <v>390</v>
      </c>
      <c r="D254" s="643"/>
      <c r="E254" s="643"/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77">
        <f t="shared" si="82"/>
        <v>0</v>
      </c>
      <c r="L254" s="74"/>
      <c r="M254" s="43"/>
      <c r="N254" s="43"/>
      <c r="O254" s="43"/>
      <c r="P254" s="13"/>
      <c r="Q254" s="79"/>
      <c r="R254" s="79"/>
      <c r="S254" s="75"/>
      <c r="T254" s="74"/>
      <c r="U254" s="13"/>
      <c r="V254" s="79"/>
      <c r="W254" s="79"/>
      <c r="X254" s="13"/>
      <c r="Y254" s="79"/>
      <c r="Z254" s="79"/>
      <c r="AA254" s="45"/>
      <c r="AB254" s="342"/>
      <c r="AC254" s="79"/>
      <c r="AD254" s="79"/>
      <c r="AE254" s="45"/>
      <c r="AF254" s="52">
        <f t="shared" si="79"/>
        <v>0</v>
      </c>
      <c r="AG254" s="180"/>
    </row>
    <row r="255" spans="1:33" s="41" customFormat="1" ht="15.75" hidden="1" customHeight="1" x14ac:dyDescent="0.25">
      <c r="A255" s="118" t="s">
        <v>942</v>
      </c>
      <c r="B255" s="53" t="s">
        <v>943</v>
      </c>
      <c r="C255" s="642" t="s">
        <v>944</v>
      </c>
      <c r="D255" s="643"/>
      <c r="E255" s="643"/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77">
        <f t="shared" si="82"/>
        <v>0</v>
      </c>
      <c r="L255" s="74"/>
      <c r="M255" s="43"/>
      <c r="N255" s="43"/>
      <c r="O255" s="43"/>
      <c r="P255" s="13"/>
      <c r="Q255" s="79"/>
      <c r="R255" s="79"/>
      <c r="S255" s="75"/>
      <c r="T255" s="74"/>
      <c r="U255" s="13"/>
      <c r="V255" s="79"/>
      <c r="W255" s="79"/>
      <c r="X255" s="13"/>
      <c r="Y255" s="79"/>
      <c r="Z255" s="79"/>
      <c r="AA255" s="45"/>
      <c r="AB255" s="342"/>
      <c r="AC255" s="79"/>
      <c r="AD255" s="79"/>
      <c r="AE255" s="45"/>
      <c r="AF255" s="52">
        <f t="shared" si="79"/>
        <v>0</v>
      </c>
      <c r="AG255" s="180"/>
    </row>
    <row r="256" spans="1:33" s="41" customFormat="1" ht="15.75" hidden="1" customHeight="1" x14ac:dyDescent="0.25">
      <c r="A256" s="118" t="s">
        <v>107</v>
      </c>
      <c r="B256" s="53" t="s">
        <v>780</v>
      </c>
      <c r="C256" s="642" t="s">
        <v>945</v>
      </c>
      <c r="D256" s="643"/>
      <c r="E256" s="643"/>
      <c r="F256" s="77">
        <v>0</v>
      </c>
      <c r="G256" s="77">
        <v>0</v>
      </c>
      <c r="H256" s="77">
        <v>0</v>
      </c>
      <c r="I256" s="77">
        <v>0</v>
      </c>
      <c r="J256" s="77">
        <v>0</v>
      </c>
      <c r="K256" s="77">
        <f t="shared" si="82"/>
        <v>0</v>
      </c>
      <c r="L256" s="74"/>
      <c r="M256" s="43"/>
      <c r="N256" s="43"/>
      <c r="O256" s="43"/>
      <c r="P256" s="13"/>
      <c r="Q256" s="79"/>
      <c r="R256" s="79"/>
      <c r="S256" s="75"/>
      <c r="T256" s="74"/>
      <c r="U256" s="13"/>
      <c r="V256" s="79"/>
      <c r="W256" s="79"/>
      <c r="X256" s="13"/>
      <c r="Y256" s="79"/>
      <c r="Z256" s="79"/>
      <c r="AA256" s="45"/>
      <c r="AB256" s="342"/>
      <c r="AC256" s="79"/>
      <c r="AD256" s="79"/>
      <c r="AE256" s="45"/>
      <c r="AF256" s="52">
        <f t="shared" si="79"/>
        <v>0</v>
      </c>
      <c r="AG256" s="180"/>
    </row>
    <row r="257" spans="1:33" s="41" customFormat="1" ht="15.75" hidden="1" customHeight="1" x14ac:dyDescent="0.25">
      <c r="A257" s="118" t="s">
        <v>108</v>
      </c>
      <c r="B257" s="53" t="s">
        <v>781</v>
      </c>
      <c r="C257" s="642" t="s">
        <v>389</v>
      </c>
      <c r="D257" s="643"/>
      <c r="E257" s="643"/>
      <c r="F257" s="77">
        <v>0</v>
      </c>
      <c r="G257" s="77">
        <v>0</v>
      </c>
      <c r="H257" s="77">
        <v>0</v>
      </c>
      <c r="I257" s="77">
        <v>0</v>
      </c>
      <c r="J257" s="77">
        <v>0</v>
      </c>
      <c r="K257" s="77">
        <f t="shared" si="82"/>
        <v>0</v>
      </c>
      <c r="L257" s="74"/>
      <c r="M257" s="43"/>
      <c r="N257" s="43"/>
      <c r="O257" s="43"/>
      <c r="P257" s="13"/>
      <c r="Q257" s="79"/>
      <c r="R257" s="79"/>
      <c r="S257" s="75"/>
      <c r="T257" s="74"/>
      <c r="U257" s="13"/>
      <c r="V257" s="79"/>
      <c r="W257" s="79"/>
      <c r="X257" s="13"/>
      <c r="Y257" s="79"/>
      <c r="Z257" s="79"/>
      <c r="AA257" s="45"/>
      <c r="AB257" s="342"/>
      <c r="AC257" s="79"/>
      <c r="AD257" s="79"/>
      <c r="AE257" s="45"/>
      <c r="AF257" s="52">
        <f t="shared" si="79"/>
        <v>0</v>
      </c>
      <c r="AG257" s="180"/>
    </row>
    <row r="258" spans="1:33" s="41" customFormat="1" ht="15.75" hidden="1" customHeight="1" x14ac:dyDescent="0.25">
      <c r="A258" s="118" t="s">
        <v>946</v>
      </c>
      <c r="B258" s="53" t="s">
        <v>947</v>
      </c>
      <c r="C258" s="642" t="s">
        <v>949</v>
      </c>
      <c r="D258" s="643"/>
      <c r="E258" s="643"/>
      <c r="F258" s="77">
        <v>0</v>
      </c>
      <c r="G258" s="77">
        <v>0</v>
      </c>
      <c r="H258" s="77">
        <v>0</v>
      </c>
      <c r="I258" s="77">
        <v>0</v>
      </c>
      <c r="J258" s="77">
        <v>0</v>
      </c>
      <c r="K258" s="77">
        <f t="shared" si="82"/>
        <v>0</v>
      </c>
      <c r="L258" s="74"/>
      <c r="M258" s="43"/>
      <c r="N258" s="43"/>
      <c r="O258" s="43"/>
      <c r="P258" s="13"/>
      <c r="Q258" s="79"/>
      <c r="R258" s="79"/>
      <c r="S258" s="75"/>
      <c r="T258" s="74"/>
      <c r="U258" s="13"/>
      <c r="V258" s="79"/>
      <c r="W258" s="79"/>
      <c r="X258" s="13"/>
      <c r="Y258" s="79"/>
      <c r="Z258" s="79"/>
      <c r="AA258" s="45"/>
      <c r="AB258" s="342"/>
      <c r="AC258" s="79"/>
      <c r="AD258" s="79"/>
      <c r="AE258" s="45"/>
      <c r="AF258" s="52">
        <f t="shared" si="79"/>
        <v>0</v>
      </c>
      <c r="AG258" s="180"/>
    </row>
    <row r="259" spans="1:33" s="41" customFormat="1" ht="15.75" hidden="1" customHeight="1" x14ac:dyDescent="0.25">
      <c r="A259" s="118"/>
      <c r="B259" s="53" t="s">
        <v>948</v>
      </c>
      <c r="C259" s="642" t="s">
        <v>950</v>
      </c>
      <c r="D259" s="643"/>
      <c r="E259" s="643"/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77">
        <f t="shared" si="82"/>
        <v>0</v>
      </c>
      <c r="L259" s="74">
        <f t="shared" ref="L259:R259" si="101">L260+L261</f>
        <v>0</v>
      </c>
      <c r="M259" s="43">
        <f t="shared" si="101"/>
        <v>0</v>
      </c>
      <c r="N259" s="43">
        <f t="shared" si="101"/>
        <v>0</v>
      </c>
      <c r="O259" s="43">
        <f t="shared" si="101"/>
        <v>0</v>
      </c>
      <c r="P259" s="13">
        <f t="shared" si="101"/>
        <v>0</v>
      </c>
      <c r="Q259" s="79"/>
      <c r="R259" s="79">
        <f t="shared" si="101"/>
        <v>0</v>
      </c>
      <c r="S259" s="75"/>
      <c r="T259" s="74">
        <f>T260+T261</f>
        <v>0</v>
      </c>
      <c r="U259" s="13">
        <f t="shared" ref="U259:AE259" si="102">U260+U261</f>
        <v>0</v>
      </c>
      <c r="V259" s="79">
        <f t="shared" si="102"/>
        <v>0</v>
      </c>
      <c r="W259" s="79">
        <f t="shared" si="102"/>
        <v>0</v>
      </c>
      <c r="X259" s="13"/>
      <c r="Y259" s="79">
        <f t="shared" si="102"/>
        <v>0</v>
      </c>
      <c r="Z259" s="79">
        <f t="shared" si="102"/>
        <v>0</v>
      </c>
      <c r="AA259" s="45">
        <f t="shared" si="102"/>
        <v>0</v>
      </c>
      <c r="AB259" s="342">
        <f t="shared" si="102"/>
        <v>0</v>
      </c>
      <c r="AC259" s="79">
        <f t="shared" si="102"/>
        <v>0</v>
      </c>
      <c r="AD259" s="79">
        <f t="shared" si="102"/>
        <v>0</v>
      </c>
      <c r="AE259" s="45">
        <f t="shared" si="102"/>
        <v>0</v>
      </c>
      <c r="AF259" s="52">
        <f t="shared" si="79"/>
        <v>0</v>
      </c>
      <c r="AG259" s="180"/>
    </row>
    <row r="260" spans="1:33" s="199" customFormat="1" ht="15.75" hidden="1" customHeight="1" x14ac:dyDescent="0.25">
      <c r="A260" s="118" t="s">
        <v>953</v>
      </c>
      <c r="B260" s="181" t="s">
        <v>955</v>
      </c>
      <c r="C260" s="194"/>
      <c r="D260" s="630" t="s">
        <v>951</v>
      </c>
      <c r="E260" s="630"/>
      <c r="F260" s="193">
        <v>0</v>
      </c>
      <c r="G260" s="193">
        <v>0</v>
      </c>
      <c r="H260" s="193">
        <v>0</v>
      </c>
      <c r="I260" s="193">
        <v>0</v>
      </c>
      <c r="J260" s="193">
        <v>0</v>
      </c>
      <c r="K260" s="193">
        <f t="shared" si="82"/>
        <v>0</v>
      </c>
      <c r="L260" s="191"/>
      <c r="M260" s="184"/>
      <c r="N260" s="184"/>
      <c r="O260" s="184"/>
      <c r="P260" s="185"/>
      <c r="Q260" s="186"/>
      <c r="R260" s="186"/>
      <c r="S260" s="192"/>
      <c r="T260" s="191"/>
      <c r="U260" s="185"/>
      <c r="V260" s="186"/>
      <c r="W260" s="186"/>
      <c r="X260" s="185"/>
      <c r="Y260" s="186"/>
      <c r="Z260" s="186"/>
      <c r="AA260" s="187"/>
      <c r="AB260" s="340"/>
      <c r="AC260" s="186"/>
      <c r="AD260" s="186"/>
      <c r="AE260" s="187"/>
      <c r="AF260" s="52">
        <f t="shared" si="79"/>
        <v>0</v>
      </c>
      <c r="AG260" s="200"/>
    </row>
    <row r="261" spans="1:33" s="199" customFormat="1" ht="15.75" hidden="1" customHeight="1" x14ac:dyDescent="0.25">
      <c r="A261" s="118" t="s">
        <v>954</v>
      </c>
      <c r="B261" s="181" t="s">
        <v>956</v>
      </c>
      <c r="C261" s="194"/>
      <c r="D261" s="630" t="s">
        <v>952</v>
      </c>
      <c r="E261" s="630"/>
      <c r="F261" s="193">
        <v>0</v>
      </c>
      <c r="G261" s="193">
        <v>0</v>
      </c>
      <c r="H261" s="193">
        <v>0</v>
      </c>
      <c r="I261" s="193">
        <v>0</v>
      </c>
      <c r="J261" s="193">
        <v>0</v>
      </c>
      <c r="K261" s="193">
        <f t="shared" si="82"/>
        <v>0</v>
      </c>
      <c r="L261" s="191"/>
      <c r="M261" s="184"/>
      <c r="N261" s="184"/>
      <c r="O261" s="184"/>
      <c r="P261" s="185"/>
      <c r="Q261" s="186"/>
      <c r="R261" s="186"/>
      <c r="S261" s="192"/>
      <c r="T261" s="191"/>
      <c r="U261" s="185"/>
      <c r="V261" s="186"/>
      <c r="W261" s="186"/>
      <c r="X261" s="185"/>
      <c r="Y261" s="186"/>
      <c r="Z261" s="186"/>
      <c r="AA261" s="187"/>
      <c r="AB261" s="340"/>
      <c r="AC261" s="186"/>
      <c r="AD261" s="186"/>
      <c r="AE261" s="187"/>
      <c r="AF261" s="52">
        <f t="shared" si="79"/>
        <v>0</v>
      </c>
      <c r="AG261" s="200"/>
    </row>
    <row r="262" spans="1:33" ht="15.75" hidden="1" customHeight="1" x14ac:dyDescent="0.25">
      <c r="B262" s="88" t="s">
        <v>782</v>
      </c>
      <c r="C262" s="640" t="s">
        <v>109</v>
      </c>
      <c r="D262" s="641"/>
      <c r="E262" s="641"/>
      <c r="F262" s="383">
        <v>0</v>
      </c>
      <c r="G262" s="383">
        <v>0</v>
      </c>
      <c r="H262" s="383">
        <v>0</v>
      </c>
      <c r="I262" s="383">
        <v>0</v>
      </c>
      <c r="J262" s="383">
        <v>0</v>
      </c>
      <c r="K262" s="383">
        <f t="shared" si="82"/>
        <v>0</v>
      </c>
      <c r="L262" s="90">
        <f t="shared" ref="L262:R262" si="103">L263+L264+L265+L266+L267</f>
        <v>0</v>
      </c>
      <c r="M262" s="93">
        <f t="shared" si="103"/>
        <v>0</v>
      </c>
      <c r="N262" s="93">
        <f t="shared" si="103"/>
        <v>0</v>
      </c>
      <c r="O262" s="93">
        <f t="shared" si="103"/>
        <v>0</v>
      </c>
      <c r="P262" s="91">
        <f t="shared" si="103"/>
        <v>0</v>
      </c>
      <c r="Q262" s="94"/>
      <c r="R262" s="94">
        <f t="shared" si="103"/>
        <v>0</v>
      </c>
      <c r="S262" s="92"/>
      <c r="T262" s="90">
        <f>T263+T264+T265+T266+T267</f>
        <v>0</v>
      </c>
      <c r="U262" s="91">
        <f t="shared" ref="U262:AE262" si="104">U263+U264+U265+U266+U267</f>
        <v>0</v>
      </c>
      <c r="V262" s="94">
        <f t="shared" si="104"/>
        <v>0</v>
      </c>
      <c r="W262" s="94">
        <f t="shared" si="104"/>
        <v>0</v>
      </c>
      <c r="X262" s="91"/>
      <c r="Y262" s="94">
        <f t="shared" si="104"/>
        <v>0</v>
      </c>
      <c r="Z262" s="94">
        <f t="shared" si="104"/>
        <v>0</v>
      </c>
      <c r="AA262" s="95">
        <f t="shared" si="104"/>
        <v>0</v>
      </c>
      <c r="AB262" s="346">
        <f t="shared" si="104"/>
        <v>0</v>
      </c>
      <c r="AC262" s="94">
        <f t="shared" si="104"/>
        <v>0</v>
      </c>
      <c r="AD262" s="94">
        <f t="shared" si="104"/>
        <v>0</v>
      </c>
      <c r="AE262" s="95">
        <f t="shared" si="104"/>
        <v>0</v>
      </c>
      <c r="AF262" s="52">
        <f t="shared" ref="AF262:AF270" si="105">K262-J262</f>
        <v>0</v>
      </c>
      <c r="AG262" s="180"/>
    </row>
    <row r="263" spans="1:33" s="41" customFormat="1" ht="15.75" hidden="1" customHeight="1" x14ac:dyDescent="0.25">
      <c r="A263" s="118" t="s">
        <v>110</v>
      </c>
      <c r="B263" s="53" t="s">
        <v>783</v>
      </c>
      <c r="C263" s="642" t="s">
        <v>957</v>
      </c>
      <c r="D263" s="643"/>
      <c r="E263" s="643"/>
      <c r="F263" s="77">
        <v>0</v>
      </c>
      <c r="G263" s="77">
        <v>0</v>
      </c>
      <c r="H263" s="77">
        <v>0</v>
      </c>
      <c r="I263" s="77">
        <v>0</v>
      </c>
      <c r="J263" s="77">
        <v>0</v>
      </c>
      <c r="K263" s="77">
        <f t="shared" si="82"/>
        <v>0</v>
      </c>
      <c r="L263" s="74"/>
      <c r="M263" s="43"/>
      <c r="N263" s="43"/>
      <c r="O263" s="43"/>
      <c r="P263" s="13"/>
      <c r="Q263" s="79"/>
      <c r="R263" s="79"/>
      <c r="S263" s="75"/>
      <c r="T263" s="74"/>
      <c r="U263" s="13"/>
      <c r="V263" s="79"/>
      <c r="W263" s="79"/>
      <c r="X263" s="13"/>
      <c r="Y263" s="79"/>
      <c r="Z263" s="79"/>
      <c r="AA263" s="45"/>
      <c r="AB263" s="342"/>
      <c r="AC263" s="79"/>
      <c r="AD263" s="79"/>
      <c r="AE263" s="45"/>
      <c r="AF263" s="52">
        <f t="shared" si="105"/>
        <v>0</v>
      </c>
      <c r="AG263" s="195"/>
    </row>
    <row r="264" spans="1:33" s="41" customFormat="1" ht="15.75" hidden="1" customHeight="1" x14ac:dyDescent="0.25">
      <c r="A264" s="118" t="s">
        <v>111</v>
      </c>
      <c r="B264" s="53" t="s">
        <v>784</v>
      </c>
      <c r="C264" s="642" t="s">
        <v>958</v>
      </c>
      <c r="D264" s="643"/>
      <c r="E264" s="643"/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77">
        <f t="shared" si="82"/>
        <v>0</v>
      </c>
      <c r="L264" s="74"/>
      <c r="M264" s="43"/>
      <c r="N264" s="43"/>
      <c r="O264" s="43"/>
      <c r="P264" s="13"/>
      <c r="Q264" s="79"/>
      <c r="R264" s="79"/>
      <c r="S264" s="75"/>
      <c r="T264" s="74"/>
      <c r="U264" s="13"/>
      <c r="V264" s="79"/>
      <c r="W264" s="79"/>
      <c r="X264" s="13"/>
      <c r="Y264" s="79"/>
      <c r="Z264" s="79"/>
      <c r="AA264" s="45"/>
      <c r="AB264" s="342"/>
      <c r="AC264" s="79"/>
      <c r="AD264" s="79"/>
      <c r="AE264" s="45"/>
      <c r="AF264" s="52">
        <f t="shared" si="105"/>
        <v>0</v>
      </c>
      <c r="AG264" s="195"/>
    </row>
    <row r="265" spans="1:33" s="41" customFormat="1" ht="15.75" hidden="1" customHeight="1" x14ac:dyDescent="0.25">
      <c r="A265" s="118" t="s">
        <v>112</v>
      </c>
      <c r="B265" s="53" t="s">
        <v>785</v>
      </c>
      <c r="C265" s="642" t="s">
        <v>388</v>
      </c>
      <c r="D265" s="643"/>
      <c r="E265" s="643"/>
      <c r="F265" s="77">
        <v>0</v>
      </c>
      <c r="G265" s="77">
        <v>0</v>
      </c>
      <c r="H265" s="77">
        <v>0</v>
      </c>
      <c r="I265" s="77">
        <v>0</v>
      </c>
      <c r="J265" s="77">
        <v>0</v>
      </c>
      <c r="K265" s="77">
        <f t="shared" si="82"/>
        <v>0</v>
      </c>
      <c r="L265" s="74"/>
      <c r="M265" s="43"/>
      <c r="N265" s="43"/>
      <c r="O265" s="43"/>
      <c r="P265" s="13"/>
      <c r="Q265" s="79"/>
      <c r="R265" s="79"/>
      <c r="S265" s="75"/>
      <c r="T265" s="74"/>
      <c r="U265" s="13"/>
      <c r="V265" s="79"/>
      <c r="W265" s="79"/>
      <c r="X265" s="13"/>
      <c r="Y265" s="79"/>
      <c r="Z265" s="79"/>
      <c r="AA265" s="45"/>
      <c r="AB265" s="342"/>
      <c r="AC265" s="79"/>
      <c r="AD265" s="79"/>
      <c r="AE265" s="45"/>
      <c r="AF265" s="52">
        <f t="shared" si="105"/>
        <v>0</v>
      </c>
      <c r="AG265" s="195"/>
    </row>
    <row r="266" spans="1:33" s="41" customFormat="1" ht="25.5" hidden="1" customHeight="1" x14ac:dyDescent="0.25">
      <c r="A266" s="118" t="s">
        <v>113</v>
      </c>
      <c r="B266" s="53" t="s">
        <v>786</v>
      </c>
      <c r="C266" s="644" t="s">
        <v>959</v>
      </c>
      <c r="D266" s="645"/>
      <c r="E266" s="645"/>
      <c r="F266" s="77">
        <v>0</v>
      </c>
      <c r="G266" s="77">
        <v>0</v>
      </c>
      <c r="H266" s="77">
        <v>0</v>
      </c>
      <c r="I266" s="77">
        <v>0</v>
      </c>
      <c r="J266" s="77">
        <v>0</v>
      </c>
      <c r="K266" s="77">
        <f t="shared" si="82"/>
        <v>0</v>
      </c>
      <c r="L266" s="74"/>
      <c r="M266" s="43"/>
      <c r="N266" s="43"/>
      <c r="O266" s="43"/>
      <c r="P266" s="13"/>
      <c r="Q266" s="79"/>
      <c r="R266" s="79"/>
      <c r="S266" s="75"/>
      <c r="T266" s="74"/>
      <c r="U266" s="13"/>
      <c r="V266" s="79"/>
      <c r="W266" s="79"/>
      <c r="X266" s="13"/>
      <c r="Y266" s="79"/>
      <c r="Z266" s="79"/>
      <c r="AA266" s="45"/>
      <c r="AB266" s="342"/>
      <c r="AC266" s="79"/>
      <c r="AD266" s="79"/>
      <c r="AE266" s="45"/>
      <c r="AF266" s="52">
        <f t="shared" si="105"/>
        <v>0</v>
      </c>
      <c r="AG266" s="195"/>
    </row>
    <row r="267" spans="1:33" s="41" customFormat="1" ht="15.75" hidden="1" customHeight="1" x14ac:dyDescent="0.25">
      <c r="A267" s="118" t="s">
        <v>114</v>
      </c>
      <c r="B267" s="53" t="s">
        <v>787</v>
      </c>
      <c r="C267" s="642" t="s">
        <v>960</v>
      </c>
      <c r="D267" s="643"/>
      <c r="E267" s="643"/>
      <c r="F267" s="77">
        <v>0</v>
      </c>
      <c r="G267" s="77">
        <v>0</v>
      </c>
      <c r="H267" s="77">
        <v>0</v>
      </c>
      <c r="I267" s="77">
        <v>0</v>
      </c>
      <c r="J267" s="77">
        <v>0</v>
      </c>
      <c r="K267" s="77">
        <f t="shared" si="82"/>
        <v>0</v>
      </c>
      <c r="L267" s="74"/>
      <c r="M267" s="43"/>
      <c r="N267" s="43"/>
      <c r="O267" s="43"/>
      <c r="P267" s="13"/>
      <c r="Q267" s="79"/>
      <c r="R267" s="79"/>
      <c r="S267" s="75"/>
      <c r="T267" s="74"/>
      <c r="U267" s="13"/>
      <c r="V267" s="79"/>
      <c r="W267" s="79"/>
      <c r="X267" s="13"/>
      <c r="Y267" s="79"/>
      <c r="Z267" s="79"/>
      <c r="AA267" s="45"/>
      <c r="AB267" s="342"/>
      <c r="AC267" s="79"/>
      <c r="AD267" s="79"/>
      <c r="AE267" s="45"/>
      <c r="AF267" s="52">
        <f t="shared" si="105"/>
        <v>0</v>
      </c>
      <c r="AG267" s="195"/>
    </row>
    <row r="268" spans="1:33" s="18" customFormat="1" ht="15.75" hidden="1" customHeight="1" x14ac:dyDescent="0.25">
      <c r="A268" s="118" t="s">
        <v>115</v>
      </c>
      <c r="B268" s="117" t="s">
        <v>788</v>
      </c>
      <c r="C268" s="636" t="s">
        <v>116</v>
      </c>
      <c r="D268" s="637"/>
      <c r="E268" s="637"/>
      <c r="F268" s="383">
        <v>0</v>
      </c>
      <c r="G268" s="383">
        <v>0</v>
      </c>
      <c r="H268" s="383">
        <v>0</v>
      </c>
      <c r="I268" s="383">
        <v>0</v>
      </c>
      <c r="J268" s="383">
        <v>0</v>
      </c>
      <c r="K268" s="383">
        <f t="shared" si="82"/>
        <v>0</v>
      </c>
      <c r="L268" s="90"/>
      <c r="M268" s="93"/>
      <c r="N268" s="93"/>
      <c r="O268" s="93"/>
      <c r="P268" s="91"/>
      <c r="Q268" s="94"/>
      <c r="R268" s="94"/>
      <c r="S268" s="92"/>
      <c r="T268" s="90"/>
      <c r="U268" s="91"/>
      <c r="V268" s="94"/>
      <c r="W268" s="94"/>
      <c r="X268" s="91"/>
      <c r="Y268" s="94"/>
      <c r="Z268" s="94"/>
      <c r="AA268" s="95"/>
      <c r="AB268" s="346"/>
      <c r="AC268" s="94"/>
      <c r="AD268" s="94"/>
      <c r="AE268" s="95"/>
      <c r="AF268" s="52">
        <f t="shared" si="105"/>
        <v>0</v>
      </c>
      <c r="AG268" s="180"/>
    </row>
    <row r="269" spans="1:33" s="18" customFormat="1" ht="15.75" hidden="1" customHeight="1" thickBot="1" x14ac:dyDescent="0.3">
      <c r="A269" s="118" t="s">
        <v>961</v>
      </c>
      <c r="B269" s="117" t="s">
        <v>962</v>
      </c>
      <c r="C269" s="636" t="s">
        <v>963</v>
      </c>
      <c r="D269" s="637"/>
      <c r="E269" s="637"/>
      <c r="F269" s="383">
        <v>0</v>
      </c>
      <c r="G269" s="383">
        <v>0</v>
      </c>
      <c r="H269" s="383">
        <v>0</v>
      </c>
      <c r="I269" s="383">
        <v>0</v>
      </c>
      <c r="J269" s="383">
        <v>0</v>
      </c>
      <c r="K269" s="383">
        <f>SUM(T269:AE269)</f>
        <v>0</v>
      </c>
      <c r="L269" s="90"/>
      <c r="M269" s="93"/>
      <c r="N269" s="93"/>
      <c r="O269" s="93"/>
      <c r="P269" s="91"/>
      <c r="Q269" s="94"/>
      <c r="R269" s="94"/>
      <c r="S269" s="92"/>
      <c r="T269" s="90"/>
      <c r="U269" s="91"/>
      <c r="V269" s="94"/>
      <c r="W269" s="94"/>
      <c r="X269" s="91"/>
      <c r="Y269" s="94"/>
      <c r="Z269" s="94"/>
      <c r="AA269" s="95"/>
      <c r="AB269" s="346"/>
      <c r="AC269" s="94"/>
      <c r="AD269" s="94"/>
      <c r="AE269" s="95"/>
      <c r="AF269" s="52">
        <f t="shared" si="105"/>
        <v>0</v>
      </c>
      <c r="AG269" s="180"/>
    </row>
    <row r="270" spans="1:33" s="57" customFormat="1" ht="16.5" thickBot="1" x14ac:dyDescent="0.3">
      <c r="A270" s="119"/>
      <c r="B270" s="638" t="s">
        <v>117</v>
      </c>
      <c r="C270" s="639"/>
      <c r="D270" s="639"/>
      <c r="E270" s="639"/>
      <c r="F270" s="570">
        <v>141163764</v>
      </c>
      <c r="G270" s="570">
        <v>135936164</v>
      </c>
      <c r="H270" s="570">
        <v>138698203</v>
      </c>
      <c r="I270" s="570">
        <f>I237+I211+I185+I175+I129+I94+I58+I5</f>
        <v>138756897</v>
      </c>
      <c r="J270" s="570">
        <f>J237+J211+J185+J175+J129+J94+J58+J5</f>
        <v>174124082</v>
      </c>
      <c r="K270" s="570">
        <f>K237+K211+K185+K175+K129+K94+K58+K5</f>
        <v>174124082</v>
      </c>
      <c r="L270" s="97">
        <f t="shared" ref="L270:X270" si="106">L5+L58+L94+L129+L175+L185+L211+L237</f>
        <v>503755</v>
      </c>
      <c r="M270" s="99">
        <f t="shared" si="106"/>
        <v>0</v>
      </c>
      <c r="N270" s="99">
        <f t="shared" si="106"/>
        <v>3266296</v>
      </c>
      <c r="O270" s="99">
        <f t="shared" si="106"/>
        <v>130976501</v>
      </c>
      <c r="P270" s="98">
        <f t="shared" si="106"/>
        <v>14523030</v>
      </c>
      <c r="Q270" s="98">
        <f t="shared" si="106"/>
        <v>100000</v>
      </c>
      <c r="R270" s="409">
        <f t="shared" si="106"/>
        <v>9754500</v>
      </c>
      <c r="S270" s="409">
        <f t="shared" si="106"/>
        <v>15000000</v>
      </c>
      <c r="T270" s="97">
        <f t="shared" si="106"/>
        <v>16874132</v>
      </c>
      <c r="U270" s="98">
        <f t="shared" si="106"/>
        <v>45472223</v>
      </c>
      <c r="V270" s="409">
        <f t="shared" si="106"/>
        <v>15382664</v>
      </c>
      <c r="W270" s="409">
        <f t="shared" si="106"/>
        <v>4977324</v>
      </c>
      <c r="X270" s="98">
        <f t="shared" si="106"/>
        <v>2301899</v>
      </c>
      <c r="Y270" s="409">
        <f t="shared" ref="Y270:AE270" si="107">Y5+Y58+Y94+Y129+Y175+Y185+Y211+Y237</f>
        <v>35501112</v>
      </c>
      <c r="Z270" s="409">
        <f t="shared" si="107"/>
        <v>16426351</v>
      </c>
      <c r="AA270" s="100">
        <f t="shared" si="107"/>
        <v>2735343</v>
      </c>
      <c r="AB270" s="392">
        <f t="shared" si="107"/>
        <v>9052693</v>
      </c>
      <c r="AC270" s="409">
        <f t="shared" si="107"/>
        <v>3075297</v>
      </c>
      <c r="AD270" s="409">
        <f t="shared" si="107"/>
        <v>19231091</v>
      </c>
      <c r="AE270" s="100">
        <f t="shared" si="107"/>
        <v>3080930</v>
      </c>
      <c r="AF270" s="52">
        <f t="shared" si="105"/>
        <v>0</v>
      </c>
      <c r="AG270" s="180"/>
    </row>
    <row r="271" spans="1:33" x14ac:dyDescent="0.25">
      <c r="A271" s="120"/>
      <c r="B271" s="27"/>
      <c r="C271" s="28"/>
      <c r="D271" s="28"/>
      <c r="E271" s="24"/>
      <c r="F271" s="24"/>
      <c r="G271" s="24"/>
      <c r="H271" s="24"/>
      <c r="I271" s="24"/>
      <c r="J271" s="2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5"/>
    </row>
    <row r="272" spans="1:33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5"/>
    </row>
    <row r="273" spans="1:32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14" t="s">
        <v>1051</v>
      </c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5"/>
    </row>
    <row r="274" spans="1:32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5"/>
    </row>
    <row r="275" spans="1:32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5"/>
    </row>
    <row r="276" spans="1:32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5"/>
    </row>
    <row r="277" spans="1:32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5"/>
    </row>
    <row r="278" spans="1:32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5"/>
    </row>
    <row r="279" spans="1:32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5"/>
    </row>
    <row r="280" spans="1:32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5"/>
    </row>
    <row r="281" spans="1:32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5"/>
    </row>
    <row r="282" spans="1:32" x14ac:dyDescent="0.25">
      <c r="A282" s="120"/>
      <c r="B282" s="27"/>
      <c r="C282" s="28"/>
      <c r="D282" s="28"/>
      <c r="E282" s="24"/>
      <c r="F282" s="24"/>
      <c r="G282" s="24"/>
      <c r="H282" s="24"/>
      <c r="I282" s="24"/>
      <c r="J282" s="2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5"/>
    </row>
    <row r="283" spans="1:32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5"/>
    </row>
    <row r="284" spans="1:32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5"/>
    </row>
    <row r="285" spans="1:32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5"/>
    </row>
    <row r="286" spans="1:32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32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14"/>
      <c r="L287" s="14"/>
      <c r="M287" s="14"/>
      <c r="N287" s="14"/>
      <c r="O287" s="14"/>
      <c r="P287" s="14"/>
      <c r="Q287" s="14"/>
      <c r="R287" s="14"/>
      <c r="S287" s="14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40"/>
    </row>
    <row r="288" spans="1:32" s="12" customFormat="1" x14ac:dyDescent="0.25">
      <c r="A288" s="121"/>
      <c r="B288" s="27"/>
      <c r="C288" s="24"/>
      <c r="D288" s="24"/>
      <c r="E288" s="28"/>
      <c r="F288" s="28"/>
      <c r="G288" s="28"/>
      <c r="H288" s="28"/>
      <c r="I288" s="28"/>
      <c r="J288" s="28"/>
      <c r="K288" s="14"/>
      <c r="L288" s="14"/>
      <c r="M288" s="14"/>
      <c r="N288" s="14"/>
      <c r="O288" s="14"/>
      <c r="P288" s="14"/>
      <c r="Q288" s="14"/>
      <c r="R288" s="14"/>
      <c r="S288" s="14"/>
      <c r="AF288" s="50"/>
    </row>
    <row r="289" spans="1:32" s="12" customFormat="1" x14ac:dyDescent="0.25">
      <c r="A289" s="121"/>
      <c r="B289" s="27"/>
      <c r="C289" s="24"/>
      <c r="D289" s="24"/>
      <c r="E289" s="28"/>
      <c r="F289" s="28"/>
      <c r="G289" s="28"/>
      <c r="H289" s="28"/>
      <c r="I289" s="28"/>
      <c r="J289" s="28"/>
      <c r="K289" s="14"/>
      <c r="L289" s="14"/>
      <c r="M289" s="14"/>
      <c r="N289" s="14"/>
      <c r="O289" s="14"/>
      <c r="P289" s="14"/>
      <c r="Q289" s="14"/>
      <c r="R289" s="14"/>
      <c r="S289" s="14"/>
      <c r="AF289" s="50"/>
    </row>
    <row r="290" spans="1:32" s="12" customFormat="1" x14ac:dyDescent="0.25">
      <c r="A290" s="121"/>
      <c r="B290" s="27"/>
      <c r="C290" s="24"/>
      <c r="D290" s="24"/>
      <c r="E290" s="28"/>
      <c r="F290" s="28"/>
      <c r="G290" s="28"/>
      <c r="H290" s="28"/>
      <c r="I290" s="28"/>
      <c r="J290" s="28"/>
      <c r="K290" s="14"/>
      <c r="L290" s="14"/>
      <c r="M290" s="14"/>
      <c r="N290" s="14"/>
      <c r="O290" s="14"/>
      <c r="P290" s="14"/>
      <c r="Q290" s="14"/>
      <c r="R290" s="14"/>
      <c r="S290" s="14"/>
      <c r="AF290" s="50"/>
    </row>
    <row r="291" spans="1:32" s="12" customFormat="1" x14ac:dyDescent="0.25">
      <c r="A291" s="121"/>
      <c r="B291" s="27"/>
      <c r="C291" s="24"/>
      <c r="D291" s="24"/>
      <c r="E291" s="28"/>
      <c r="F291" s="28"/>
      <c r="G291" s="28"/>
      <c r="H291" s="28"/>
      <c r="I291" s="28"/>
      <c r="J291" s="28"/>
      <c r="K291" s="14"/>
      <c r="L291" s="14"/>
      <c r="M291" s="14"/>
      <c r="N291" s="14"/>
      <c r="O291" s="14"/>
      <c r="P291" s="14"/>
      <c r="Q291" s="14"/>
      <c r="R291" s="14"/>
      <c r="S291" s="14"/>
      <c r="AF291" s="50"/>
    </row>
    <row r="292" spans="1:32" s="12" customFormat="1" x14ac:dyDescent="0.25">
      <c r="A292" s="121"/>
      <c r="B292" s="27"/>
      <c r="C292" s="24"/>
      <c r="D292" s="24"/>
      <c r="E292" s="28"/>
      <c r="F292" s="28"/>
      <c r="G292" s="28"/>
      <c r="H292" s="28"/>
      <c r="I292" s="28"/>
      <c r="J292" s="28"/>
      <c r="K292" s="14"/>
      <c r="L292" s="14"/>
      <c r="M292" s="14"/>
      <c r="N292" s="14"/>
      <c r="O292" s="14"/>
      <c r="P292" s="14"/>
      <c r="Q292" s="14"/>
      <c r="R292" s="14"/>
      <c r="S292" s="14"/>
      <c r="AF292" s="50"/>
    </row>
    <row r="293" spans="1:32" s="12" customFormat="1" x14ac:dyDescent="0.25">
      <c r="A293" s="121"/>
      <c r="B293" s="27"/>
      <c r="C293" s="28"/>
      <c r="D293" s="28"/>
      <c r="E293" s="24"/>
      <c r="F293" s="24"/>
      <c r="G293" s="24"/>
      <c r="H293" s="24"/>
      <c r="I293" s="24"/>
      <c r="J293" s="24"/>
      <c r="K293" s="14"/>
      <c r="L293" s="14"/>
      <c r="M293" s="14"/>
      <c r="N293" s="14"/>
      <c r="O293" s="14"/>
      <c r="P293" s="14"/>
      <c r="Q293" s="14"/>
      <c r="R293" s="14"/>
      <c r="S293" s="14"/>
      <c r="AF293" s="50"/>
    </row>
    <row r="294" spans="1:32" s="12" customFormat="1" x14ac:dyDescent="0.25">
      <c r="A294" s="121"/>
      <c r="B294" s="27"/>
      <c r="C294" s="24"/>
      <c r="D294" s="24"/>
      <c r="E294" s="28"/>
      <c r="F294" s="28"/>
      <c r="G294" s="28"/>
      <c r="H294" s="28"/>
      <c r="I294" s="28"/>
      <c r="J294" s="28"/>
      <c r="K294" s="14"/>
      <c r="L294" s="14"/>
      <c r="M294" s="14"/>
      <c r="N294" s="14"/>
      <c r="O294" s="14"/>
      <c r="P294" s="14"/>
      <c r="Q294" s="14"/>
      <c r="R294" s="14"/>
      <c r="S294" s="14"/>
      <c r="AF294" s="50"/>
    </row>
    <row r="295" spans="1:32" s="12" customFormat="1" x14ac:dyDescent="0.25">
      <c r="A295" s="121"/>
      <c r="B295" s="27"/>
      <c r="C295" s="24"/>
      <c r="D295" s="24"/>
      <c r="E295" s="28"/>
      <c r="F295" s="28"/>
      <c r="G295" s="28"/>
      <c r="H295" s="28"/>
      <c r="I295" s="28"/>
      <c r="J295" s="28"/>
      <c r="K295" s="14"/>
      <c r="L295" s="14"/>
      <c r="M295" s="14"/>
      <c r="N295" s="14"/>
      <c r="O295" s="14"/>
      <c r="P295" s="14"/>
      <c r="Q295" s="14"/>
      <c r="R295" s="14"/>
      <c r="S295" s="14"/>
      <c r="AF295" s="50"/>
    </row>
    <row r="296" spans="1:32" s="12" customFormat="1" x14ac:dyDescent="0.25">
      <c r="A296" s="121"/>
      <c r="B296" s="27"/>
      <c r="C296" s="24"/>
      <c r="D296" s="24"/>
      <c r="E296" s="28"/>
      <c r="F296" s="28"/>
      <c r="G296" s="28"/>
      <c r="H296" s="28"/>
      <c r="I296" s="28"/>
      <c r="J296" s="28"/>
      <c r="K296" s="14"/>
      <c r="L296" s="14"/>
      <c r="M296" s="14"/>
      <c r="N296" s="14"/>
      <c r="O296" s="14"/>
      <c r="P296" s="14"/>
      <c r="Q296" s="14"/>
      <c r="R296" s="14"/>
      <c r="S296" s="14"/>
      <c r="AF296" s="50"/>
    </row>
    <row r="297" spans="1:32" s="12" customFormat="1" x14ac:dyDescent="0.25">
      <c r="A297" s="121"/>
      <c r="B297" s="27"/>
      <c r="C297" s="24"/>
      <c r="D297" s="24"/>
      <c r="E297" s="28"/>
      <c r="F297" s="28"/>
      <c r="G297" s="28"/>
      <c r="H297" s="28"/>
      <c r="I297" s="28"/>
      <c r="J297" s="28"/>
      <c r="K297" s="14"/>
      <c r="L297" s="14"/>
      <c r="M297" s="14"/>
      <c r="N297" s="14"/>
      <c r="O297" s="14"/>
      <c r="P297" s="14"/>
      <c r="Q297" s="14"/>
      <c r="R297" s="14"/>
      <c r="S297" s="14"/>
      <c r="AF297" s="50"/>
    </row>
    <row r="298" spans="1:32" s="12" customFormat="1" x14ac:dyDescent="0.25">
      <c r="A298" s="121"/>
      <c r="B298" s="27"/>
      <c r="C298" s="24"/>
      <c r="D298" s="24"/>
      <c r="E298" s="28"/>
      <c r="F298" s="28"/>
      <c r="G298" s="28"/>
      <c r="H298" s="28"/>
      <c r="I298" s="28"/>
      <c r="J298" s="28"/>
      <c r="K298" s="14"/>
      <c r="L298" s="14"/>
      <c r="M298" s="14"/>
      <c r="N298" s="14"/>
      <c r="O298" s="14"/>
      <c r="P298" s="14"/>
      <c r="Q298" s="14"/>
      <c r="R298" s="14"/>
      <c r="S298" s="14"/>
      <c r="AF298" s="50"/>
    </row>
    <row r="299" spans="1:32" s="12" customFormat="1" x14ac:dyDescent="0.25">
      <c r="A299" s="121"/>
      <c r="B299" s="27"/>
      <c r="C299" s="24"/>
      <c r="D299" s="24"/>
      <c r="E299" s="28"/>
      <c r="F299" s="28"/>
      <c r="G299" s="28"/>
      <c r="H299" s="28"/>
      <c r="I299" s="28"/>
      <c r="J299" s="28"/>
      <c r="K299" s="14"/>
      <c r="L299" s="14"/>
      <c r="M299" s="14"/>
      <c r="N299" s="14"/>
      <c r="O299" s="14"/>
      <c r="P299" s="14"/>
      <c r="Q299" s="14"/>
      <c r="R299" s="14"/>
      <c r="S299" s="14"/>
      <c r="AF299" s="50"/>
    </row>
    <row r="300" spans="1:32" s="12" customFormat="1" x14ac:dyDescent="0.25">
      <c r="A300" s="121"/>
      <c r="B300" s="27"/>
      <c r="C300" s="24"/>
      <c r="D300" s="24"/>
      <c r="E300" s="28"/>
      <c r="F300" s="28"/>
      <c r="G300" s="28"/>
      <c r="H300" s="28"/>
      <c r="I300" s="28"/>
      <c r="J300" s="28"/>
      <c r="K300" s="14"/>
      <c r="L300" s="14"/>
      <c r="M300" s="14"/>
      <c r="N300" s="14"/>
      <c r="O300" s="14"/>
      <c r="P300" s="14"/>
      <c r="Q300" s="14"/>
      <c r="R300" s="14"/>
      <c r="S300" s="14"/>
      <c r="AF300" s="50"/>
    </row>
    <row r="301" spans="1:32" s="12" customFormat="1" x14ac:dyDescent="0.25">
      <c r="A301" s="121"/>
      <c r="B301" s="27"/>
      <c r="C301" s="24"/>
      <c r="D301" s="24"/>
      <c r="E301" s="28"/>
      <c r="F301" s="28"/>
      <c r="G301" s="28"/>
      <c r="H301" s="28"/>
      <c r="I301" s="28"/>
      <c r="J301" s="28"/>
      <c r="K301" s="14"/>
      <c r="L301" s="14"/>
      <c r="M301" s="14"/>
      <c r="N301" s="14"/>
      <c r="O301" s="14"/>
      <c r="P301" s="14"/>
      <c r="Q301" s="14"/>
      <c r="R301" s="14"/>
      <c r="S301" s="14"/>
      <c r="AF301" s="50"/>
    </row>
    <row r="302" spans="1:32" s="12" customFormat="1" x14ac:dyDescent="0.25">
      <c r="A302" s="121"/>
      <c r="B302" s="27"/>
      <c r="C302" s="24"/>
      <c r="D302" s="24"/>
      <c r="E302" s="28"/>
      <c r="F302" s="28"/>
      <c r="G302" s="28"/>
      <c r="H302" s="28"/>
      <c r="I302" s="28"/>
      <c r="J302" s="28"/>
      <c r="K302" s="14"/>
      <c r="L302" s="14"/>
      <c r="M302" s="14"/>
      <c r="N302" s="14"/>
      <c r="O302" s="14"/>
      <c r="P302" s="14"/>
      <c r="Q302" s="14"/>
      <c r="R302" s="14"/>
      <c r="S302" s="14"/>
      <c r="AF302" s="50"/>
    </row>
    <row r="303" spans="1:32" s="12" customFormat="1" x14ac:dyDescent="0.25">
      <c r="A303" s="121"/>
      <c r="B303" s="27"/>
      <c r="C303" s="24"/>
      <c r="D303" s="24"/>
      <c r="E303" s="28"/>
      <c r="F303" s="28"/>
      <c r="G303" s="28"/>
      <c r="H303" s="28"/>
      <c r="I303" s="28"/>
      <c r="J303" s="28"/>
      <c r="K303" s="14"/>
      <c r="L303" s="14"/>
      <c r="M303" s="14"/>
      <c r="N303" s="14"/>
      <c r="O303" s="14"/>
      <c r="P303" s="14"/>
      <c r="Q303" s="14"/>
      <c r="R303" s="14"/>
      <c r="S303" s="14"/>
      <c r="AF303" s="50"/>
    </row>
    <row r="304" spans="1:32" x14ac:dyDescent="0.25">
      <c r="B304" s="29"/>
      <c r="C304" s="23"/>
      <c r="D304" s="23"/>
      <c r="E304" s="28"/>
      <c r="F304" s="28"/>
      <c r="G304" s="28"/>
      <c r="H304" s="28"/>
      <c r="I304" s="28"/>
      <c r="J304" s="28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32" x14ac:dyDescent="0.25">
      <c r="B305" s="30"/>
      <c r="C305" s="26"/>
      <c r="D305" s="26"/>
      <c r="E305" s="24"/>
      <c r="F305" s="24"/>
      <c r="G305" s="24"/>
      <c r="H305" s="24"/>
      <c r="I305" s="24"/>
      <c r="J305" s="24"/>
    </row>
    <row r="306" spans="1:32" x14ac:dyDescent="0.25">
      <c r="B306" s="27"/>
      <c r="C306" s="24"/>
      <c r="D306" s="24"/>
      <c r="E306" s="28"/>
      <c r="F306" s="28"/>
      <c r="G306" s="28"/>
      <c r="H306" s="28"/>
      <c r="I306" s="28"/>
      <c r="J306" s="28"/>
    </row>
    <row r="307" spans="1:32" x14ac:dyDescent="0.25">
      <c r="B307" s="27"/>
      <c r="C307" s="28"/>
      <c r="D307" s="28"/>
      <c r="E307" s="24"/>
      <c r="F307" s="24"/>
      <c r="G307" s="24"/>
      <c r="H307" s="24"/>
      <c r="I307" s="24"/>
      <c r="J307" s="24"/>
    </row>
    <row r="308" spans="1:32" x14ac:dyDescent="0.25">
      <c r="B308" s="27"/>
      <c r="C308" s="24"/>
      <c r="D308" s="24"/>
      <c r="E308" s="28"/>
      <c r="F308" s="28"/>
      <c r="G308" s="28"/>
      <c r="H308" s="28"/>
      <c r="I308" s="28"/>
      <c r="J308" s="28"/>
    </row>
    <row r="309" spans="1:32" x14ac:dyDescent="0.25">
      <c r="B309" s="27"/>
      <c r="C309" s="24"/>
      <c r="D309" s="24"/>
      <c r="E309" s="28"/>
      <c r="F309" s="28"/>
      <c r="G309" s="28"/>
      <c r="H309" s="28"/>
      <c r="I309" s="28"/>
      <c r="J309" s="28"/>
    </row>
    <row r="310" spans="1:32" x14ac:dyDescent="0.25">
      <c r="B310" s="27"/>
      <c r="C310" s="24"/>
      <c r="D310" s="24"/>
      <c r="E310" s="28"/>
      <c r="F310" s="28"/>
      <c r="G310" s="28"/>
      <c r="H310" s="28"/>
      <c r="I310" s="28"/>
      <c r="J310" s="28"/>
    </row>
    <row r="311" spans="1:32" x14ac:dyDescent="0.25">
      <c r="B311" s="27"/>
      <c r="C311" s="24"/>
      <c r="D311" s="24"/>
      <c r="E311" s="28"/>
      <c r="F311" s="28"/>
      <c r="G311" s="28"/>
      <c r="H311" s="28"/>
      <c r="I311" s="28"/>
      <c r="J311" s="28"/>
    </row>
    <row r="312" spans="1:32" x14ac:dyDescent="0.25">
      <c r="B312" s="27"/>
      <c r="C312" s="28"/>
      <c r="D312" s="28"/>
      <c r="E312" s="24"/>
      <c r="F312" s="24"/>
      <c r="G312" s="24"/>
      <c r="H312" s="24"/>
      <c r="I312" s="24"/>
      <c r="J312" s="2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5"/>
    </row>
    <row r="313" spans="1:32" x14ac:dyDescent="0.25">
      <c r="B313" s="27"/>
      <c r="C313" s="24"/>
      <c r="D313" s="24"/>
      <c r="E313" s="28"/>
      <c r="F313" s="28"/>
      <c r="G313" s="28"/>
      <c r="H313" s="28"/>
      <c r="I313" s="28"/>
      <c r="J313" s="28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5"/>
    </row>
    <row r="314" spans="1:32" x14ac:dyDescent="0.25">
      <c r="B314" s="27"/>
      <c r="C314" s="24"/>
      <c r="D314" s="24"/>
      <c r="E314" s="28"/>
      <c r="F314" s="28"/>
      <c r="G314" s="28"/>
      <c r="H314" s="28"/>
      <c r="I314" s="28"/>
      <c r="J314" s="28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5"/>
    </row>
    <row r="315" spans="1:32" x14ac:dyDescent="0.25">
      <c r="B315" s="27"/>
      <c r="C315" s="28"/>
      <c r="D315" s="28"/>
      <c r="E315" s="24"/>
      <c r="F315" s="24"/>
      <c r="G315" s="24"/>
      <c r="H315" s="24"/>
      <c r="I315" s="24"/>
      <c r="J315" s="2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5"/>
    </row>
    <row r="316" spans="1:32" x14ac:dyDescent="0.25">
      <c r="B316" s="27"/>
      <c r="C316" s="28"/>
      <c r="D316" s="28"/>
      <c r="E316" s="24"/>
      <c r="F316" s="24"/>
      <c r="G316" s="24"/>
      <c r="H316" s="24"/>
      <c r="I316" s="24"/>
      <c r="J316" s="2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5"/>
    </row>
    <row r="317" spans="1:32" x14ac:dyDescent="0.25">
      <c r="B317" s="27"/>
      <c r="C317" s="24"/>
      <c r="D317" s="24"/>
      <c r="E317" s="28"/>
      <c r="F317" s="28"/>
      <c r="G317" s="28"/>
      <c r="H317" s="28"/>
      <c r="I317" s="28"/>
      <c r="J317" s="28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5"/>
    </row>
    <row r="318" spans="1:32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5"/>
    </row>
    <row r="319" spans="1:32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5"/>
    </row>
    <row r="320" spans="1:32" x14ac:dyDescent="0.25">
      <c r="A320" s="120"/>
      <c r="B320" s="27"/>
      <c r="C320" s="28"/>
      <c r="D320" s="28"/>
      <c r="E320" s="24"/>
      <c r="F320" s="24"/>
      <c r="G320" s="24"/>
      <c r="H320" s="24"/>
      <c r="I320" s="24"/>
      <c r="J320" s="2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5"/>
    </row>
    <row r="321" spans="1:32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5"/>
    </row>
    <row r="322" spans="1:32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5"/>
    </row>
    <row r="323" spans="1:32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5"/>
    </row>
    <row r="324" spans="1:32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5"/>
    </row>
    <row r="325" spans="1:32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5"/>
    </row>
    <row r="326" spans="1:32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5"/>
    </row>
    <row r="327" spans="1:32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5"/>
    </row>
    <row r="328" spans="1:32" x14ac:dyDescent="0.25">
      <c r="A328" s="120"/>
      <c r="B328" s="27"/>
      <c r="C328" s="24"/>
      <c r="D328" s="24"/>
      <c r="E328" s="28"/>
      <c r="F328" s="28"/>
      <c r="G328" s="28"/>
      <c r="H328" s="28"/>
      <c r="I328" s="28"/>
      <c r="J328" s="28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5"/>
    </row>
    <row r="329" spans="1:32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5"/>
    </row>
    <row r="330" spans="1:32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5"/>
    </row>
    <row r="331" spans="1:32" x14ac:dyDescent="0.25">
      <c r="A331" s="120"/>
      <c r="B331" s="29"/>
      <c r="C331" s="23"/>
      <c r="D331" s="23"/>
      <c r="E331" s="24"/>
      <c r="F331" s="24"/>
      <c r="G331" s="24"/>
      <c r="H331" s="24"/>
      <c r="I331" s="24"/>
      <c r="J331" s="2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5"/>
    </row>
    <row r="332" spans="1:32" x14ac:dyDescent="0.25">
      <c r="A332" s="120"/>
      <c r="B332" s="27"/>
      <c r="C332" s="28"/>
      <c r="D332" s="28"/>
      <c r="E332" s="24"/>
      <c r="F332" s="24"/>
      <c r="G332" s="24"/>
      <c r="H332" s="24"/>
      <c r="I332" s="24"/>
      <c r="J332" s="2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5"/>
    </row>
    <row r="333" spans="1:32" x14ac:dyDescent="0.25">
      <c r="A333" s="120"/>
      <c r="B333" s="27"/>
      <c r="C333" s="28"/>
      <c r="D333" s="28"/>
      <c r="E333" s="24"/>
      <c r="F333" s="24"/>
      <c r="G333" s="24"/>
      <c r="H333" s="24"/>
      <c r="I333" s="24"/>
      <c r="J333" s="2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5"/>
    </row>
    <row r="334" spans="1:32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5"/>
    </row>
    <row r="335" spans="1:32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5"/>
    </row>
    <row r="336" spans="1:32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5"/>
    </row>
    <row r="337" spans="1:32" x14ac:dyDescent="0.25">
      <c r="A337" s="120"/>
      <c r="B337" s="27"/>
      <c r="C337" s="28"/>
      <c r="D337" s="28"/>
      <c r="E337" s="24"/>
      <c r="F337" s="24"/>
      <c r="G337" s="24"/>
      <c r="H337" s="24"/>
      <c r="I337" s="24"/>
      <c r="J337" s="2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5"/>
    </row>
    <row r="338" spans="1:32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5"/>
    </row>
    <row r="339" spans="1:32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5"/>
    </row>
    <row r="340" spans="1:32" x14ac:dyDescent="0.25">
      <c r="A340" s="120"/>
      <c r="B340" s="27"/>
      <c r="C340" s="28"/>
      <c r="D340" s="28"/>
      <c r="E340" s="24"/>
      <c r="F340" s="24"/>
      <c r="G340" s="24"/>
      <c r="H340" s="24"/>
      <c r="I340" s="24"/>
      <c r="J340" s="2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5"/>
    </row>
    <row r="341" spans="1:32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5"/>
    </row>
    <row r="342" spans="1:32" x14ac:dyDescent="0.25">
      <c r="A342" s="120"/>
      <c r="B342" s="27"/>
      <c r="C342" s="24"/>
      <c r="D342" s="24"/>
      <c r="E342" s="28"/>
      <c r="F342" s="28"/>
      <c r="G342" s="28"/>
      <c r="H342" s="28"/>
      <c r="I342" s="28"/>
      <c r="J342" s="28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5"/>
    </row>
    <row r="343" spans="1:32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5"/>
    </row>
    <row r="344" spans="1:32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5"/>
    </row>
    <row r="345" spans="1:32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5"/>
    </row>
    <row r="346" spans="1:32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5"/>
    </row>
    <row r="347" spans="1:32" x14ac:dyDescent="0.25">
      <c r="A347" s="120"/>
      <c r="B347" s="27"/>
      <c r="C347" s="24"/>
      <c r="D347" s="24"/>
      <c r="E347" s="28"/>
      <c r="F347" s="28"/>
      <c r="G347" s="28"/>
      <c r="H347" s="28"/>
      <c r="I347" s="28"/>
      <c r="J347" s="28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5"/>
    </row>
    <row r="348" spans="1:32" x14ac:dyDescent="0.25">
      <c r="A348" s="120"/>
      <c r="B348" s="27"/>
      <c r="C348" s="28"/>
      <c r="D348" s="28"/>
      <c r="E348" s="24"/>
      <c r="F348" s="24"/>
      <c r="G348" s="24"/>
      <c r="H348" s="24"/>
      <c r="I348" s="24"/>
      <c r="J348" s="2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5"/>
    </row>
    <row r="349" spans="1:32" x14ac:dyDescent="0.25">
      <c r="A349" s="120"/>
      <c r="B349" s="27"/>
      <c r="C349" s="28"/>
      <c r="D349" s="28"/>
      <c r="E349" s="24"/>
      <c r="F349" s="24"/>
      <c r="G349" s="24"/>
      <c r="H349" s="24"/>
      <c r="I349" s="24"/>
      <c r="J349" s="2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5"/>
    </row>
    <row r="350" spans="1:32" x14ac:dyDescent="0.25">
      <c r="A350" s="120"/>
      <c r="B350" s="27"/>
      <c r="C350" s="28"/>
      <c r="D350" s="28"/>
      <c r="E350" s="24"/>
      <c r="F350" s="24"/>
      <c r="G350" s="24"/>
      <c r="H350" s="24"/>
      <c r="I350" s="24"/>
      <c r="J350" s="2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5"/>
    </row>
    <row r="351" spans="1:32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5"/>
    </row>
    <row r="352" spans="1:32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5"/>
    </row>
    <row r="353" spans="1:32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5"/>
    </row>
    <row r="354" spans="1:32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5"/>
    </row>
    <row r="355" spans="1:32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5"/>
    </row>
    <row r="356" spans="1:32" x14ac:dyDescent="0.25">
      <c r="A356" s="120"/>
      <c r="B356" s="27"/>
      <c r="C356" s="28"/>
      <c r="D356" s="28"/>
      <c r="E356" s="24"/>
      <c r="F356" s="24"/>
      <c r="G356" s="24"/>
      <c r="H356" s="24"/>
      <c r="I356" s="24"/>
      <c r="J356" s="2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5"/>
    </row>
    <row r="357" spans="1:32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5"/>
    </row>
    <row r="358" spans="1:32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5"/>
    </row>
    <row r="359" spans="1:32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5"/>
    </row>
    <row r="360" spans="1:32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5"/>
    </row>
    <row r="361" spans="1:32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5"/>
    </row>
    <row r="362" spans="1:32" x14ac:dyDescent="0.25">
      <c r="A362" s="120"/>
      <c r="B362" s="27"/>
      <c r="C362" s="28"/>
      <c r="D362" s="28"/>
      <c r="E362" s="24"/>
      <c r="F362" s="24"/>
      <c r="G362" s="24"/>
      <c r="H362" s="24"/>
      <c r="I362" s="24"/>
      <c r="J362" s="2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5"/>
    </row>
    <row r="363" spans="1:32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5"/>
    </row>
    <row r="364" spans="1:32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5"/>
    </row>
    <row r="365" spans="1:32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5"/>
    </row>
    <row r="366" spans="1:32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5"/>
    </row>
    <row r="367" spans="1:32" x14ac:dyDescent="0.25">
      <c r="A367" s="120"/>
      <c r="B367" s="29"/>
      <c r="C367" s="23"/>
      <c r="D367" s="23"/>
      <c r="E367" s="24"/>
      <c r="F367" s="24"/>
      <c r="G367" s="24"/>
      <c r="H367" s="24"/>
      <c r="I367" s="24"/>
      <c r="J367" s="2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5"/>
    </row>
    <row r="368" spans="1:32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5"/>
    </row>
    <row r="369" spans="1:32" x14ac:dyDescent="0.25">
      <c r="A369" s="120"/>
      <c r="B369" s="27"/>
      <c r="C369" s="28"/>
      <c r="D369" s="28"/>
      <c r="E369" s="24"/>
      <c r="F369" s="24"/>
      <c r="G369" s="24"/>
      <c r="H369" s="24"/>
      <c r="I369" s="24"/>
      <c r="J369" s="2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5"/>
    </row>
    <row r="370" spans="1:32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5"/>
    </row>
    <row r="371" spans="1:32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5"/>
    </row>
    <row r="372" spans="1:32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5"/>
    </row>
    <row r="373" spans="1:32" x14ac:dyDescent="0.25">
      <c r="A373" s="120"/>
      <c r="B373" s="27"/>
      <c r="C373" s="28"/>
      <c r="D373" s="28"/>
      <c r="E373" s="24"/>
      <c r="F373" s="24"/>
      <c r="G373" s="24"/>
      <c r="H373" s="24"/>
      <c r="I373" s="24"/>
      <c r="J373" s="2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5"/>
    </row>
    <row r="374" spans="1:32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5"/>
    </row>
    <row r="375" spans="1:32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5"/>
    </row>
    <row r="376" spans="1:32" x14ac:dyDescent="0.25">
      <c r="A376" s="120"/>
      <c r="B376" s="27"/>
      <c r="C376" s="28"/>
      <c r="D376" s="28"/>
      <c r="E376" s="24"/>
      <c r="F376" s="24"/>
      <c r="G376" s="24"/>
      <c r="H376" s="24"/>
      <c r="I376" s="24"/>
      <c r="J376" s="2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5"/>
    </row>
    <row r="377" spans="1:32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5"/>
    </row>
    <row r="378" spans="1:32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5"/>
    </row>
    <row r="379" spans="1:32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5"/>
    </row>
    <row r="380" spans="1:32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5"/>
    </row>
    <row r="381" spans="1:32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5"/>
    </row>
    <row r="382" spans="1:32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5"/>
    </row>
    <row r="383" spans="1:32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5"/>
    </row>
    <row r="384" spans="1:32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5"/>
    </row>
    <row r="385" spans="1:32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5"/>
    </row>
    <row r="386" spans="1:32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5"/>
    </row>
    <row r="387" spans="1:32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5"/>
    </row>
    <row r="388" spans="1:32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5"/>
    </row>
    <row r="389" spans="1:32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5"/>
    </row>
    <row r="390" spans="1:32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5"/>
    </row>
    <row r="391" spans="1:32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5"/>
    </row>
    <row r="392" spans="1:32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5"/>
    </row>
    <row r="393" spans="1:32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5"/>
    </row>
    <row r="394" spans="1:32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5"/>
    </row>
    <row r="395" spans="1:32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5"/>
    </row>
    <row r="396" spans="1:32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5"/>
    </row>
    <row r="397" spans="1:32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5"/>
    </row>
    <row r="398" spans="1:32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5"/>
    </row>
    <row r="399" spans="1:32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5"/>
    </row>
    <row r="400" spans="1:32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5"/>
    </row>
    <row r="401" spans="1:32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5"/>
    </row>
    <row r="402" spans="1:32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5"/>
    </row>
    <row r="403" spans="1:32" x14ac:dyDescent="0.25">
      <c r="A403" s="120"/>
      <c r="B403" s="29"/>
      <c r="C403" s="23"/>
      <c r="D403" s="23"/>
      <c r="E403" s="24"/>
      <c r="F403" s="24"/>
      <c r="G403" s="24"/>
      <c r="H403" s="24"/>
      <c r="I403" s="24"/>
      <c r="J403" s="2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5"/>
    </row>
    <row r="404" spans="1:32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5"/>
    </row>
    <row r="405" spans="1:32" x14ac:dyDescent="0.25">
      <c r="A405" s="120"/>
      <c r="B405" s="27"/>
      <c r="C405" s="28"/>
      <c r="D405" s="28"/>
      <c r="E405" s="24"/>
      <c r="F405" s="24"/>
      <c r="G405" s="24"/>
      <c r="H405" s="24"/>
      <c r="I405" s="24"/>
      <c r="J405" s="2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5"/>
    </row>
    <row r="406" spans="1:32" x14ac:dyDescent="0.25">
      <c r="A406" s="120"/>
      <c r="B406" s="27"/>
      <c r="C406" s="28"/>
      <c r="D406" s="28"/>
      <c r="E406" s="24"/>
      <c r="F406" s="24"/>
      <c r="G406" s="24"/>
      <c r="H406" s="24"/>
      <c r="I406" s="24"/>
      <c r="J406" s="2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5"/>
    </row>
    <row r="407" spans="1:32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5"/>
    </row>
    <row r="408" spans="1:32" x14ac:dyDescent="0.25">
      <c r="A408" s="120"/>
      <c r="B408" s="27"/>
      <c r="C408" s="24"/>
      <c r="D408" s="24"/>
      <c r="E408" s="28"/>
      <c r="F408" s="28"/>
      <c r="G408" s="28"/>
      <c r="H408" s="28"/>
      <c r="I408" s="28"/>
      <c r="J408" s="28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5"/>
    </row>
    <row r="409" spans="1:32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5"/>
    </row>
    <row r="410" spans="1:32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5"/>
    </row>
    <row r="411" spans="1:32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5"/>
    </row>
    <row r="412" spans="1:32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5"/>
    </row>
    <row r="413" spans="1:32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5"/>
    </row>
    <row r="414" spans="1:32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5"/>
    </row>
    <row r="415" spans="1:32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5"/>
    </row>
    <row r="416" spans="1:32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5"/>
    </row>
    <row r="417" spans="1:32" x14ac:dyDescent="0.25">
      <c r="A417" s="120"/>
      <c r="B417" s="27"/>
      <c r="C417" s="28"/>
      <c r="D417" s="28"/>
      <c r="E417" s="24"/>
      <c r="F417" s="24"/>
      <c r="G417" s="24"/>
      <c r="H417" s="24"/>
      <c r="I417" s="24"/>
      <c r="J417" s="2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5"/>
    </row>
    <row r="418" spans="1:32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5"/>
    </row>
    <row r="419" spans="1:32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5"/>
    </row>
    <row r="420" spans="1:32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5"/>
    </row>
    <row r="421" spans="1:32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5"/>
    </row>
    <row r="422" spans="1:32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5"/>
    </row>
    <row r="423" spans="1:32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5"/>
    </row>
    <row r="424" spans="1:32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5"/>
    </row>
    <row r="425" spans="1:32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5"/>
    </row>
    <row r="426" spans="1:32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5"/>
    </row>
    <row r="427" spans="1:32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5"/>
    </row>
    <row r="428" spans="1:32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5"/>
    </row>
    <row r="429" spans="1:32" x14ac:dyDescent="0.25">
      <c r="A429" s="120"/>
      <c r="B429" s="29"/>
      <c r="C429" s="23"/>
      <c r="D429" s="23"/>
      <c r="E429" s="24"/>
      <c r="F429" s="24"/>
      <c r="G429" s="24"/>
      <c r="H429" s="24"/>
      <c r="I429" s="24"/>
      <c r="J429" s="2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5"/>
    </row>
    <row r="430" spans="1:32" x14ac:dyDescent="0.25">
      <c r="A430" s="120"/>
      <c r="B430" s="32"/>
      <c r="C430" s="33"/>
      <c r="D430" s="33"/>
      <c r="E430" s="24"/>
      <c r="F430" s="24"/>
      <c r="G430" s="24"/>
      <c r="H430" s="24"/>
      <c r="I430" s="24"/>
      <c r="J430" s="2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5"/>
    </row>
    <row r="431" spans="1:32" x14ac:dyDescent="0.25">
      <c r="A431" s="120"/>
      <c r="B431" s="34"/>
      <c r="C431" s="35"/>
      <c r="D431" s="35"/>
      <c r="E431" s="36"/>
      <c r="F431" s="36"/>
      <c r="G431" s="36"/>
      <c r="H431" s="36"/>
      <c r="I431" s="36"/>
      <c r="J431" s="36"/>
      <c r="K431" s="31"/>
      <c r="L431" s="31"/>
      <c r="M431" s="31"/>
      <c r="N431" s="31"/>
      <c r="O431" s="31"/>
      <c r="P431" s="31"/>
      <c r="Q431" s="31"/>
      <c r="R431" s="31"/>
      <c r="S431" s="31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5"/>
    </row>
    <row r="432" spans="1:32" x14ac:dyDescent="0.25">
      <c r="A432" s="120"/>
      <c r="B432" s="19"/>
      <c r="C432" s="37"/>
      <c r="D432" s="37"/>
      <c r="E432" s="24"/>
      <c r="F432" s="24"/>
      <c r="G432" s="24"/>
      <c r="H432" s="24"/>
      <c r="I432" s="24"/>
      <c r="J432" s="2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5"/>
    </row>
    <row r="433" spans="1:32" x14ac:dyDescent="0.25">
      <c r="A433" s="120"/>
      <c r="B433" s="19"/>
      <c r="C433" s="37"/>
      <c r="D433" s="37"/>
      <c r="E433" s="24"/>
      <c r="F433" s="24"/>
      <c r="G433" s="24"/>
      <c r="H433" s="24"/>
      <c r="I433" s="24"/>
      <c r="J433" s="2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5"/>
    </row>
    <row r="434" spans="1:32" x14ac:dyDescent="0.25">
      <c r="A434" s="120"/>
      <c r="B434" s="19"/>
      <c r="C434" s="37"/>
      <c r="D434" s="37"/>
      <c r="E434" s="24"/>
      <c r="F434" s="24"/>
      <c r="G434" s="24"/>
      <c r="H434" s="24"/>
      <c r="I434" s="24"/>
      <c r="J434" s="2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5"/>
    </row>
    <row r="435" spans="1:32" x14ac:dyDescent="0.25">
      <c r="A435" s="120"/>
      <c r="B435" s="34"/>
      <c r="C435" s="35"/>
      <c r="D435" s="35"/>
      <c r="E435" s="36"/>
      <c r="F435" s="36"/>
      <c r="G435" s="36"/>
      <c r="H435" s="36"/>
      <c r="I435" s="36"/>
      <c r="J435" s="36"/>
      <c r="K435" s="31"/>
      <c r="L435" s="31"/>
      <c r="M435" s="31"/>
      <c r="N435" s="31"/>
      <c r="O435" s="31"/>
      <c r="P435" s="31"/>
      <c r="Q435" s="31"/>
      <c r="R435" s="31"/>
      <c r="S435" s="31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5"/>
    </row>
    <row r="436" spans="1:32" x14ac:dyDescent="0.25">
      <c r="A436" s="120"/>
      <c r="B436" s="19"/>
      <c r="C436" s="37"/>
      <c r="D436" s="37"/>
      <c r="E436" s="24"/>
      <c r="F436" s="24"/>
      <c r="G436" s="24"/>
      <c r="H436" s="24"/>
      <c r="I436" s="24"/>
      <c r="J436" s="2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5"/>
    </row>
    <row r="437" spans="1:32" x14ac:dyDescent="0.25">
      <c r="A437" s="120"/>
      <c r="B437" s="19"/>
      <c r="C437" s="24"/>
      <c r="D437" s="24"/>
      <c r="E437" s="37"/>
      <c r="F437" s="37"/>
      <c r="G437" s="37"/>
      <c r="H437" s="37"/>
      <c r="I437" s="37"/>
      <c r="J437" s="37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32" x14ac:dyDescent="0.25">
      <c r="A438" s="120"/>
      <c r="B438" s="19"/>
      <c r="C438" s="24"/>
      <c r="D438" s="24"/>
      <c r="E438" s="37"/>
      <c r="F438" s="37"/>
      <c r="G438" s="37"/>
      <c r="H438" s="37"/>
      <c r="I438" s="37"/>
      <c r="J438" s="37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32" x14ac:dyDescent="0.25">
      <c r="A439" s="120"/>
      <c r="B439" s="19"/>
      <c r="C439" s="24"/>
      <c r="D439" s="24"/>
      <c r="E439" s="37"/>
      <c r="F439" s="37"/>
      <c r="G439" s="37"/>
      <c r="H439" s="37"/>
      <c r="I439" s="37"/>
      <c r="J439" s="37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32" x14ac:dyDescent="0.25">
      <c r="A440" s="120"/>
      <c r="B440" s="19"/>
      <c r="C440" s="24"/>
      <c r="D440" s="24"/>
      <c r="E440" s="37"/>
      <c r="F440" s="37"/>
      <c r="G440" s="37"/>
      <c r="H440" s="37"/>
      <c r="I440" s="37"/>
      <c r="J440" s="37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32" x14ac:dyDescent="0.25">
      <c r="A441" s="120"/>
      <c r="B441" s="19"/>
      <c r="C441" s="24"/>
      <c r="D441" s="24"/>
      <c r="E441" s="37"/>
      <c r="F441" s="37"/>
      <c r="G441" s="37"/>
      <c r="H441" s="37"/>
      <c r="I441" s="37"/>
      <c r="J441" s="37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32" x14ac:dyDescent="0.25">
      <c r="A442" s="120"/>
      <c r="B442" s="19"/>
      <c r="C442" s="24"/>
      <c r="D442" s="24"/>
      <c r="E442" s="37"/>
      <c r="F442" s="37"/>
      <c r="G442" s="37"/>
      <c r="H442" s="37"/>
      <c r="I442" s="37"/>
      <c r="J442" s="37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32" x14ac:dyDescent="0.25">
      <c r="A443" s="120"/>
      <c r="B443" s="34"/>
      <c r="C443" s="35"/>
      <c r="D443" s="35"/>
      <c r="E443" s="36"/>
      <c r="F443" s="36"/>
      <c r="G443" s="36"/>
      <c r="H443" s="36"/>
      <c r="I443" s="36"/>
      <c r="J443" s="36"/>
      <c r="K443" s="39"/>
      <c r="L443" s="39"/>
      <c r="M443" s="39"/>
      <c r="N443" s="39"/>
      <c r="O443" s="39"/>
      <c r="P443" s="39"/>
      <c r="Q443" s="39"/>
      <c r="R443" s="39"/>
      <c r="S443" s="39"/>
    </row>
    <row r="444" spans="1:32" x14ac:dyDescent="0.25">
      <c r="A444" s="120"/>
      <c r="B444" s="19"/>
      <c r="C444" s="37"/>
      <c r="D444" s="37"/>
      <c r="E444" s="24"/>
      <c r="F444" s="24"/>
      <c r="G444" s="24"/>
      <c r="H444" s="24"/>
      <c r="I444" s="24"/>
      <c r="J444" s="24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32" x14ac:dyDescent="0.25">
      <c r="A445" s="120"/>
      <c r="B445" s="19"/>
      <c r="C445" s="37"/>
      <c r="D445" s="37"/>
      <c r="E445" s="24"/>
      <c r="F445" s="24"/>
      <c r="G445" s="24"/>
      <c r="H445" s="24"/>
      <c r="I445" s="24"/>
      <c r="J445" s="24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32" x14ac:dyDescent="0.25">
      <c r="A446" s="120"/>
      <c r="B446" s="19"/>
      <c r="C446" s="37"/>
      <c r="D446" s="37"/>
      <c r="E446" s="24"/>
      <c r="F446" s="24"/>
      <c r="G446" s="24"/>
      <c r="H446" s="24"/>
      <c r="I446" s="24"/>
      <c r="J446" s="24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32" x14ac:dyDescent="0.25">
      <c r="B447" s="19"/>
      <c r="C447" s="37"/>
      <c r="D447" s="37"/>
      <c r="E447" s="24"/>
      <c r="F447" s="24"/>
      <c r="G447" s="24"/>
      <c r="H447" s="24"/>
      <c r="I447" s="24"/>
      <c r="J447" s="24"/>
      <c r="K447" s="38"/>
      <c r="L447" s="38"/>
      <c r="M447" s="38"/>
      <c r="N447" s="38"/>
      <c r="O447" s="38"/>
      <c r="P447" s="38"/>
      <c r="Q447" s="38"/>
      <c r="R447" s="38"/>
      <c r="S447" s="38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40"/>
    </row>
    <row r="448" spans="1:32" s="12" customFormat="1" x14ac:dyDescent="0.25">
      <c r="A448" s="121"/>
      <c r="B448" s="19"/>
      <c r="C448" s="37"/>
      <c r="D448" s="37"/>
      <c r="E448" s="24"/>
      <c r="F448" s="24"/>
      <c r="G448" s="24"/>
      <c r="H448" s="24"/>
      <c r="I448" s="24"/>
      <c r="J448" s="24"/>
      <c r="K448" s="38"/>
      <c r="L448" s="38"/>
      <c r="M448" s="38"/>
      <c r="N448" s="38"/>
      <c r="O448" s="38"/>
      <c r="P448" s="38"/>
      <c r="Q448" s="38"/>
      <c r="R448" s="38"/>
      <c r="S448" s="38"/>
      <c r="AF448" s="50"/>
    </row>
    <row r="449" spans="1:32" s="12" customFormat="1" x14ac:dyDescent="0.25">
      <c r="A449" s="121"/>
      <c r="B449" s="32"/>
      <c r="C449" s="33"/>
      <c r="D449" s="33"/>
      <c r="E449" s="24"/>
      <c r="F449" s="24"/>
      <c r="G449" s="24"/>
      <c r="H449" s="24"/>
      <c r="I449" s="24"/>
      <c r="J449" s="24"/>
      <c r="K449" s="38"/>
      <c r="L449" s="38"/>
      <c r="M449" s="38"/>
      <c r="N449" s="38"/>
      <c r="O449" s="38"/>
      <c r="P449" s="38"/>
      <c r="Q449" s="38"/>
      <c r="R449" s="38"/>
      <c r="S449" s="38"/>
      <c r="AF449" s="50"/>
    </row>
    <row r="450" spans="1:32" s="12" customFormat="1" x14ac:dyDescent="0.25">
      <c r="A450" s="121"/>
      <c r="B450" s="19"/>
      <c r="C450" s="37"/>
      <c r="D450" s="37"/>
      <c r="E450" s="24"/>
      <c r="F450" s="24"/>
      <c r="G450" s="24"/>
      <c r="H450" s="24"/>
      <c r="I450" s="24"/>
      <c r="J450" s="24"/>
      <c r="K450" s="38"/>
      <c r="L450" s="38"/>
      <c r="M450" s="38"/>
      <c r="N450" s="38"/>
      <c r="O450" s="38"/>
      <c r="P450" s="38"/>
      <c r="Q450" s="38"/>
      <c r="R450" s="38"/>
      <c r="S450" s="38"/>
      <c r="AF450" s="50"/>
    </row>
    <row r="451" spans="1:32" s="12" customFormat="1" x14ac:dyDescent="0.25">
      <c r="A451" s="121"/>
      <c r="B451" s="19"/>
      <c r="C451" s="37"/>
      <c r="D451" s="37"/>
      <c r="E451" s="24"/>
      <c r="F451" s="24"/>
      <c r="G451" s="24"/>
      <c r="H451" s="24"/>
      <c r="I451" s="24"/>
      <c r="J451" s="24"/>
      <c r="K451" s="38"/>
      <c r="L451" s="38"/>
      <c r="M451" s="38"/>
      <c r="N451" s="38"/>
      <c r="O451" s="38"/>
      <c r="P451" s="38"/>
      <c r="Q451" s="38"/>
      <c r="R451" s="38"/>
      <c r="S451" s="38"/>
      <c r="AF451" s="50"/>
    </row>
    <row r="452" spans="1:32" s="12" customFormat="1" x14ac:dyDescent="0.25">
      <c r="A452" s="121"/>
      <c r="B452" s="19"/>
      <c r="C452" s="37"/>
      <c r="D452" s="37"/>
      <c r="E452" s="24"/>
      <c r="F452" s="24"/>
      <c r="G452" s="24"/>
      <c r="H452" s="24"/>
      <c r="I452" s="24"/>
      <c r="J452" s="24"/>
      <c r="K452" s="38"/>
      <c r="L452" s="38"/>
      <c r="M452" s="38"/>
      <c r="N452" s="38"/>
      <c r="O452" s="38"/>
      <c r="P452" s="38"/>
      <c r="Q452" s="38"/>
      <c r="R452" s="38"/>
      <c r="S452" s="38"/>
      <c r="AF452" s="50"/>
    </row>
    <row r="453" spans="1:32" s="12" customFormat="1" x14ac:dyDescent="0.25">
      <c r="A453" s="121"/>
      <c r="B453" s="19"/>
      <c r="C453" s="37"/>
      <c r="D453" s="37"/>
      <c r="E453" s="24"/>
      <c r="F453" s="24"/>
      <c r="G453" s="24"/>
      <c r="H453" s="24"/>
      <c r="I453" s="24"/>
      <c r="J453" s="24"/>
      <c r="K453" s="38"/>
      <c r="L453" s="38"/>
      <c r="M453" s="38"/>
      <c r="N453" s="38"/>
      <c r="O453" s="38"/>
      <c r="P453" s="38"/>
      <c r="Q453" s="38"/>
      <c r="R453" s="38"/>
      <c r="S453" s="38"/>
      <c r="AF453" s="50"/>
    </row>
    <row r="454" spans="1:32" s="12" customFormat="1" x14ac:dyDescent="0.25">
      <c r="A454" s="121"/>
      <c r="B454" s="19"/>
      <c r="C454" s="37"/>
      <c r="D454" s="37"/>
      <c r="E454" s="24"/>
      <c r="F454" s="24"/>
      <c r="G454" s="24"/>
      <c r="H454" s="24"/>
      <c r="I454" s="24"/>
      <c r="J454" s="24"/>
      <c r="K454" s="38"/>
      <c r="L454" s="38"/>
      <c r="M454" s="38"/>
      <c r="N454" s="38"/>
      <c r="O454" s="38"/>
      <c r="P454" s="38"/>
      <c r="Q454" s="38"/>
      <c r="R454" s="38"/>
      <c r="S454" s="38"/>
      <c r="AF454" s="50"/>
    </row>
    <row r="455" spans="1:32" s="12" customFormat="1" x14ac:dyDescent="0.25">
      <c r="A455" s="121"/>
      <c r="B455" s="19"/>
      <c r="C455" s="37"/>
      <c r="D455" s="37"/>
      <c r="E455" s="24"/>
      <c r="F455" s="24"/>
      <c r="G455" s="24"/>
      <c r="H455" s="24"/>
      <c r="I455" s="24"/>
      <c r="J455" s="24"/>
      <c r="K455" s="38"/>
      <c r="L455" s="38"/>
      <c r="M455" s="38"/>
      <c r="N455" s="38"/>
      <c r="O455" s="38"/>
      <c r="P455" s="38"/>
      <c r="Q455" s="38"/>
      <c r="R455" s="38"/>
      <c r="S455" s="38"/>
      <c r="AF455" s="50"/>
    </row>
  </sheetData>
  <mergeCells count="235">
    <mergeCell ref="AB2:AE3"/>
    <mergeCell ref="T2:AA3"/>
    <mergeCell ref="R3:R4"/>
    <mergeCell ref="O3:O4"/>
    <mergeCell ref="P3:P4"/>
    <mergeCell ref="Q3:Q4"/>
    <mergeCell ref="C19:E19"/>
    <mergeCell ref="B2:E4"/>
    <mergeCell ref="L2:S2"/>
    <mergeCell ref="S3:S4"/>
    <mergeCell ref="F2:F4"/>
    <mergeCell ref="G2:G4"/>
    <mergeCell ref="H2:H4"/>
    <mergeCell ref="D31:E31"/>
    <mergeCell ref="D32:E32"/>
    <mergeCell ref="D33:E33"/>
    <mergeCell ref="D34:E34"/>
    <mergeCell ref="D35:E35"/>
    <mergeCell ref="K2:K4"/>
    <mergeCell ref="L3:L4"/>
    <mergeCell ref="M3:M4"/>
    <mergeCell ref="N3:N4"/>
    <mergeCell ref="I2:I4"/>
    <mergeCell ref="J2:J4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</mergeCells>
  <pageMargins left="0.25" right="0.25" top="0.75" bottom="0.75" header="0.3" footer="0.3"/>
  <pageSetup paperSize="9" scale="31" orientation="landscape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B719"/>
  <sheetViews>
    <sheetView zoomScale="80" zoomScaleNormal="80" zoomScaleSheetLayoutView="87" zoomScalePageLayoutView="82" workbookViewId="0">
      <pane ySplit="4" topLeftCell="A65" activePane="bottomLeft" state="frozen"/>
      <selection pane="bottomLeft" activeCell="K258" sqref="K258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2" style="12" hidden="1" customWidth="1"/>
    <col min="9" max="9" width="18.5703125" style="12" customWidth="1"/>
    <col min="10" max="10" width="12.42578125" style="12" bestFit="1" customWidth="1"/>
    <col min="11" max="11" width="12.42578125" style="12" customWidth="1"/>
    <col min="12" max="12" width="8.85546875" style="12" customWidth="1"/>
    <col min="13" max="13" width="12.140625" style="49" customWidth="1"/>
    <col min="14" max="14" width="11.42578125" style="12" hidden="1" customWidth="1"/>
    <col min="15" max="16" width="11" style="12" hidden="1" customWidth="1"/>
    <col min="17" max="17" width="12" style="12" hidden="1" customWidth="1"/>
    <col min="18" max="18" width="11" style="12" hidden="1" customWidth="1"/>
    <col min="19" max="20" width="11.28515625" style="12" hidden="1" customWidth="1"/>
    <col min="21" max="23" width="11" style="12" hidden="1" customWidth="1"/>
    <col min="24" max="24" width="10.85546875" style="12" hidden="1" customWidth="1"/>
    <col min="25" max="25" width="12.5703125" style="12" hidden="1" customWidth="1"/>
    <col min="26" max="27" width="0" style="17" hidden="1" customWidth="1"/>
    <col min="28" max="28" width="20.42578125" style="17" bestFit="1" customWidth="1"/>
    <col min="29" max="16384" width="9.140625" style="17"/>
  </cols>
  <sheetData>
    <row r="1" spans="1:28" ht="15.75" thickBot="1" x14ac:dyDescent="0.3">
      <c r="Y1" s="11" t="s">
        <v>827</v>
      </c>
    </row>
    <row r="2" spans="1:28" ht="15" customHeight="1" x14ac:dyDescent="0.25">
      <c r="B2" s="677" t="s">
        <v>0</v>
      </c>
      <c r="C2" s="668"/>
      <c r="D2" s="668"/>
      <c r="E2" s="668"/>
      <c r="F2" s="669" t="s">
        <v>1049</v>
      </c>
      <c r="G2" s="669" t="s">
        <v>1052</v>
      </c>
      <c r="H2" s="669" t="s">
        <v>1054</v>
      </c>
      <c r="I2" s="669" t="s">
        <v>1055</v>
      </c>
      <c r="J2" s="669" t="s">
        <v>1059</v>
      </c>
      <c r="K2" s="691" t="s">
        <v>1041</v>
      </c>
      <c r="L2" s="683"/>
      <c r="M2" s="684"/>
      <c r="N2" s="661" t="s">
        <v>1053</v>
      </c>
      <c r="O2" s="668"/>
      <c r="P2" s="668"/>
      <c r="Q2" s="668"/>
      <c r="R2" s="668"/>
      <c r="S2" s="668"/>
      <c r="T2" s="668"/>
      <c r="U2" s="669"/>
      <c r="V2" s="668" t="s">
        <v>1042</v>
      </c>
      <c r="W2" s="668"/>
      <c r="X2" s="668"/>
      <c r="Y2" s="669"/>
    </row>
    <row r="3" spans="1:28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89"/>
      <c r="K3" s="692" t="s">
        <v>853</v>
      </c>
      <c r="L3" s="694" t="s">
        <v>854</v>
      </c>
      <c r="M3" s="696" t="s">
        <v>571</v>
      </c>
      <c r="N3" s="672"/>
      <c r="O3" s="670"/>
      <c r="P3" s="670"/>
      <c r="Q3" s="670"/>
      <c r="R3" s="670"/>
      <c r="S3" s="670"/>
      <c r="T3" s="670"/>
      <c r="U3" s="671"/>
      <c r="V3" s="670"/>
      <c r="W3" s="670"/>
      <c r="X3" s="670"/>
      <c r="Y3" s="671"/>
    </row>
    <row r="4" spans="1:28" ht="21.7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0"/>
      <c r="K4" s="693"/>
      <c r="L4" s="695"/>
      <c r="M4" s="697"/>
      <c r="N4" s="122" t="s">
        <v>592</v>
      </c>
      <c r="O4" s="63" t="s">
        <v>593</v>
      </c>
      <c r="P4" s="408" t="s">
        <v>594</v>
      </c>
      <c r="Q4" s="408" t="s">
        <v>595</v>
      </c>
      <c r="R4" s="80" t="s">
        <v>596</v>
      </c>
      <c r="S4" s="408" t="s">
        <v>597</v>
      </c>
      <c r="T4" s="408" t="s">
        <v>598</v>
      </c>
      <c r="U4" s="390" t="s">
        <v>599</v>
      </c>
      <c r="V4" s="554" t="s">
        <v>600</v>
      </c>
      <c r="W4" s="408" t="s">
        <v>601</v>
      </c>
      <c r="X4" s="408" t="s">
        <v>602</v>
      </c>
      <c r="Y4" s="390" t="s">
        <v>603</v>
      </c>
    </row>
    <row r="5" spans="1:28" ht="15.75" customHeight="1" thickBot="1" x14ac:dyDescent="0.3">
      <c r="B5" s="81" t="s">
        <v>118</v>
      </c>
      <c r="C5" s="698" t="s">
        <v>119</v>
      </c>
      <c r="D5" s="699"/>
      <c r="E5" s="699"/>
      <c r="F5" s="156">
        <v>9200794</v>
      </c>
      <c r="G5" s="156">
        <v>9126789</v>
      </c>
      <c r="H5" s="156">
        <v>9126790</v>
      </c>
      <c r="I5" s="571">
        <v>9213190</v>
      </c>
      <c r="J5" s="571">
        <f>J6+J20</f>
        <v>9260179</v>
      </c>
      <c r="K5" s="571">
        <f t="shared" ref="K5:M5" si="0">K6+K20</f>
        <v>9788779</v>
      </c>
      <c r="L5" s="571">
        <f t="shared" si="0"/>
        <v>472500</v>
      </c>
      <c r="M5" s="571">
        <f t="shared" si="0"/>
        <v>10261279</v>
      </c>
      <c r="N5" s="82">
        <f>Igazgatás!M5+Községgazd!P5+Vagyongazd!M5+Közút!M5+Sport!M5+Közművelődés!O5+Támogatás!S5</f>
        <v>660306</v>
      </c>
      <c r="O5" s="83">
        <f>Igazgatás!N5+Községgazd!Q5+Vagyongazd!N5+Közút!N5+Sport!N5+Közművelődés!P5+Támogatás!T5</f>
        <v>682553</v>
      </c>
      <c r="P5" s="86">
        <f>Igazgatás!O5+Községgazd!R5+Vagyongazd!O5+Közút!O5+Sport!O5+Közművelődés!Q5+Támogatás!U5</f>
        <v>693780</v>
      </c>
      <c r="Q5" s="86">
        <f>Igazgatás!P5+Községgazd!S5+Vagyongazd!P5+Közút!P5+Sport!P5+Közművelődés!R5+Támogatás!V5</f>
        <v>1034000</v>
      </c>
      <c r="R5" s="83">
        <f>Igazgatás!Q5+Községgazd!T5+Vagyongazd!Q5+Közút!Q5+Sport!Q5+Közművelődés!S5+Támogatás!W5</f>
        <v>647847</v>
      </c>
      <c r="S5" s="86">
        <f>Igazgatás!R5+Községgazd!U5+Vagyongazd!R5+Közút!R5+Sport!R5+Közművelődés!T5+Támogatás!X5</f>
        <v>688780</v>
      </c>
      <c r="T5" s="86">
        <f>Igazgatás!S5+Községgazd!V5+Vagyongazd!S5+Közút!S5+Sport!S5+Közművelődés!U5+Támogatás!Y5</f>
        <v>693780</v>
      </c>
      <c r="U5" s="87">
        <f>Igazgatás!T5+Községgazd!W5+Vagyongazd!T5+Közút!T5+Sport!T5+Közművelődés!V5+Támogatás!Z5</f>
        <v>941319</v>
      </c>
      <c r="V5" s="338">
        <f>Igazgatás!U5+Községgazd!X5+Vagyongazd!U5+Közút!U5+Sport!U5+Közművelődés!W5+Támogatás!AA5</f>
        <v>743611</v>
      </c>
      <c r="W5" s="86">
        <f>Igazgatás!V5+Községgazd!Y5+Vagyongazd!V5+Közút!V5+Sport!V5+Közművelődés!X5+Támogatás!AB5</f>
        <v>757753</v>
      </c>
      <c r="X5" s="86">
        <f>Igazgatás!W5+Községgazd!Z5+Vagyongazd!W5+Közút!W5+Sport!W5+Közművelődés!Y5+Támogatás!AC5</f>
        <v>779875</v>
      </c>
      <c r="Y5" s="87">
        <f>Igazgatás!X5+Községgazd!AA5+Vagyongazd!X5+Közút!X5+Sport!X5+Közművelődés!Z5+Támogatás!AD5</f>
        <v>1937675</v>
      </c>
      <c r="AB5" s="180"/>
    </row>
    <row r="6" spans="1:28" ht="15" customHeight="1" x14ac:dyDescent="0.25">
      <c r="B6" s="115" t="s">
        <v>608</v>
      </c>
      <c r="C6" s="653" t="s">
        <v>120</v>
      </c>
      <c r="D6" s="654"/>
      <c r="E6" s="654"/>
      <c r="F6" s="157">
        <v>4240330</v>
      </c>
      <c r="G6" s="157">
        <v>4166325</v>
      </c>
      <c r="H6" s="157">
        <v>4166326</v>
      </c>
      <c r="I6" s="572">
        <v>4152726</v>
      </c>
      <c r="J6" s="572">
        <f>J19+J14+J13+J10+J8+J7</f>
        <v>4199715</v>
      </c>
      <c r="K6" s="572">
        <f t="shared" ref="K6:M6" si="1">K19+K14+K13+K10+K8+K7</f>
        <v>5200815</v>
      </c>
      <c r="L6" s="572">
        <f t="shared" si="1"/>
        <v>0</v>
      </c>
      <c r="M6" s="572">
        <f t="shared" si="1"/>
        <v>5200815</v>
      </c>
      <c r="N6" s="109">
        <f>Igazgatás!M6+Községgazd!P6+Vagyongazd!M6+Közút!M6+Sport!M6+Közművelődés!O6+Támogatás!S6</f>
        <v>273726</v>
      </c>
      <c r="O6" s="110">
        <f>Igazgatás!N6+Községgazd!Q6+Vagyongazd!N6+Közút!N6+Sport!N6+Közművelődés!P6+Támogatás!T6</f>
        <v>297200</v>
      </c>
      <c r="P6" s="113">
        <f>Igazgatás!O6+Községgazd!R6+Vagyongazd!O6+Közút!O6+Sport!O6+Közművelődés!Q6+Támogatás!U6</f>
        <v>297200</v>
      </c>
      <c r="Q6" s="113">
        <f>Igazgatás!P6+Községgazd!S6+Vagyongazd!P6+Közút!P6+Sport!P6+Közművelődés!R6+Támogatás!V6</f>
        <v>472200</v>
      </c>
      <c r="R6" s="110">
        <f>Igazgatás!Q6+Községgazd!T6+Vagyongazd!Q6+Közút!Q6+Sport!Q6+Közművelődés!S6+Támogatás!W6</f>
        <v>297200</v>
      </c>
      <c r="S6" s="113">
        <f>Igazgatás!R6+Községgazd!U6+Vagyongazd!R6+Közút!R6+Sport!R6+Közművelődés!T6+Támogatás!X6</f>
        <v>297200</v>
      </c>
      <c r="T6" s="113">
        <f>Igazgatás!S6+Községgazd!V6+Vagyongazd!S6+Közút!S6+Sport!S6+Közművelődés!U6+Támogatás!Y6</f>
        <v>297200</v>
      </c>
      <c r="U6" s="114">
        <f>Igazgatás!T6+Községgazd!W6+Vagyongazd!T6+Közút!T6+Sport!T6+Közművelődés!V6+Támogatás!Z6</f>
        <v>573489</v>
      </c>
      <c r="V6" s="339">
        <f>Igazgatás!U6+Községgazd!X6+Vagyongazd!U6+Közút!U6+Sport!U6+Közművelődés!W6+Támogatás!AA6</f>
        <v>297200</v>
      </c>
      <c r="W6" s="113">
        <f>Igazgatás!V6+Községgazd!Y6+Vagyongazd!V6+Közút!V6+Sport!V6+Közművelődés!X6+Támogatás!AB6</f>
        <v>322200</v>
      </c>
      <c r="X6" s="113">
        <f>Igazgatás!W6+Községgazd!Z6+Vagyongazd!W6+Közút!W6+Sport!W6+Közművelődés!Y6+Támogatás!AC6</f>
        <v>297200</v>
      </c>
      <c r="Y6" s="114">
        <f>Igazgatás!X6+Községgazd!AA6+Vagyongazd!X6+Közút!X6+Sport!X6+Közművelődés!Z6+Támogatás!AD6</f>
        <v>1478800</v>
      </c>
      <c r="AB6" s="180"/>
    </row>
    <row r="7" spans="1:28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3380625</v>
      </c>
      <c r="G7" s="183">
        <v>3380625</v>
      </c>
      <c r="H7" s="183">
        <v>3380626</v>
      </c>
      <c r="I7" s="183">
        <v>3380626</v>
      </c>
      <c r="J7" s="183">
        <v>3380626</v>
      </c>
      <c r="K7" s="183">
        <f>Igazgatás!J7+Községgazd!J7+Vagyongazd!J7+Közút!J7+Sport!J7+Közművelődés!J7+Támogatás!J7</f>
        <v>3380626</v>
      </c>
      <c r="L7" s="183">
        <f>Igazgatás!K7+Községgazd!K7+Vagyongazd!K7+Közút!K7+Sport!K7+Közművelődés!K7+Támogatás!K7</f>
        <v>0</v>
      </c>
      <c r="M7" s="183">
        <f>Igazgatás!L7+Községgazd!L7+Vagyongazd!L7+Közút!L7+Sport!L7+Közművelődés!L7+Támogatás!L7</f>
        <v>3380626</v>
      </c>
      <c r="N7" s="191">
        <f>Igazgatás!M7+Községgazd!P7+Vagyongazd!M7+Közút!M7+Sport!M7+Közművelődés!O7+Támogatás!S7</f>
        <v>256626</v>
      </c>
      <c r="O7" s="185">
        <f>Igazgatás!N7+Községgazd!Q7+Vagyongazd!N7+Közút!N7+Sport!N7+Közművelődés!P7+Támogatás!T7</f>
        <v>284000</v>
      </c>
      <c r="P7" s="186">
        <f>Igazgatás!O7+Községgazd!R7+Vagyongazd!O7+Közút!O7+Sport!O7+Közművelődés!Q7+Támogatás!U7</f>
        <v>284000</v>
      </c>
      <c r="Q7" s="186">
        <f>Igazgatás!P7+Községgazd!S7+Vagyongazd!P7+Közút!P7+Sport!P7+Közművelődés!R7+Támogatás!V7</f>
        <v>284000</v>
      </c>
      <c r="R7" s="185">
        <f>Igazgatás!Q7+Községgazd!T7+Vagyongazd!Q7+Közút!Q7+Sport!Q7+Közművelődés!S7+Támogatás!W7</f>
        <v>284000</v>
      </c>
      <c r="S7" s="186">
        <f>Igazgatás!R7+Községgazd!U7+Vagyongazd!R7+Közút!R7+Sport!R7+Közművelődés!T7+Támogatás!X7</f>
        <v>284000</v>
      </c>
      <c r="T7" s="186">
        <f>Igazgatás!S7+Községgazd!V7+Vagyongazd!S7+Közút!S7+Sport!S7+Közművelődés!U7+Támogatás!Y7</f>
        <v>284000</v>
      </c>
      <c r="U7" s="187">
        <f>Igazgatás!T7+Községgazd!W7+Vagyongazd!T7+Közút!T7+Sport!T7+Közművelődés!V7+Támogatás!Z7</f>
        <v>284000</v>
      </c>
      <c r="V7" s="340">
        <f>Igazgatás!U7+Községgazd!X7+Vagyongazd!U7+Közút!U7+Sport!U7+Közművelődés!W7+Támogatás!AA7</f>
        <v>284000</v>
      </c>
      <c r="W7" s="186">
        <f>Igazgatás!V7+Községgazd!Y7+Vagyongazd!V7+Közút!V7+Sport!V7+Közművelődés!X7+Támogatás!AB7</f>
        <v>284000</v>
      </c>
      <c r="X7" s="186">
        <f>Igazgatás!W7+Községgazd!Z7+Vagyongazd!W7+Közút!W7+Sport!W7+Közművelődés!Y7+Támogatás!AC7</f>
        <v>284000</v>
      </c>
      <c r="Y7" s="187">
        <f>Igazgatás!X7+Községgazd!AA7+Vagyongazd!X7+Közút!X7+Sport!X7+Közművelődés!Z7+Támogatás!AD7</f>
        <v>284000</v>
      </c>
      <c r="AB7" s="180"/>
    </row>
    <row r="8" spans="1:28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180500</v>
      </c>
      <c r="G8" s="183">
        <v>180500</v>
      </c>
      <c r="H8" s="183">
        <v>180500</v>
      </c>
      <c r="I8" s="183">
        <v>180500</v>
      </c>
      <c r="J8" s="183">
        <v>180500</v>
      </c>
      <c r="K8" s="183">
        <f>Igazgatás!J8+Községgazd!J8+Vagyongazd!J8+Közút!J8+Sport!J8+Közművelődés!J10+Támogatás!J8</f>
        <v>1181600</v>
      </c>
      <c r="L8" s="183">
        <f>Igazgatás!K8+Községgazd!K8+Vagyongazd!K8+Közút!K8+Sport!K8+Közművelődés!K10+Támogatás!K8</f>
        <v>0</v>
      </c>
      <c r="M8" s="183">
        <f>Igazgatás!L8+Községgazd!L8+Vagyongazd!L8+Közút!L8+Sport!L8+Közművelődés!L10+Támogatás!L8</f>
        <v>1181600</v>
      </c>
      <c r="N8" s="191">
        <f>Igazgatás!M8+Községgazd!P8+Vagyongazd!M8+Közút!M8+Sport!M8+Közművelődés!O10+Támogatás!S8</f>
        <v>0</v>
      </c>
      <c r="O8" s="185">
        <f>Igazgatás!N8+Községgazd!Q8+Vagyongazd!N8+Közút!N8+Sport!N8+Közművelődés!P10+Támogatás!T8</f>
        <v>0</v>
      </c>
      <c r="P8" s="186">
        <f>Igazgatás!O8+Községgazd!R8+Vagyongazd!O8+Közút!O8+Sport!O8+Közművelődés!Q10+Támogatás!U8</f>
        <v>0</v>
      </c>
      <c r="Q8" s="186">
        <f>Igazgatás!P8+Községgazd!S8+Vagyongazd!P8+Közút!P8+Sport!P8+Közművelődés!R10+Támogatás!V8</f>
        <v>0</v>
      </c>
      <c r="R8" s="185">
        <f>Igazgatás!Q8+Községgazd!T8+Vagyongazd!Q8+Közút!Q8+Sport!Q8+Közművelődés!S10+Támogatás!W8</f>
        <v>0</v>
      </c>
      <c r="S8" s="186">
        <f>Igazgatás!R8+Községgazd!U8+Vagyongazd!R8+Közút!R8+Sport!R8+Közművelődés!T10+Támogatás!X8</f>
        <v>0</v>
      </c>
      <c r="T8" s="186">
        <f>Igazgatás!S8+Községgazd!V8+Vagyongazd!S8+Közút!S8+Sport!S8+Közművelődés!U10+Támogatás!Y8</f>
        <v>0</v>
      </c>
      <c r="U8" s="187">
        <f>Igazgatás!T8+Községgazd!W8+Vagyongazd!T8+Közút!T8+Sport!T8+Közművelődés!V10+Támogatás!Z8</f>
        <v>0</v>
      </c>
      <c r="V8" s="340">
        <f>Igazgatás!U8+Községgazd!X8+Vagyongazd!U8+Közút!U8+Sport!U8+Közművelődés!W10+Támogatás!AA8</f>
        <v>0</v>
      </c>
      <c r="W8" s="186">
        <f>Igazgatás!V8+Községgazd!Y8+Vagyongazd!V8+Közút!V8+Sport!V8+Közművelődés!X10+Támogatás!AB8</f>
        <v>0</v>
      </c>
      <c r="X8" s="186">
        <f>Igazgatás!W8+Községgazd!Z8+Vagyongazd!W8+Közút!W8+Sport!W8+Közművelődés!Y10+Támogatás!AC8</f>
        <v>0</v>
      </c>
      <c r="Y8" s="187">
        <f>Igazgatás!X8+Községgazd!AA8+Vagyongazd!X8+Közút!X8+Sport!X8+Közművelődés!Z10+Támogatás!AD8</f>
        <v>1181600</v>
      </c>
      <c r="AB8" s="180"/>
    </row>
    <row r="9" spans="1:28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/>
      <c r="H9" s="340"/>
      <c r="I9" s="340"/>
      <c r="J9" s="340"/>
      <c r="K9" s="251"/>
      <c r="L9" s="182"/>
      <c r="M9" s="183"/>
      <c r="N9" s="191">
        <f>Igazgatás!M9+Községgazd!P9+Vagyongazd!M9+Közút!M9+Sport!M9+Közművelődés!O13+Támogatás!S9</f>
        <v>0</v>
      </c>
      <c r="O9" s="185">
        <f>Igazgatás!N9+Községgazd!Q9+Vagyongazd!N9+Közút!N9+Sport!N9+Közművelődés!P13+Támogatás!T9</f>
        <v>0</v>
      </c>
      <c r="P9" s="186">
        <f>Igazgatás!O9+Községgazd!R9+Vagyongazd!O9+Közút!O9+Sport!O9+Közművelődés!Q13+Támogatás!U9</f>
        <v>0</v>
      </c>
      <c r="Q9" s="186">
        <f>Igazgatás!P9+Községgazd!S9+Vagyongazd!P9+Közút!P9+Sport!P9+Közművelődés!R13+Támogatás!V9</f>
        <v>0</v>
      </c>
      <c r="R9" s="185">
        <f>Igazgatás!Q9+Községgazd!T9+Vagyongazd!Q9+Közút!Q9+Sport!Q9+Közművelődés!S13+Támogatás!W9</f>
        <v>0</v>
      </c>
      <c r="S9" s="186">
        <f>Igazgatás!R9+Községgazd!U9+Vagyongazd!R9+Közút!R9+Sport!R9+Közművelődés!T13+Támogatás!X9</f>
        <v>0</v>
      </c>
      <c r="T9" s="186">
        <f>Igazgatás!S9+Községgazd!V9+Vagyongazd!S9+Közút!S9+Sport!S9+Közművelődés!U13+Támogatás!Y9</f>
        <v>0</v>
      </c>
      <c r="U9" s="187">
        <f>Igazgatás!T9+Községgazd!W9+Vagyongazd!T9+Közút!T9+Sport!T9+Közművelődés!V13+Támogatás!Z9</f>
        <v>0</v>
      </c>
      <c r="V9" s="340">
        <f>Igazgatás!U9+Községgazd!X9+Vagyongazd!U9+Közút!U9+Sport!U9+Közművelődés!W13+Támogatás!AA9</f>
        <v>0</v>
      </c>
      <c r="W9" s="186">
        <f>Igazgatás!V9+Községgazd!Y9+Vagyongazd!V9+Közút!V9+Sport!V9+Közművelődés!X13+Támogatás!AB9</f>
        <v>0</v>
      </c>
      <c r="X9" s="186">
        <f>Igazgatás!W9+Községgazd!Z9+Vagyongazd!W9+Közút!W9+Sport!W9+Közművelődés!Y13+Támogatás!AC9</f>
        <v>0</v>
      </c>
      <c r="Y9" s="187">
        <f>Igazgatás!X9+Községgazd!AA9+Vagyongazd!X9+Közút!X9+Sport!X9+Közművelődés!Z13+Támogatás!AD9</f>
        <v>0</v>
      </c>
      <c r="AB9" s="180"/>
    </row>
    <row r="10" spans="1:28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180500</v>
      </c>
      <c r="G10" s="183">
        <v>180500</v>
      </c>
      <c r="H10" s="183">
        <v>180500</v>
      </c>
      <c r="I10" s="183">
        <v>180500</v>
      </c>
      <c r="J10" s="183">
        <v>202280</v>
      </c>
      <c r="K10" s="183">
        <f>Igazgatás!J10+Községgazd!J10+Vagyongazd!J10+Közút!J10+Sport!J10+Közművelődés!J14+Támogatás!J10</f>
        <v>202280</v>
      </c>
      <c r="L10" s="183">
        <f>Igazgatás!K10+Községgazd!K10+Vagyongazd!K10+Közút!K10+Sport!K10+Közművelődés!K14+Támogatás!K10</f>
        <v>0</v>
      </c>
      <c r="M10" s="183">
        <v>202280</v>
      </c>
      <c r="N10" s="191">
        <f>Igazgatás!M10+Községgazd!P10+Vagyongazd!M10+Közút!M10+Sport!M10+Közművelődés!O14+Támogatás!S10</f>
        <v>0</v>
      </c>
      <c r="O10" s="185">
        <f>Igazgatás!N10+Községgazd!Q10+Vagyongazd!N10+Közút!N10+Sport!N10+Közművelődés!P14+Támogatás!T10</f>
        <v>0</v>
      </c>
      <c r="P10" s="186">
        <f>Igazgatás!O10+Községgazd!R10+Vagyongazd!O10+Közút!O10+Sport!O10+Közművelődés!Q14+Támogatás!U10</f>
        <v>0</v>
      </c>
      <c r="Q10" s="186">
        <f>Igazgatás!P10+Községgazd!S10+Vagyongazd!P10+Közút!P10+Sport!P10+Közművelődés!R14+Támogatás!V10</f>
        <v>0</v>
      </c>
      <c r="R10" s="185">
        <f>Igazgatás!Q10+Községgazd!T10+Vagyongazd!Q10+Közút!Q10+Sport!Q10+Közművelődés!S14+Támogatás!W10</f>
        <v>0</v>
      </c>
      <c r="S10" s="186">
        <f>Igazgatás!R10+Községgazd!U10+Vagyongazd!R10+Közút!R10+Sport!R10+Közművelődés!T14+Támogatás!X10</f>
        <v>0</v>
      </c>
      <c r="T10" s="186">
        <f>Igazgatás!S10+Községgazd!V10+Vagyongazd!S10+Közút!S10+Sport!S10+Közművelődés!U14+Támogatás!Y10</f>
        <v>0</v>
      </c>
      <c r="U10" s="187">
        <f>Igazgatás!T10+Községgazd!W10+Vagyongazd!T10+Közút!T10+Sport!T10+Közművelődés!V14+Támogatás!Z10</f>
        <v>202280</v>
      </c>
      <c r="V10" s="340">
        <f>Igazgatás!U10+Községgazd!X10+Vagyongazd!U10+Közút!U10+Sport!U10+Közművelődés!W14+Támogatás!AA10</f>
        <v>0</v>
      </c>
      <c r="W10" s="186">
        <f>Igazgatás!V10+Községgazd!Y10+Vagyongazd!V10+Közút!V10+Sport!V10+Közművelődés!X14+Támogatás!AB10</f>
        <v>0</v>
      </c>
      <c r="X10" s="186">
        <f>Igazgatás!W10+Községgazd!Z10+Vagyongazd!W10+Közút!W10+Sport!W10+Közművelődés!Y14+Támogatás!AC10</f>
        <v>0</v>
      </c>
      <c r="Y10" s="187">
        <f>Igazgatás!X10+Községgazd!AA10+Vagyongazd!X10+Közút!X10+Sport!X10+Közművelődés!Z14+Támogatás!AD10</f>
        <v>0</v>
      </c>
      <c r="AB10" s="180"/>
    </row>
    <row r="11" spans="1:28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 t="e">
        <v>#REF!</v>
      </c>
      <c r="G11" s="340" t="e">
        <v>#REF!</v>
      </c>
      <c r="H11" s="340" t="e">
        <v>#REF!</v>
      </c>
      <c r="I11" s="340" t="e">
        <v>#REF!</v>
      </c>
      <c r="J11" s="340" t="e">
        <v>#REF!</v>
      </c>
      <c r="K11" s="251" t="e">
        <f>Igazgatás!J11+Községgazd!J11+Vagyongazd!#REF!+Közút!J11+Sport!J11+Közművelődés!J17+Támogatás!J11</f>
        <v>#REF!</v>
      </c>
      <c r="L11" s="182" t="e">
        <f>Igazgatás!K11+Községgazd!K11+Vagyongazd!#REF!+Közút!K11+Sport!K11+Közművelődés!K17+Támogatás!K11</f>
        <v>#REF!</v>
      </c>
      <c r="M11" s="183" t="e">
        <f>Igazgatás!L11+Községgazd!L11+Vagyongazd!#REF!+Közút!L11+Sport!L11+Közművelődés!L17+Támogatás!L11</f>
        <v>#REF!</v>
      </c>
      <c r="N11" s="191">
        <f>Igazgatás!M11+Községgazd!P11+Vagyongazd!M11+Közút!M11+Sport!M11+Közművelődés!O17+Támogatás!S11</f>
        <v>0</v>
      </c>
      <c r="O11" s="185">
        <f>Igazgatás!N11+Községgazd!Q11+Vagyongazd!N11+Közút!N11+Sport!N11+Közművelődés!P17+Támogatás!T11</f>
        <v>0</v>
      </c>
      <c r="P11" s="186">
        <f>Igazgatás!O11+Községgazd!R11+Vagyongazd!O11+Közút!O11+Sport!O11+Közművelődés!Q17+Támogatás!U11</f>
        <v>0</v>
      </c>
      <c r="Q11" s="186">
        <f>Igazgatás!P11+Községgazd!S11+Vagyongazd!P11+Közút!P11+Sport!P11+Közművelődés!R17+Támogatás!V11</f>
        <v>0</v>
      </c>
      <c r="R11" s="185">
        <f>Igazgatás!Q11+Községgazd!T11+Vagyongazd!Q11+Közút!Q11+Sport!Q11+Közművelődés!S17+Támogatás!W11</f>
        <v>0</v>
      </c>
      <c r="S11" s="186">
        <f>Igazgatás!R11+Községgazd!U11+Vagyongazd!R11+Közút!R11+Sport!R11+Közművelődés!T17+Támogatás!X11</f>
        <v>0</v>
      </c>
      <c r="T11" s="186">
        <f>Igazgatás!S11+Községgazd!V11+Vagyongazd!S11+Közút!S11+Sport!S11+Közművelődés!U17+Támogatás!Y11</f>
        <v>0</v>
      </c>
      <c r="U11" s="187">
        <f>Igazgatás!T11+Községgazd!W11+Vagyongazd!T11+Közút!T11+Sport!T11+Közművelődés!V17+Támogatás!Z11</f>
        <v>0</v>
      </c>
      <c r="V11" s="340">
        <f>Igazgatás!U11+Községgazd!X11+Vagyongazd!U11+Közút!U11+Sport!U11+Közművelődés!W17+Támogatás!AA11</f>
        <v>0</v>
      </c>
      <c r="W11" s="186">
        <f>Igazgatás!V11+Községgazd!Y11+Vagyongazd!V11+Közút!V11+Sport!V11+Közművelődés!X17+Támogatás!AB11</f>
        <v>0</v>
      </c>
      <c r="X11" s="186">
        <f>Igazgatás!W11+Községgazd!Z11+Vagyongazd!W11+Közút!W11+Sport!W11+Közművelődés!Y17+Támogatás!AC11</f>
        <v>0</v>
      </c>
      <c r="Y11" s="187">
        <f>Igazgatás!X11+Községgazd!AA11+Vagyongazd!X11+Közút!X11+Sport!X11+Közművelődés!Z17+Támogatás!AD11</f>
        <v>0</v>
      </c>
      <c r="AB11" s="180"/>
    </row>
    <row r="12" spans="1:28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 t="e">
        <v>#REF!</v>
      </c>
      <c r="G12" s="340" t="e">
        <v>#REF!</v>
      </c>
      <c r="H12" s="340" t="e">
        <v>#REF!</v>
      </c>
      <c r="I12" s="340" t="e">
        <v>#REF!</v>
      </c>
      <c r="J12" s="340" t="e">
        <v>#REF!</v>
      </c>
      <c r="K12" s="251" t="e">
        <f>Igazgatás!J12+Községgazd!J12+Vagyongazd!#REF!+Közút!J12+Sport!J12+Közművelődés!J18+Támogatás!J12</f>
        <v>#REF!</v>
      </c>
      <c r="L12" s="182" t="e">
        <f>Igazgatás!K12+Községgazd!K12+Vagyongazd!#REF!+Közút!K12+Sport!K12+Közművelődés!K18+Támogatás!K12</f>
        <v>#REF!</v>
      </c>
      <c r="M12" s="183" t="e">
        <f>Igazgatás!L12+Községgazd!L12+Vagyongazd!#REF!+Közút!L12+Sport!L12+Közművelődés!L18+Támogatás!L12</f>
        <v>#REF!</v>
      </c>
      <c r="N12" s="191">
        <f>Igazgatás!M12+Községgazd!P12+Vagyongazd!M12+Közút!M12+Sport!M12+Közművelődés!O18+Támogatás!S12</f>
        <v>0</v>
      </c>
      <c r="O12" s="185">
        <f>Igazgatás!N12+Községgazd!Q12+Vagyongazd!N12+Közút!N12+Sport!N12+Közművelődés!P18+Támogatás!T12</f>
        <v>0</v>
      </c>
      <c r="P12" s="186">
        <f>Igazgatás!O12+Községgazd!R12+Vagyongazd!O12+Közút!O12+Sport!O12+Közművelődés!Q18+Támogatás!U12</f>
        <v>0</v>
      </c>
      <c r="Q12" s="186">
        <f>Igazgatás!P12+Községgazd!S12+Vagyongazd!P12+Közút!P12+Sport!P12+Közművelődés!R18+Támogatás!V12</f>
        <v>0</v>
      </c>
      <c r="R12" s="185">
        <f>Igazgatás!Q12+Községgazd!T12+Vagyongazd!Q12+Közút!Q12+Sport!Q12+Közművelődés!S18+Támogatás!W12</f>
        <v>0</v>
      </c>
      <c r="S12" s="186">
        <f>Igazgatás!R12+Községgazd!U12+Vagyongazd!R12+Közút!R12+Sport!R12+Közművelődés!T18+Támogatás!X12</f>
        <v>0</v>
      </c>
      <c r="T12" s="186">
        <f>Igazgatás!S12+Községgazd!V12+Vagyongazd!S12+Közút!S12+Sport!S12+Közművelődés!U18+Támogatás!Y12</f>
        <v>0</v>
      </c>
      <c r="U12" s="187">
        <f>Igazgatás!T12+Községgazd!W12+Vagyongazd!T12+Közút!T12+Sport!T12+Közművelődés!V18+Támogatás!Z12</f>
        <v>0</v>
      </c>
      <c r="V12" s="340">
        <f>Igazgatás!U12+Községgazd!X12+Vagyongazd!U12+Közút!U12+Sport!U12+Közművelődés!W18+Támogatás!AA12</f>
        <v>0</v>
      </c>
      <c r="W12" s="186">
        <f>Igazgatás!V12+Községgazd!Y12+Vagyongazd!V12+Közút!V12+Sport!V12+Közművelődés!X18+Támogatás!AB12</f>
        <v>0</v>
      </c>
      <c r="X12" s="186">
        <f>Igazgatás!W12+Községgazd!Z12+Vagyongazd!W12+Közút!W12+Sport!W12+Közművelődés!Y18+Támogatás!AC12</f>
        <v>0</v>
      </c>
      <c r="Y12" s="187">
        <f>Igazgatás!X12+Községgazd!AA12+Vagyongazd!X12+Közút!X12+Sport!X12+Közművelődés!Z18+Támogatás!AD12</f>
        <v>0</v>
      </c>
      <c r="AB12" s="180"/>
    </row>
    <row r="13" spans="1:28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175000</v>
      </c>
      <c r="G13" s="183">
        <v>175000</v>
      </c>
      <c r="H13" s="183">
        <v>175000</v>
      </c>
      <c r="I13" s="183">
        <v>175000</v>
      </c>
      <c r="J13" s="183">
        <v>224009</v>
      </c>
      <c r="K13" s="183">
        <f>Igazgatás!J13+Községgazd!J13+Vagyongazd!J13+Közút!J13+Sport!J13+Közművelődés!J19+Támogatás!J13</f>
        <v>224009</v>
      </c>
      <c r="L13" s="183">
        <f>Igazgatás!K13+Községgazd!K13+Vagyongazd!K13+Közút!K13+Sport!K13+Közművelődés!K19+Támogatás!K13</f>
        <v>0</v>
      </c>
      <c r="M13" s="183">
        <f>Igazgatás!L13+Községgazd!L13+Vagyongazd!L13+Közút!L13+Sport!L13+Közművelődés!L19+Támogatás!L13</f>
        <v>224009</v>
      </c>
      <c r="N13" s="191">
        <f>Igazgatás!M13+Községgazd!P13+Vagyongazd!M13+Közút!M13+Sport!M13+Közművelődés!O19+Támogatás!S13</f>
        <v>0</v>
      </c>
      <c r="O13" s="185">
        <f>Igazgatás!N13+Községgazd!Q13+Vagyongazd!N13+Közút!N13+Sport!N13+Közművelődés!P19+Támogatás!T13</f>
        <v>0</v>
      </c>
      <c r="P13" s="186">
        <f>Igazgatás!O13+Községgazd!R13+Vagyongazd!O13+Közút!O13+Sport!O13+Közművelődés!Q19+Támogatás!U13</f>
        <v>0</v>
      </c>
      <c r="Q13" s="186">
        <f>Igazgatás!P13+Községgazd!S13+Vagyongazd!P13+Közút!P13+Sport!P13+Közművelődés!R19+Támogatás!V13</f>
        <v>175000</v>
      </c>
      <c r="R13" s="185">
        <f>Igazgatás!Q13+Községgazd!T13+Vagyongazd!Q13+Közút!Q13+Sport!Q13+Közművelődés!S19+Támogatás!W13</f>
        <v>0</v>
      </c>
      <c r="S13" s="186">
        <f>Igazgatás!R13+Községgazd!U13+Vagyongazd!R13+Közút!R13+Sport!R13+Közművelődés!T19+Támogatás!X13</f>
        <v>0</v>
      </c>
      <c r="T13" s="186">
        <f>Igazgatás!S13+Községgazd!V13+Vagyongazd!S13+Közút!S13+Sport!S13+Közművelődés!U19+Támogatás!Y13</f>
        <v>0</v>
      </c>
      <c r="U13" s="187">
        <f>Igazgatás!T13+Községgazd!W13+Vagyongazd!T13+Közút!T13+Sport!T13+Közművelődés!V19+Támogatás!Z13</f>
        <v>49009</v>
      </c>
      <c r="V13" s="340">
        <f>Igazgatás!U13+Községgazd!X13+Vagyongazd!U13+Közút!U13+Sport!U13+Közművelődés!W19+Támogatás!AA13</f>
        <v>0</v>
      </c>
      <c r="W13" s="186">
        <f>Igazgatás!V13+Községgazd!Y13+Vagyongazd!V13+Közút!V13+Sport!V13+Közművelődés!X19+Támogatás!AB13</f>
        <v>0</v>
      </c>
      <c r="X13" s="186">
        <f>Igazgatás!W13+Községgazd!Z13+Vagyongazd!W13+Közút!W13+Sport!W13+Közművelődés!Y19+Támogatás!AC13</f>
        <v>0</v>
      </c>
      <c r="Y13" s="187">
        <f>Igazgatás!X13+Községgazd!AA13+Vagyongazd!X13+Közút!X13+Sport!X13+Közművelődés!Z19+Támogatás!AD13</f>
        <v>0</v>
      </c>
      <c r="AB13" s="180"/>
    </row>
    <row r="14" spans="1:28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50000</v>
      </c>
      <c r="G14" s="183">
        <v>50000</v>
      </c>
      <c r="H14" s="183">
        <v>50000</v>
      </c>
      <c r="I14" s="183">
        <v>50000</v>
      </c>
      <c r="J14" s="183">
        <v>50000</v>
      </c>
      <c r="K14" s="183">
        <f>Igazgatás!J14+Községgazd!J14+Vagyongazd!J14+Közút!J14+Sport!J14+Közművelődés!J22+Támogatás!J14</f>
        <v>50000</v>
      </c>
      <c r="L14" s="183">
        <f>Igazgatás!K14+Községgazd!K14+Vagyongazd!K14+Közút!K14+Sport!K14+Közművelődés!K22+Támogatás!K14</f>
        <v>0</v>
      </c>
      <c r="M14" s="183">
        <f>Igazgatás!L14+Községgazd!L14+Vagyongazd!L14+Közút!L14+Sport!L14+Közművelődés!L22+Támogatás!L14</f>
        <v>50000</v>
      </c>
      <c r="N14" s="191">
        <f>Igazgatás!M14+Községgazd!P14+Vagyongazd!M14+Közút!M14+Sport!M14+Közművelődés!O22+Támogatás!S14</f>
        <v>0</v>
      </c>
      <c r="O14" s="185">
        <f>Igazgatás!N14+Községgazd!Q14+Vagyongazd!N14+Közút!N14+Sport!N14+Közművelődés!P22+Támogatás!T14</f>
        <v>0</v>
      </c>
      <c r="P14" s="186">
        <f>Igazgatás!O14+Községgazd!R14+Vagyongazd!O14+Közút!O14+Sport!O14+Közművelődés!Q22+Támogatás!U14</f>
        <v>0</v>
      </c>
      <c r="Q14" s="186">
        <f>Igazgatás!P14+Községgazd!S14+Vagyongazd!P14+Közút!P14+Sport!P14+Közművelődés!R22+Támogatás!V14</f>
        <v>0</v>
      </c>
      <c r="R14" s="185">
        <f>Igazgatás!Q14+Községgazd!T14+Vagyongazd!Q14+Közút!Q14+Sport!Q14+Közművelődés!S22+Támogatás!W14</f>
        <v>0</v>
      </c>
      <c r="S14" s="186">
        <f>Igazgatás!R14+Községgazd!U14+Vagyongazd!R14+Közút!R14+Sport!R14+Közművelődés!T22+Támogatás!X14</f>
        <v>0</v>
      </c>
      <c r="T14" s="186">
        <f>Igazgatás!S14+Községgazd!V14+Vagyongazd!S14+Közút!S14+Sport!S14+Közművelődés!U22+Támogatás!Y14</f>
        <v>0</v>
      </c>
      <c r="U14" s="187">
        <f>Igazgatás!T14+Községgazd!W14+Vagyongazd!T14+Közút!T14+Sport!T14+Közművelődés!V22+Támogatás!Z14</f>
        <v>25000</v>
      </c>
      <c r="V14" s="340">
        <f>Igazgatás!U14+Községgazd!X14+Vagyongazd!U14+Közút!U14+Sport!U14+Közművelődés!W22+Támogatás!AA14</f>
        <v>0</v>
      </c>
      <c r="W14" s="186">
        <f>Igazgatás!V14+Községgazd!Y14+Vagyongazd!V14+Közút!V14+Sport!V14+Közművelődés!X22+Támogatás!AB14</f>
        <v>25000</v>
      </c>
      <c r="X14" s="186">
        <f>Igazgatás!W14+Községgazd!Z14+Vagyongazd!W14+Közút!W14+Sport!W14+Közművelődés!Y22+Támogatás!AC14</f>
        <v>0</v>
      </c>
      <c r="Y14" s="187">
        <f>Igazgatás!X14+Községgazd!AA14+Vagyongazd!X14+Közút!X14+Sport!X14+Közművelődés!Z22+Támogatás!AD14</f>
        <v>0</v>
      </c>
      <c r="AB14" s="180"/>
    </row>
    <row r="15" spans="1:28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 t="e">
        <v>#REF!</v>
      </c>
      <c r="G15" s="340" t="e">
        <v>#REF!</v>
      </c>
      <c r="H15" s="340" t="e">
        <v>#REF!</v>
      </c>
      <c r="I15" s="340" t="e">
        <v>#REF!</v>
      </c>
      <c r="J15" s="340" t="e">
        <v>#REF!</v>
      </c>
      <c r="K15" s="251" t="e">
        <f>Igazgatás!J15+Községgazd!J15+Vagyongazd!#REF!+Közút!J15+Sport!J15+Közművelődés!J25+Támogatás!J15</f>
        <v>#REF!</v>
      </c>
      <c r="L15" s="182" t="e">
        <f>Igazgatás!K15+Községgazd!K15+Vagyongazd!#REF!+Közút!K15+Sport!K15+Közművelődés!K25+Támogatás!K15</f>
        <v>#REF!</v>
      </c>
      <c r="M15" s="183" t="e">
        <f>Igazgatás!L15+Községgazd!L15+Vagyongazd!#REF!+Közút!L15+Sport!L15+Közművelődés!L25+Támogatás!L15</f>
        <v>#REF!</v>
      </c>
      <c r="N15" s="191">
        <f>Igazgatás!M15+Községgazd!P15+Vagyongazd!M15+Közút!M15+Sport!M15+Közművelődés!O25+Támogatás!S15</f>
        <v>0</v>
      </c>
      <c r="O15" s="185">
        <f>Igazgatás!N15+Községgazd!Q15+Vagyongazd!N15+Közút!N15+Sport!N15+Közművelődés!P25+Támogatás!T15</f>
        <v>0</v>
      </c>
      <c r="P15" s="186">
        <f>Igazgatás!O15+Községgazd!R15+Vagyongazd!O15+Közút!O15+Sport!O15+Közművelődés!Q25+Támogatás!U15</f>
        <v>0</v>
      </c>
      <c r="Q15" s="186">
        <f>Igazgatás!P15+Községgazd!S15+Vagyongazd!P15+Közút!P15+Sport!P15+Közművelődés!R25+Támogatás!V15</f>
        <v>0</v>
      </c>
      <c r="R15" s="185">
        <f>Igazgatás!Q15+Községgazd!T15+Vagyongazd!Q15+Közút!Q15+Sport!Q15+Közművelődés!S25+Támogatás!W15</f>
        <v>0</v>
      </c>
      <c r="S15" s="186">
        <f>Igazgatás!R15+Községgazd!U15+Vagyongazd!R15+Közút!R15+Sport!R15+Közművelődés!T25+Támogatás!X15</f>
        <v>0</v>
      </c>
      <c r="T15" s="186">
        <f>Igazgatás!S15+Községgazd!V15+Vagyongazd!S15+Közút!S15+Sport!S15+Közművelődés!U25+Támogatás!Y15</f>
        <v>0</v>
      </c>
      <c r="U15" s="187">
        <f>Igazgatás!T15+Községgazd!W15+Vagyongazd!T15+Közút!T15+Sport!T15+Közművelődés!V25+Támogatás!Z15</f>
        <v>0</v>
      </c>
      <c r="V15" s="340">
        <f>Igazgatás!U15+Községgazd!X15+Vagyongazd!U15+Közút!U15+Sport!U15+Közművelődés!W25+Támogatás!AA15</f>
        <v>0</v>
      </c>
      <c r="W15" s="186">
        <f>Igazgatás!V15+Községgazd!Y15+Vagyongazd!V15+Közút!V15+Sport!V15+Közművelődés!X25+Támogatás!AB15</f>
        <v>0</v>
      </c>
      <c r="X15" s="186">
        <f>Igazgatás!W15+Községgazd!Z15+Vagyongazd!W15+Közút!W15+Sport!W15+Közművelődés!Y25+Támogatás!AC15</f>
        <v>0</v>
      </c>
      <c r="Y15" s="187">
        <f>Igazgatás!X15+Községgazd!AA15+Vagyongazd!X15+Közút!X15+Sport!X15+Közművelődés!Z25+Támogatás!AD15</f>
        <v>0</v>
      </c>
      <c r="AB15" s="180"/>
    </row>
    <row r="16" spans="1:28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 t="e">
        <v>#REF!</v>
      </c>
      <c r="G16" s="340" t="e">
        <v>#REF!</v>
      </c>
      <c r="H16" s="340" t="e">
        <v>#REF!</v>
      </c>
      <c r="I16" s="340" t="e">
        <v>#REF!</v>
      </c>
      <c r="J16" s="340" t="e">
        <v>#REF!</v>
      </c>
      <c r="K16" s="251" t="e">
        <f>Igazgatás!J16+Községgazd!J16+Vagyongazd!#REF!+Közút!J16+Sport!J16+Közművelődés!J26+Támogatás!J16</f>
        <v>#REF!</v>
      </c>
      <c r="L16" s="182" t="e">
        <f>Igazgatás!K16+Községgazd!K16+Vagyongazd!#REF!+Közút!K16+Sport!K16+Közművelődés!K26+Támogatás!K16</f>
        <v>#REF!</v>
      </c>
      <c r="M16" s="183" t="e">
        <f>Igazgatás!L16+Községgazd!L16+Vagyongazd!#REF!+Közút!L16+Sport!L16+Közművelődés!L26+Támogatás!L16</f>
        <v>#REF!</v>
      </c>
      <c r="N16" s="191">
        <f>Igazgatás!M16+Községgazd!P16+Vagyongazd!M16+Közút!M16+Sport!M16+Közművelődés!O26+Támogatás!S16</f>
        <v>0</v>
      </c>
      <c r="O16" s="185">
        <f>Igazgatás!N16+Községgazd!Q16+Vagyongazd!N16+Közút!N16+Sport!N16+Közművelődés!P26+Támogatás!T16</f>
        <v>0</v>
      </c>
      <c r="P16" s="186">
        <f>Igazgatás!O16+Községgazd!R16+Vagyongazd!O16+Közút!O16+Sport!O16+Közművelődés!Q26+Támogatás!U16</f>
        <v>0</v>
      </c>
      <c r="Q16" s="186">
        <f>Igazgatás!P16+Községgazd!S16+Vagyongazd!P16+Közút!P16+Sport!P16+Közművelődés!R26+Támogatás!V16</f>
        <v>0</v>
      </c>
      <c r="R16" s="185">
        <f>Igazgatás!Q16+Községgazd!T16+Vagyongazd!Q16+Közút!Q16+Sport!Q16+Közművelődés!S26+Támogatás!W16</f>
        <v>0</v>
      </c>
      <c r="S16" s="186">
        <f>Igazgatás!R16+Községgazd!U16+Vagyongazd!R16+Közút!R16+Sport!R16+Közművelődés!T26+Támogatás!X16</f>
        <v>0</v>
      </c>
      <c r="T16" s="186">
        <f>Igazgatás!S16+Községgazd!V16+Vagyongazd!S16+Közút!S16+Sport!S16+Közművelődés!U26+Támogatás!Y16</f>
        <v>0</v>
      </c>
      <c r="U16" s="187">
        <f>Igazgatás!T16+Községgazd!W16+Vagyongazd!T16+Közút!T16+Sport!T16+Közművelődés!V26+Támogatás!Z16</f>
        <v>0</v>
      </c>
      <c r="V16" s="340">
        <f>Igazgatás!U16+Községgazd!X16+Vagyongazd!U16+Közút!U16+Sport!U16+Közművelődés!W26+Támogatás!AA16</f>
        <v>0</v>
      </c>
      <c r="W16" s="186">
        <f>Igazgatás!V16+Községgazd!Y16+Vagyongazd!V16+Közút!V16+Sport!V16+Közművelődés!X26+Támogatás!AB16</f>
        <v>0</v>
      </c>
      <c r="X16" s="186">
        <f>Igazgatás!W16+Községgazd!Z16+Vagyongazd!W16+Közút!W16+Sport!W16+Közművelődés!Y26+Támogatás!AC16</f>
        <v>0</v>
      </c>
      <c r="Y16" s="187">
        <f>Igazgatás!X16+Községgazd!AA16+Vagyongazd!X16+Közút!X16+Sport!X16+Közművelődés!Z26+Támogatás!AD16</f>
        <v>0</v>
      </c>
      <c r="AB16" s="180"/>
    </row>
    <row r="17" spans="1:28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 t="e">
        <v>#REF!</v>
      </c>
      <c r="G17" s="340" t="e">
        <v>#REF!</v>
      </c>
      <c r="H17" s="340" t="e">
        <v>#REF!</v>
      </c>
      <c r="I17" s="340" t="e">
        <v>#REF!</v>
      </c>
      <c r="J17" s="340" t="e">
        <v>#REF!</v>
      </c>
      <c r="K17" s="251" t="e">
        <f>Igazgatás!J17+Községgazd!J17+Vagyongazd!#REF!+Közút!J17+Sport!J17+Közművelődés!J27+Támogatás!J17</f>
        <v>#REF!</v>
      </c>
      <c r="L17" s="182" t="e">
        <f>Igazgatás!K17+Községgazd!K17+Vagyongazd!#REF!+Közút!K17+Sport!K17+Közművelődés!K27+Támogatás!K17</f>
        <v>#REF!</v>
      </c>
      <c r="M17" s="183" t="e">
        <f>Igazgatás!L17+Községgazd!L17+Vagyongazd!#REF!+Közút!L17+Sport!L17+Közművelődés!L27+Támogatás!L17</f>
        <v>#REF!</v>
      </c>
      <c r="N17" s="191">
        <f>Igazgatás!M17+Községgazd!P17+Vagyongazd!M17+Közút!M17+Sport!M17+Közművelődés!O27+Támogatás!S17</f>
        <v>0</v>
      </c>
      <c r="O17" s="185">
        <f>Igazgatás!N17+Községgazd!Q17+Vagyongazd!N17+Közút!N17+Sport!N17+Közművelődés!P27+Támogatás!T17</f>
        <v>0</v>
      </c>
      <c r="P17" s="186">
        <f>Igazgatás!O17+Községgazd!R17+Vagyongazd!O17+Közút!O17+Sport!O17+Közművelődés!Q27+Támogatás!U17</f>
        <v>0</v>
      </c>
      <c r="Q17" s="186">
        <f>Igazgatás!P17+Községgazd!S17+Vagyongazd!P17+Közút!P17+Sport!P17+Közművelődés!R27+Támogatás!V17</f>
        <v>0</v>
      </c>
      <c r="R17" s="185">
        <f>Igazgatás!Q17+Községgazd!T17+Vagyongazd!Q17+Közút!Q17+Sport!Q17+Közművelődés!S27+Támogatás!W17</f>
        <v>0</v>
      </c>
      <c r="S17" s="186">
        <f>Igazgatás!R17+Községgazd!U17+Vagyongazd!R17+Közút!R17+Sport!R17+Közművelődés!T27+Támogatás!X17</f>
        <v>0</v>
      </c>
      <c r="T17" s="186">
        <f>Igazgatás!S17+Községgazd!V17+Vagyongazd!S17+Közút!S17+Sport!S17+Közművelődés!U27+Támogatás!Y17</f>
        <v>0</v>
      </c>
      <c r="U17" s="187">
        <f>Igazgatás!T17+Községgazd!W17+Vagyongazd!T17+Közút!T17+Sport!T17+Közművelődés!V27+Támogatás!Z17</f>
        <v>0</v>
      </c>
      <c r="V17" s="340">
        <f>Igazgatás!U17+Községgazd!X17+Vagyongazd!U17+Közút!U17+Sport!U17+Közművelődés!W27+Támogatás!AA17</f>
        <v>0</v>
      </c>
      <c r="W17" s="186">
        <f>Igazgatás!V17+Községgazd!Y17+Vagyongazd!V17+Közút!V17+Sport!V17+Közművelődés!X27+Támogatás!AB17</f>
        <v>0</v>
      </c>
      <c r="X17" s="186">
        <f>Igazgatás!W17+Községgazd!Z17+Vagyongazd!W17+Közút!W17+Sport!W17+Közművelődés!Y27+Támogatás!AC17</f>
        <v>0</v>
      </c>
      <c r="Y17" s="187">
        <f>Igazgatás!X17+Községgazd!AA17+Vagyongazd!X17+Közút!X17+Sport!X17+Közművelődés!Z27+Támogatás!AD17</f>
        <v>0</v>
      </c>
      <c r="AB17" s="180"/>
    </row>
    <row r="18" spans="1:28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 t="e">
        <v>#REF!</v>
      </c>
      <c r="G18" s="340" t="e">
        <v>#REF!</v>
      </c>
      <c r="H18" s="340" t="e">
        <v>#REF!</v>
      </c>
      <c r="I18" s="340" t="e">
        <v>#REF!</v>
      </c>
      <c r="J18" s="340" t="e">
        <v>#REF!</v>
      </c>
      <c r="K18" s="251" t="e">
        <f>Igazgatás!J18+Községgazd!J18+Vagyongazd!#REF!+Közút!J18+Sport!J18+Közművelődés!J28+Támogatás!J18</f>
        <v>#REF!</v>
      </c>
      <c r="L18" s="182" t="e">
        <f>Igazgatás!K18+Községgazd!K18+Vagyongazd!#REF!+Közút!K18+Sport!K18+Közművelődés!K28+Támogatás!K18</f>
        <v>#REF!</v>
      </c>
      <c r="M18" s="183" t="e">
        <f>Igazgatás!L18+Községgazd!L18+Vagyongazd!#REF!+Közút!L18+Sport!L18+Közművelődés!L28+Támogatás!L18</f>
        <v>#REF!</v>
      </c>
      <c r="N18" s="191">
        <f>Igazgatás!M18+Községgazd!P18+Vagyongazd!M18+Közút!M18+Sport!M18+Közművelődés!O28+Támogatás!S18</f>
        <v>0</v>
      </c>
      <c r="O18" s="185">
        <f>Igazgatás!N18+Községgazd!Q18+Vagyongazd!N18+Közút!N18+Sport!N18+Közművelődés!P28+Támogatás!T18</f>
        <v>0</v>
      </c>
      <c r="P18" s="186">
        <f>Igazgatás!O18+Községgazd!R18+Vagyongazd!O18+Közút!O18+Sport!O18+Közművelődés!Q28+Támogatás!U18</f>
        <v>0</v>
      </c>
      <c r="Q18" s="186">
        <f>Igazgatás!P18+Községgazd!S18+Vagyongazd!P18+Közút!P18+Sport!P18+Közművelődés!R28+Támogatás!V18</f>
        <v>0</v>
      </c>
      <c r="R18" s="185">
        <f>Igazgatás!Q18+Községgazd!T18+Vagyongazd!Q18+Közút!Q18+Sport!Q18+Közművelődés!S28+Támogatás!W18</f>
        <v>0</v>
      </c>
      <c r="S18" s="186">
        <f>Igazgatás!R18+Községgazd!U18+Vagyongazd!R18+Közút!R18+Sport!R18+Közművelődés!T28+Támogatás!X18</f>
        <v>0</v>
      </c>
      <c r="T18" s="186">
        <f>Igazgatás!S18+Községgazd!V18+Vagyongazd!S18+Közút!S18+Sport!S18+Közművelődés!U28+Támogatás!Y18</f>
        <v>0</v>
      </c>
      <c r="U18" s="187">
        <f>Igazgatás!T18+Községgazd!W18+Vagyongazd!T18+Közút!T18+Sport!T18+Közművelődés!V28+Támogatás!Z18</f>
        <v>0</v>
      </c>
      <c r="V18" s="340">
        <f>Igazgatás!U18+Községgazd!X18+Vagyongazd!U18+Közút!U18+Sport!U18+Közművelődés!W28+Támogatás!AA18</f>
        <v>0</v>
      </c>
      <c r="W18" s="186">
        <f>Igazgatás!V18+Községgazd!Y18+Vagyongazd!V18+Közút!V18+Sport!V18+Közművelődés!X28+Támogatás!AB18</f>
        <v>0</v>
      </c>
      <c r="X18" s="186">
        <f>Igazgatás!W18+Községgazd!Z18+Vagyongazd!W18+Közút!W18+Sport!W18+Közművelődés!Y28+Támogatás!AC18</f>
        <v>0</v>
      </c>
      <c r="Y18" s="187">
        <f>Igazgatás!X18+Községgazd!AA18+Vagyongazd!X18+Közút!X18+Sport!X18+Közművelődés!Z28+Támogatás!AD18</f>
        <v>0</v>
      </c>
      <c r="AB18" s="180"/>
    </row>
    <row r="19" spans="1:28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183">
        <v>199700</v>
      </c>
      <c r="H19" s="183">
        <v>199700</v>
      </c>
      <c r="I19" s="183">
        <v>186100</v>
      </c>
      <c r="J19" s="183">
        <v>162300</v>
      </c>
      <c r="K19" s="183">
        <f>Igazgatás!J19+Községgazd!J19+Vagyongazd!J19+Közút!J19+Sport!J19+Közművelődés!J29+Támogatás!J19</f>
        <v>162300</v>
      </c>
      <c r="L19" s="183">
        <f>Igazgatás!K19+Községgazd!K19+Vagyongazd!K19+Közút!K19+Sport!K19+Közművelődés!K29+Támogatás!K19</f>
        <v>0</v>
      </c>
      <c r="M19" s="183">
        <f>Igazgatás!L19+Községgazd!L19+Vagyongazd!L19+Közút!L19+Sport!L19+Közművelődés!L29+Támogatás!L19</f>
        <v>162300</v>
      </c>
      <c r="N19" s="191">
        <f>Igazgatás!M19+Községgazd!P19+Vagyongazd!M19+Közút!M19+Sport!M19+Közművelődés!O29+Támogatás!S19</f>
        <v>17100</v>
      </c>
      <c r="O19" s="185">
        <f>Igazgatás!N19+Községgazd!Q19+Vagyongazd!N19+Közút!N19+Sport!N19+Közművelődés!P29+Támogatás!T19</f>
        <v>13200</v>
      </c>
      <c r="P19" s="186">
        <f>Igazgatás!O19+Községgazd!R19+Vagyongazd!O19+Közút!O19+Sport!O19+Közművelődés!Q29+Támogatás!U19</f>
        <v>13200</v>
      </c>
      <c r="Q19" s="186">
        <f>Igazgatás!P19+Községgazd!S19+Vagyongazd!P19+Közút!P19+Sport!P19+Közművelődés!R29+Támogatás!V19</f>
        <v>13200</v>
      </c>
      <c r="R19" s="185">
        <f>Igazgatás!Q19+Községgazd!T19+Vagyongazd!Q19+Közút!Q19+Sport!Q19+Közművelődés!S29+Támogatás!W19</f>
        <v>13200</v>
      </c>
      <c r="S19" s="186">
        <f>Igazgatás!R19+Községgazd!U19+Vagyongazd!R19+Közút!R19+Sport!R19+Közművelődés!T29+Támogatás!X19</f>
        <v>13200</v>
      </c>
      <c r="T19" s="186">
        <f>Igazgatás!S19+Községgazd!V19+Vagyongazd!S19+Közút!S19+Sport!S19+Közművelődés!U29+Támogatás!Y19</f>
        <v>13200</v>
      </c>
      <c r="U19" s="187">
        <f>Igazgatás!T19+Községgazd!W19+Vagyongazd!T19+Közút!T19+Sport!T19+Közművelődés!V29+Támogatás!Z19</f>
        <v>13200</v>
      </c>
      <c r="V19" s="340">
        <f>Igazgatás!U19+Községgazd!X19+Vagyongazd!U19+Közút!U19+Sport!U19+Közművelődés!W29+Támogatás!AA19</f>
        <v>13200</v>
      </c>
      <c r="W19" s="186">
        <f>Igazgatás!V19+Községgazd!Y19+Vagyongazd!V19+Közút!V19+Sport!V19+Közművelődés!X29+Támogatás!AB19</f>
        <v>13200</v>
      </c>
      <c r="X19" s="186">
        <f>Igazgatás!W19+Községgazd!Z19+Vagyongazd!W19+Közút!W19+Sport!W19+Közművelődés!Y29+Támogatás!AC19</f>
        <v>13200</v>
      </c>
      <c r="Y19" s="187">
        <f>Igazgatás!X19+Községgazd!AA19+Vagyongazd!X19+Közút!X19+Sport!X19+Közművelődés!Z29+Támogatás!AD19</f>
        <v>13200</v>
      </c>
      <c r="AB19" s="180"/>
    </row>
    <row r="20" spans="1:28" x14ac:dyDescent="0.25">
      <c r="B20" s="88" t="s">
        <v>622</v>
      </c>
      <c r="C20" s="640" t="s">
        <v>146</v>
      </c>
      <c r="D20" s="641"/>
      <c r="E20" s="641"/>
      <c r="F20" s="158">
        <v>4960464</v>
      </c>
      <c r="G20" s="158">
        <v>4960464</v>
      </c>
      <c r="H20" s="158">
        <v>4960464</v>
      </c>
      <c r="I20" s="256">
        <v>5060464</v>
      </c>
      <c r="J20" s="256">
        <v>5060464</v>
      </c>
      <c r="K20" s="158">
        <f>Igazgatás!J20+Községgazd!J20+Vagyongazd!J20+Közút!J20+Sport!J20+Közművelődés!J32+Támogatás!J20</f>
        <v>4587964</v>
      </c>
      <c r="L20" s="158">
        <f>Igazgatás!K20+Községgazd!K20+Vagyongazd!K20+Közút!K20+Sport!K20+Közművelődés!K32+Támogatás!K20</f>
        <v>472500</v>
      </c>
      <c r="M20" s="158">
        <f>Igazgatás!L20+Községgazd!L20+Vagyongazd!L20+Közút!L20+Sport!L20+Közművelődés!L32+Támogatás!L20</f>
        <v>5060464</v>
      </c>
      <c r="N20" s="90">
        <f>Igazgatás!M20+Községgazd!P20+Vagyongazd!M20+Közút!M20+Sport!M20+Közművelődés!O32+Támogatás!S20</f>
        <v>386580</v>
      </c>
      <c r="O20" s="91">
        <f>Igazgatás!N20+Községgazd!Q20+Vagyongazd!N20+Közút!N20+Sport!N20+Közművelődés!P32+Támogatás!T20</f>
        <v>385353</v>
      </c>
      <c r="P20" s="94">
        <f>Igazgatás!O20+Községgazd!R20+Vagyongazd!O20+Közút!O20+Sport!O20+Közművelődés!Q32+Támogatás!U20</f>
        <v>396580</v>
      </c>
      <c r="Q20" s="94">
        <f>Igazgatás!P20+Községgazd!S20+Vagyongazd!P20+Közút!P20+Sport!P20+Közművelődés!R32+Támogatás!V20</f>
        <v>561800</v>
      </c>
      <c r="R20" s="91">
        <f>Igazgatás!Q20+Községgazd!T20+Vagyongazd!Q20+Közút!Q20+Sport!Q20+Közművelődés!S32+Támogatás!W20</f>
        <v>350647</v>
      </c>
      <c r="S20" s="94">
        <f>Igazgatás!R20+Községgazd!U20+Vagyongazd!R20+Közút!R20+Sport!R20+Közművelődés!T32+Támogatás!X20</f>
        <v>391580</v>
      </c>
      <c r="T20" s="94">
        <f>Igazgatás!S20+Községgazd!V20+Vagyongazd!S20+Közút!S20+Sport!S20+Közművelődés!U32+Támogatás!Y20</f>
        <v>396580</v>
      </c>
      <c r="U20" s="95">
        <f>Igazgatás!T20+Községgazd!W20+Vagyongazd!T20+Közút!T20+Sport!T20+Közművelődés!V32+Támogatás!Z20</f>
        <v>367830</v>
      </c>
      <c r="V20" s="341">
        <f>Igazgatás!U20+Községgazd!X20+Vagyongazd!U20+Közút!U20+Sport!U20+Közművelődés!W32+Támogatás!AA20</f>
        <v>446411</v>
      </c>
      <c r="W20" s="94">
        <f>Igazgatás!V20+Községgazd!Y20+Vagyongazd!V20+Közút!V20+Sport!V20+Közművelődés!X32+Támogatás!AB20</f>
        <v>435553</v>
      </c>
      <c r="X20" s="94">
        <f>Igazgatás!W20+Községgazd!Z20+Vagyongazd!W20+Közút!W20+Sport!W20+Közművelődés!Y32+Támogatás!AC20</f>
        <v>482675</v>
      </c>
      <c r="Y20" s="95">
        <f>Igazgatás!X20+Községgazd!AA20+Vagyongazd!X20+Közút!X20+Sport!X20+Közművelődés!Z32+Támogatás!AD20</f>
        <v>458875</v>
      </c>
      <c r="AB20" s="180"/>
    </row>
    <row r="21" spans="1:28" s="41" customForma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4277964</v>
      </c>
      <c r="G21" s="160">
        <v>4277964</v>
      </c>
      <c r="H21" s="160">
        <v>4277964</v>
      </c>
      <c r="I21" s="160">
        <v>4277964</v>
      </c>
      <c r="J21" s="160">
        <v>4277964</v>
      </c>
      <c r="K21" s="160">
        <f>Igazgatás!J21+Községgazd!J21+Vagyongazd!J21+Közút!J21+Sport!J21+Közművelődés!J33+Támogatás!J21</f>
        <v>4277964</v>
      </c>
      <c r="L21" s="160">
        <f>Igazgatás!K21+Községgazd!K21+Vagyongazd!K21+Közút!K21+Sport!K21+Közművelődés!K33+Támogatás!K21</f>
        <v>0</v>
      </c>
      <c r="M21" s="160">
        <f>Igazgatás!L21+Községgazd!L21+Vagyongazd!L21+Közút!L21+Sport!L21+Közművelődés!L33+Támogatás!L21</f>
        <v>4277964</v>
      </c>
      <c r="N21" s="74">
        <f>Igazgatás!M21+Községgazd!P21+Vagyongazd!M21+Közút!M21+Sport!M21+Közművelődés!O33+Támogatás!S21</f>
        <v>344080</v>
      </c>
      <c r="O21" s="13">
        <f>Igazgatás!N21+Községgazd!Q21+Vagyongazd!N21+Közút!N21+Sport!N21+Közművelődés!P33+Támogatás!T21</f>
        <v>344080</v>
      </c>
      <c r="P21" s="79">
        <f>Igazgatás!O21+Községgazd!R21+Vagyongazd!O21+Közút!O21+Sport!O21+Közművelődés!Q33+Támogatás!U21</f>
        <v>344080</v>
      </c>
      <c r="Q21" s="79">
        <f>Igazgatás!P21+Községgazd!S21+Vagyongazd!P21+Közút!P21+Sport!P21+Közművelődés!R33+Támogatás!V21</f>
        <v>444080</v>
      </c>
      <c r="R21" s="13">
        <f>Igazgatás!Q21+Községgazd!T21+Vagyongazd!Q21+Közút!Q21+Sport!Q21+Közművelődés!S33+Támogatás!W21</f>
        <v>344080</v>
      </c>
      <c r="S21" s="79">
        <f>Igazgatás!R21+Községgazd!U21+Vagyongazd!R21+Közút!R21+Sport!R21+Közművelődés!T33+Támogatás!X21</f>
        <v>344080</v>
      </c>
      <c r="T21" s="79">
        <f>Igazgatás!S21+Községgazd!V21+Vagyongazd!S21+Közút!S21+Sport!S21+Közművelődés!U33+Támogatás!Y21</f>
        <v>344080</v>
      </c>
      <c r="U21" s="45">
        <f>Igazgatás!T21+Községgazd!W21+Vagyongazd!T21+Közút!T21+Sport!T21+Közművelődés!V33+Támogatás!Z21</f>
        <v>344080</v>
      </c>
      <c r="V21" s="342">
        <f>Igazgatás!U21+Községgazd!X21+Vagyongazd!U21+Közút!U21+Sport!U21+Közművelődés!W33+Támogatás!AA21</f>
        <v>355833</v>
      </c>
      <c r="W21" s="79">
        <f>Igazgatás!V21+Községgazd!Y21+Vagyongazd!V21+Közút!V21+Sport!V21+Közművelődés!X33+Támogatás!AB21</f>
        <v>356497</v>
      </c>
      <c r="X21" s="79">
        <f>Igazgatás!W21+Községgazd!Z21+Vagyongazd!W21+Közút!W21+Sport!W21+Közművelődés!Y33+Támogatás!AC21</f>
        <v>356497</v>
      </c>
      <c r="Y21" s="45">
        <f>Igazgatás!X21+Községgazd!AA21+Vagyongazd!X21+Közút!X21+Sport!X21+Közművelődés!Z33+Támogatás!AD21</f>
        <v>356497</v>
      </c>
      <c r="AB21" s="180"/>
    </row>
    <row r="22" spans="1:28" s="41" customFormat="1" ht="25.5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582500</v>
      </c>
      <c r="G22" s="160">
        <v>582500</v>
      </c>
      <c r="H22" s="160">
        <v>582500</v>
      </c>
      <c r="I22" s="160">
        <v>682500</v>
      </c>
      <c r="J22" s="160">
        <v>682500</v>
      </c>
      <c r="K22" s="160">
        <f>Igazgatás!J22+Községgazd!J22+Vagyongazd!J22+Közút!J22+Sport!J22+Közművelődés!J34+Támogatás!J22</f>
        <v>210000</v>
      </c>
      <c r="L22" s="160">
        <f>Igazgatás!K22+Községgazd!K22+Vagyongazd!K22+Közút!K22+Sport!K22+Közművelődés!K34+Támogatás!K22</f>
        <v>472500</v>
      </c>
      <c r="M22" s="160">
        <f>Igazgatás!L22+Községgazd!L22+Vagyongazd!L22+Közút!L22+Sport!L22+Közművelődés!L34+Támogatás!L22</f>
        <v>682500</v>
      </c>
      <c r="N22" s="74">
        <f>Igazgatás!M22+Községgazd!P22+Vagyongazd!M22+Közút!M22+Sport!M22+Közművelődés!O34+Támogatás!S22</f>
        <v>42500</v>
      </c>
      <c r="O22" s="13">
        <f>Igazgatás!N22+Községgazd!Q22+Vagyongazd!N22+Közút!N22+Sport!N22+Közművelődés!P34+Támogatás!T22</f>
        <v>40000</v>
      </c>
      <c r="P22" s="79">
        <f>Igazgatás!O22+Községgazd!R22+Vagyongazd!O22+Közút!O22+Sport!O22+Közművelődés!Q34+Támogatás!U22</f>
        <v>52500</v>
      </c>
      <c r="Q22" s="79">
        <f>Igazgatás!P22+Községgazd!S22+Vagyongazd!P22+Közút!P22+Sport!P22+Közművelődés!R34+Támogatás!V22</f>
        <v>92500</v>
      </c>
      <c r="R22" s="13">
        <f>Igazgatás!Q22+Községgazd!T22+Vagyongazd!Q22+Közút!Q22+Sport!Q22+Közművelődés!S34+Támogatás!W22</f>
        <v>0</v>
      </c>
      <c r="S22" s="79">
        <f>Igazgatás!R22+Községgazd!U22+Vagyongazd!R22+Közút!R22+Sport!R22+Közművelődés!T34+Támogatás!X22</f>
        <v>47500</v>
      </c>
      <c r="T22" s="79">
        <f>Igazgatás!S22+Községgazd!V22+Vagyongazd!S22+Közút!S22+Sport!S22+Közművelődés!U34+Támogatás!Y22</f>
        <v>52500</v>
      </c>
      <c r="U22" s="45">
        <f>Igazgatás!T22+Községgazd!W22+Vagyongazd!T22+Közút!T22+Sport!T22+Közművelődés!V34+Támogatás!Z22</f>
        <v>23750</v>
      </c>
      <c r="V22" s="342">
        <f>Igazgatás!U22+Községgazd!X22+Vagyongazd!U22+Közút!U22+Sport!U22+Közművelődés!W34+Támogatás!AA22</f>
        <v>75000</v>
      </c>
      <c r="W22" s="79">
        <f>Igazgatás!V22+Községgazd!Y22+Vagyongazd!V22+Közút!V22+Sport!V22+Közművelődés!X34+Támogatás!AB22</f>
        <v>60000</v>
      </c>
      <c r="X22" s="79">
        <f>Igazgatás!W22+Községgazd!Z22+Vagyongazd!W22+Közút!W22+Sport!W22+Közművelődés!Y34+Támogatás!AC22</f>
        <v>106250</v>
      </c>
      <c r="Y22" s="45">
        <f>Igazgatás!X22+Községgazd!AA22+Vagyongazd!X22+Közút!X22+Sport!X22+Közművelődés!Z34+Támogatás!AD22</f>
        <v>90000</v>
      </c>
      <c r="AB22" s="180"/>
    </row>
    <row r="23" spans="1:28" s="41" customFormat="1" ht="15.75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100000</v>
      </c>
      <c r="G23" s="160">
        <v>100000</v>
      </c>
      <c r="H23" s="160">
        <v>100000</v>
      </c>
      <c r="I23" s="160">
        <v>100000</v>
      </c>
      <c r="J23" s="160">
        <v>100000</v>
      </c>
      <c r="K23" s="160">
        <f>Igazgatás!J23+Községgazd!J23+Vagyongazd!J23+Közút!J23+Sport!J23+Közművelődés!J35+Támogatás!J23</f>
        <v>100000</v>
      </c>
      <c r="L23" s="160">
        <f>Igazgatás!K23+Községgazd!K23+Vagyongazd!K23+Közút!K23+Sport!K23+Közművelődés!K35+Támogatás!K23</f>
        <v>0</v>
      </c>
      <c r="M23" s="160">
        <f>Igazgatás!L23+Községgazd!L23+Vagyongazd!L23+Közút!L23+Sport!L23+Közművelődés!L35+Támogatás!L23</f>
        <v>100000</v>
      </c>
      <c r="N23" s="74">
        <f>Igazgatás!M23+Községgazd!P23+Vagyongazd!M23+Közút!M23+Sport!M23+Közművelődés!O35+Támogatás!S23</f>
        <v>0</v>
      </c>
      <c r="O23" s="13">
        <f>Igazgatás!N23+Községgazd!Q23+Vagyongazd!N23+Közút!N23+Sport!N23+Közművelődés!P35+Támogatás!T23</f>
        <v>1273</v>
      </c>
      <c r="P23" s="79">
        <f>Igazgatás!O23+Községgazd!R23+Vagyongazd!O23+Közút!O23+Sport!O23+Közművelődés!Q35+Támogatás!U23</f>
        <v>0</v>
      </c>
      <c r="Q23" s="79">
        <f>Igazgatás!P23+Községgazd!S23+Vagyongazd!P23+Közút!P23+Sport!P23+Közművelődés!R35+Támogatás!V23</f>
        <v>25220</v>
      </c>
      <c r="R23" s="13">
        <f>Igazgatás!Q23+Községgazd!T23+Vagyongazd!Q23+Közút!Q23+Sport!Q23+Közművelődés!S35+Támogatás!W23</f>
        <v>6567</v>
      </c>
      <c r="S23" s="79">
        <f>Igazgatás!R23+Községgazd!U23+Vagyongazd!R23+Közút!R23+Sport!R23+Közművelődés!T35+Támogatás!X23</f>
        <v>0</v>
      </c>
      <c r="T23" s="79">
        <f>Igazgatás!S23+Községgazd!V23+Vagyongazd!S23+Közút!S23+Sport!S23+Közművelődés!U35+Támogatás!Y23</f>
        <v>0</v>
      </c>
      <c r="U23" s="45">
        <f>Igazgatás!T23+Községgazd!W23+Vagyongazd!T23+Közút!T23+Sport!T23+Közművelődés!V35+Támogatás!Z23</f>
        <v>0</v>
      </c>
      <c r="V23" s="342">
        <f>Igazgatás!U23+Községgazd!X23+Vagyongazd!U23+Közút!U23+Sport!U23+Közművelődés!W35+Támogatás!AA23</f>
        <v>15578</v>
      </c>
      <c r="W23" s="79">
        <f>Igazgatás!V23+Községgazd!Y23+Vagyongazd!V23+Közút!V23+Sport!V23+Közművelődés!X35+Támogatás!AB23</f>
        <v>19056</v>
      </c>
      <c r="X23" s="79">
        <f>Igazgatás!W23+Községgazd!Z23+Vagyongazd!W23+Közút!W23+Sport!W23+Közművelődés!Y35+Támogatás!AC23</f>
        <v>19928</v>
      </c>
      <c r="Y23" s="45">
        <f>Igazgatás!X23+Községgazd!AA23+Vagyongazd!X23+Közút!X23+Sport!X23+Közművelődés!Z35+Támogatás!AD23</f>
        <v>12378</v>
      </c>
      <c r="AB23" s="180"/>
    </row>
    <row r="24" spans="1:28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2090420.88</v>
      </c>
      <c r="G24" s="156">
        <v>2090420.88</v>
      </c>
      <c r="H24" s="156">
        <v>2114649.1999999997</v>
      </c>
      <c r="I24" s="571">
        <v>2114649.59</v>
      </c>
      <c r="J24" s="571">
        <f>J25+J28+J31</f>
        <v>2048519</v>
      </c>
      <c r="K24" s="156">
        <f>Igazgatás!J24+Községgazd!J24+Vagyongazd!J24+Szennyvíz!I23+Közút!J24+Sport!J24+Közművelődés!J36+Támogatás!J24</f>
        <v>2178536.6999999997</v>
      </c>
      <c r="L24" s="156">
        <f>Igazgatás!K24+Községgazd!K24+Vagyongazd!K24+Szennyvíz!J23+Közút!K24+Sport!K24+Közművelődés!K36+Támogatás!K24</f>
        <v>30000</v>
      </c>
      <c r="M24" s="156">
        <f>SUM(K24:L24)</f>
        <v>2208536.6999999997</v>
      </c>
      <c r="N24" s="82">
        <f>Igazgatás!M24+Községgazd!P24+Vagyongazd!M24+Közút!M24+Sport!M24+Közművelődés!O36+Támogatás!S24</f>
        <v>181414.72</v>
      </c>
      <c r="O24" s="83">
        <f>Igazgatás!N24+Községgazd!Q24+Vagyongazd!N24+Közút!N24+Sport!N24+Közművelődés!P36+Támogatás!T24</f>
        <v>132070.65</v>
      </c>
      <c r="P24" s="86">
        <f>Igazgatás!O24+Községgazd!R24+Vagyongazd!O24+Közút!O24+Sport!O24+Közművelődés!Q36+Támogatás!U24</f>
        <v>134264.5</v>
      </c>
      <c r="Q24" s="86">
        <f>Igazgatás!P24+Községgazd!S24+Vagyongazd!P24+Közút!P24+Sport!P24+Közművelődés!R36+Támogatás!V24</f>
        <v>235389.65</v>
      </c>
      <c r="R24" s="83">
        <f>Igazgatás!Q24+Községgazd!T24+Vagyongazd!Q24+Közút!Q24+Sport!Q24+Közművelődés!S36+Támogatás!W24</f>
        <v>125050.65</v>
      </c>
      <c r="S24" s="86">
        <f>Igazgatás!R24+Községgazd!U24+Vagyongazd!R24+Közút!R24+Sport!R24+Közművelődés!T36+Támogatás!X24</f>
        <v>133386.65</v>
      </c>
      <c r="T24" s="86">
        <f>Igazgatás!S24+Községgazd!V24+Vagyongazd!S24+Közút!S24+Sport!S24+Közművelődés!U36+Támogatás!Y24</f>
        <v>134264.65</v>
      </c>
      <c r="U24" s="87">
        <f>Igazgatás!T24+Községgazd!W24+Vagyongazd!T24+Közút!T24+Sport!T24+Közművelődés!V36+Támogatás!Z24</f>
        <v>156168</v>
      </c>
      <c r="V24" s="338">
        <f>Igazgatás!U24+Községgazd!X24+Vagyongazd!U24+Közút!U24+Sport!U24+Közművelődés!W36+Támogatás!AA24</f>
        <v>191280.14499999999</v>
      </c>
      <c r="W24" s="86">
        <f>Igazgatás!V24+Községgazd!Y24+Vagyongazd!V24+Közút!V24+Sport!V24+Közművelődés!X36+Támogatás!AB24</f>
        <v>190517.83499999999</v>
      </c>
      <c r="X24" s="86">
        <f>Igazgatás!W24+Községgazd!Z24+Vagyongazd!W24+Közút!W24+Sport!W24+Közművelődés!Y36+Támogatás!AC24</f>
        <v>196633.625</v>
      </c>
      <c r="Y24" s="87">
        <f>Igazgatás!X24+Községgazd!AA24+Vagyongazd!X24+Közút!X24+Sport!X24+Közművelődés!Z36+Támogatás!AD24</f>
        <v>398095.62500000006</v>
      </c>
      <c r="AB24" s="180"/>
    </row>
    <row r="25" spans="1:28" x14ac:dyDescent="0.25">
      <c r="B25" s="59"/>
      <c r="C25" s="700" t="s">
        <v>154</v>
      </c>
      <c r="D25" s="701"/>
      <c r="E25" s="701"/>
      <c r="F25" s="159">
        <v>1906805.73</v>
      </c>
      <c r="G25" s="159">
        <v>1906805.73</v>
      </c>
      <c r="H25" s="159">
        <v>1906304.0499999998</v>
      </c>
      <c r="I25" s="159">
        <v>1906304.4399999997</v>
      </c>
      <c r="J25" s="159">
        <v>1787189</v>
      </c>
      <c r="K25" s="159">
        <f>Igazgatás!J25+Községgazd!J25+Vagyongazd!J25+Közút!J25+Sport!J25+Közművelődés!J37+Támogatás!J25</f>
        <v>1947205.6999999997</v>
      </c>
      <c r="L25" s="159">
        <f>Igazgatás!K25+Községgazd!K25+Vagyongazd!K25+Közút!K25+Sport!K25+Közművelődés!K37+Támogatás!K25</f>
        <v>0</v>
      </c>
      <c r="M25" s="159">
        <v>1787189</v>
      </c>
      <c r="N25" s="72">
        <f>Igazgatás!M25+Községgazd!P25+Vagyongazd!M25+Közút!M25+Sport!M25+Közművelődés!O37+Támogatás!S25</f>
        <v>144332.72</v>
      </c>
      <c r="O25" s="1">
        <f>Igazgatás!N25+Községgazd!Q25+Vagyongazd!N25+Közút!N25+Sport!N25+Közművelődés!P37+Támogatás!T25</f>
        <v>132070.65</v>
      </c>
      <c r="P25" s="78">
        <f>Igazgatás!O25+Községgazd!R25+Vagyongazd!O25+Közút!O25+Sport!O25+Közművelődés!Q37+Támogatás!U25</f>
        <v>134264.5</v>
      </c>
      <c r="Q25" s="78">
        <f>Igazgatás!P25+Községgazd!S25+Vagyongazd!P25+Közút!P25+Sport!P25+Közművelődés!R37+Támogatás!V25</f>
        <v>141284.65</v>
      </c>
      <c r="R25" s="1">
        <f>Igazgatás!Q25+Községgazd!T25+Vagyongazd!Q25+Közút!Q25+Sport!Q25+Közművelődés!S37+Támogatás!W25</f>
        <v>125050.65</v>
      </c>
      <c r="S25" s="78">
        <f>Igazgatás!R25+Községgazd!U25+Vagyongazd!R25+Közút!R25+Sport!R25+Közművelődés!T37+Támogatás!X25</f>
        <v>133386.65</v>
      </c>
      <c r="T25" s="78">
        <f>Igazgatás!S25+Községgazd!V25+Vagyongazd!S25+Közút!S25+Sport!S25+Közművelődés!U37+Támogatás!Y25</f>
        <v>134264.65</v>
      </c>
      <c r="U25" s="44">
        <f>Igazgatás!T25+Községgazd!W25+Vagyongazd!T25+Közút!T25+Sport!T25+Közművelődés!V37+Támogatás!Z25</f>
        <v>129219</v>
      </c>
      <c r="V25" s="343">
        <f>Igazgatás!U25+Községgazd!X25+Vagyongazd!U25+Közút!U25+Sport!U25+Közművelődés!W37+Támogatás!AA25</f>
        <v>145771.14500000002</v>
      </c>
      <c r="W25" s="78">
        <f>Igazgatás!V25+Községgazd!Y25+Vagyongazd!V25+Közút!V25+Sport!V25+Közművelődés!X37+Támogatás!AB25</f>
        <v>162831.83499999999</v>
      </c>
      <c r="X25" s="78">
        <f>Igazgatás!W25+Községgazd!Z25+Vagyongazd!W25+Közút!W25+Sport!W25+Közművelődés!Y37+Támogatás!AC25</f>
        <v>196633.625</v>
      </c>
      <c r="Y25" s="44">
        <f>Igazgatás!X25+Községgazd!AA25+Vagyongazd!X25+Közút!X25+Sport!X25+Közművelődés!Z37+Támogatás!AD25</f>
        <v>368095.62500000006</v>
      </c>
      <c r="AB25" s="180"/>
    </row>
    <row r="26" spans="1:28" ht="15" hidden="1" customHeight="1" x14ac:dyDescent="0.25">
      <c r="B26" s="60"/>
      <c r="C26" s="702" t="s">
        <v>155</v>
      </c>
      <c r="D26" s="703"/>
      <c r="E26" s="703"/>
      <c r="F26" s="159" t="e">
        <v>#REF!</v>
      </c>
      <c r="G26" s="343" t="e">
        <v>#REF!</v>
      </c>
      <c r="H26" s="343" t="e">
        <v>#REF!</v>
      </c>
      <c r="I26" s="343" t="e">
        <v>#REF!</v>
      </c>
      <c r="J26" s="159" t="e">
        <f>Igazgatás!I26+Községgazd!I26+Vagyongazd!#REF!+Közút!I26+Sport!I26+Közművelődés!I40+Támogatás!I26</f>
        <v>#REF!</v>
      </c>
      <c r="K26" s="237" t="e">
        <f>Igazgatás!J26+Községgazd!J26+Vagyongazd!#REF!+Közút!J26+Sport!J26+Közművelődés!J40+Támogatás!J26</f>
        <v>#REF!</v>
      </c>
      <c r="L26" s="146" t="e">
        <f>Igazgatás!K26+Községgazd!K26+Vagyongazd!#REF!+Közút!K26+Sport!K26+Közművelődés!K40+Támogatás!K26</f>
        <v>#REF!</v>
      </c>
      <c r="M26" s="159" t="e">
        <f>Igazgatás!L26+Községgazd!L26+Vagyongazd!#REF!+Közút!L26+Sport!L26+Közművelődés!L40+Támogatás!L26</f>
        <v>#REF!</v>
      </c>
      <c r="N26" s="72">
        <f>Igazgatás!M26+Községgazd!P26+Vagyongazd!M26+Közút!M26+Sport!M26+Közművelődés!O40+Támogatás!S26</f>
        <v>0</v>
      </c>
      <c r="O26" s="1">
        <f>Igazgatás!N26+Községgazd!Q26+Vagyongazd!N26+Közút!N26+Sport!N26+Közművelődés!P40+Támogatás!T26</f>
        <v>0</v>
      </c>
      <c r="P26" s="78">
        <f>Igazgatás!O26+Községgazd!R26+Vagyongazd!O26+Közút!O26+Sport!O26+Közművelődés!Q40+Támogatás!U26</f>
        <v>0</v>
      </c>
      <c r="Q26" s="78">
        <f>Igazgatás!P26+Községgazd!S26+Vagyongazd!P26+Közút!P26+Sport!P26+Közművelődés!R40+Támogatás!V26</f>
        <v>0</v>
      </c>
      <c r="R26" s="1">
        <f>Igazgatás!Q26+Községgazd!T26+Vagyongazd!Q26+Közút!Q26+Sport!Q26+Közművelődés!S40+Támogatás!W26</f>
        <v>0</v>
      </c>
      <c r="S26" s="78">
        <f>Igazgatás!R26+Községgazd!U26+Vagyongazd!R26+Közút!R26+Sport!R26+Közművelődés!T40+Támogatás!X26</f>
        <v>0</v>
      </c>
      <c r="T26" s="78">
        <f>Igazgatás!S26+Községgazd!V26+Vagyongazd!S26+Közút!S26+Sport!S26+Közművelődés!U40+Támogatás!Y26</f>
        <v>0</v>
      </c>
      <c r="U26" s="44">
        <f>Igazgatás!T26+Községgazd!W26+Vagyongazd!T26+Közút!T26+Sport!T26+Közművelődés!V40+Támogatás!Z26</f>
        <v>0</v>
      </c>
      <c r="V26" s="343">
        <f>Igazgatás!U26+Községgazd!X26+Vagyongazd!U26+Közút!U26+Sport!U26+Közművelődés!W40+Támogatás!AA26</f>
        <v>0</v>
      </c>
      <c r="W26" s="78">
        <f>Igazgatás!V26+Községgazd!Y26+Vagyongazd!V26+Közút!V26+Sport!V26+Közművelődés!X40+Támogatás!AB26</f>
        <v>0</v>
      </c>
      <c r="X26" s="78">
        <f>Igazgatás!W26+Községgazd!Z26+Vagyongazd!W26+Közút!W26+Sport!W26+Közművelődés!Y40+Támogatás!AC26</f>
        <v>0</v>
      </c>
      <c r="Y26" s="44">
        <f>Igazgatás!X26+Községgazd!AA26+Vagyongazd!X26+Közút!X26+Sport!X26+Közművelődés!Z40+Támogatás!AD26</f>
        <v>0</v>
      </c>
      <c r="AB26" s="180"/>
    </row>
    <row r="27" spans="1:28" ht="15" hidden="1" customHeight="1" x14ac:dyDescent="0.25">
      <c r="B27" s="60"/>
      <c r="C27" s="702" t="s">
        <v>156</v>
      </c>
      <c r="D27" s="703"/>
      <c r="E27" s="703"/>
      <c r="F27" s="159" t="e">
        <v>#REF!</v>
      </c>
      <c r="G27" s="343" t="e">
        <v>#REF!</v>
      </c>
      <c r="H27" s="343" t="e">
        <v>#REF!</v>
      </c>
      <c r="I27" s="343" t="e">
        <v>#REF!</v>
      </c>
      <c r="J27" s="159" t="e">
        <f>Igazgatás!I27+Községgazd!I27+Vagyongazd!#REF!+Közút!I27+Sport!I27+Közművelődés!I41+Támogatás!I27</f>
        <v>#REF!</v>
      </c>
      <c r="K27" s="237" t="e">
        <f>Igazgatás!J27+Községgazd!J27+Vagyongazd!#REF!+Közút!J27+Sport!J27+Közművelődés!J41+Támogatás!J27</f>
        <v>#REF!</v>
      </c>
      <c r="L27" s="146" t="e">
        <f>Igazgatás!K27+Községgazd!K27+Vagyongazd!#REF!+Közút!K27+Sport!K27+Közművelődés!K41+Támogatás!K27</f>
        <v>#REF!</v>
      </c>
      <c r="M27" s="159" t="e">
        <f>Igazgatás!L27+Községgazd!L27+Vagyongazd!#REF!+Közút!L27+Sport!L27+Közművelődés!L41+Támogatás!L27</f>
        <v>#REF!</v>
      </c>
      <c r="N27" s="72">
        <f>Igazgatás!M27+Községgazd!P27+Vagyongazd!M27+Közút!M27+Sport!M27+Közművelődés!O41+Támogatás!S27</f>
        <v>0</v>
      </c>
      <c r="O27" s="1">
        <f>Igazgatás!N27+Községgazd!Q27+Vagyongazd!N27+Közút!N27+Sport!N27+Közművelődés!P41+Támogatás!T27</f>
        <v>0</v>
      </c>
      <c r="P27" s="78">
        <f>Igazgatás!O27+Községgazd!R27+Vagyongazd!O27+Közút!O27+Sport!O27+Közművelődés!Q41+Támogatás!U27</f>
        <v>0</v>
      </c>
      <c r="Q27" s="78">
        <f>Igazgatás!P27+Községgazd!S27+Vagyongazd!P27+Közút!P27+Sport!P27+Közművelődés!R41+Támogatás!V27</f>
        <v>0</v>
      </c>
      <c r="R27" s="1">
        <f>Igazgatás!Q27+Községgazd!T27+Vagyongazd!Q27+Közút!Q27+Sport!Q27+Közművelődés!S41+Támogatás!W27</f>
        <v>0</v>
      </c>
      <c r="S27" s="78">
        <f>Igazgatás!R27+Községgazd!U27+Vagyongazd!R27+Közút!R27+Sport!R27+Közművelődés!T41+Támogatás!X27</f>
        <v>0</v>
      </c>
      <c r="T27" s="78">
        <f>Igazgatás!S27+Községgazd!V27+Vagyongazd!S27+Közút!S27+Sport!S27+Közművelődés!U41+Támogatás!Y27</f>
        <v>0</v>
      </c>
      <c r="U27" s="44">
        <f>Igazgatás!T27+Községgazd!W27+Vagyongazd!T27+Közút!T27+Sport!T27+Közművelődés!V41+Támogatás!Z27</f>
        <v>0</v>
      </c>
      <c r="V27" s="343">
        <f>Igazgatás!U27+Községgazd!X27+Vagyongazd!U27+Közút!U27+Sport!U27+Közművelődés!W41+Támogatás!AA27</f>
        <v>0</v>
      </c>
      <c r="W27" s="78">
        <f>Igazgatás!V27+Községgazd!Y27+Vagyongazd!V27+Közút!V27+Sport!V27+Közművelődés!X41+Támogatás!AB27</f>
        <v>0</v>
      </c>
      <c r="X27" s="78">
        <f>Igazgatás!W27+Községgazd!Z27+Vagyongazd!W27+Közút!W27+Sport!W27+Közművelődés!Y41+Támogatás!AC27</f>
        <v>0</v>
      </c>
      <c r="Y27" s="44">
        <f>Igazgatás!X27+Községgazd!AA27+Vagyongazd!X27+Közút!X27+Sport!X27+Közművelődés!Z41+Támogatás!AD27</f>
        <v>0</v>
      </c>
      <c r="AB27" s="180"/>
    </row>
    <row r="28" spans="1:28" x14ac:dyDescent="0.25">
      <c r="B28" s="60"/>
      <c r="C28" s="702" t="s">
        <v>157</v>
      </c>
      <c r="D28" s="703"/>
      <c r="E28" s="703"/>
      <c r="F28" s="159">
        <v>96556.9</v>
      </c>
      <c r="G28" s="159">
        <v>96556.9</v>
      </c>
      <c r="H28" s="159">
        <v>112686.9</v>
      </c>
      <c r="I28" s="159">
        <v>112686.9</v>
      </c>
      <c r="J28" s="159">
        <v>136152</v>
      </c>
      <c r="K28" s="159">
        <f>Igazgatás!J28+Községgazd!J28+Vagyongazd!J28+Közút!J28+Sport!J28+Közművelődés!J42+Támogatás!J28</f>
        <v>116152</v>
      </c>
      <c r="L28" s="159">
        <f>Igazgatás!K28+Községgazd!K28+Vagyongazd!K28+Közút!K28+Sport!K28+Közművelődés!K42+Támogatás!K28</f>
        <v>20000</v>
      </c>
      <c r="M28" s="159">
        <f>SUM(K28:L28)</f>
        <v>136152</v>
      </c>
      <c r="N28" s="72">
        <f>Igazgatás!M28+Községgazd!P28+Vagyongazd!M28+Közút!M28+Sport!M28+Közművelődés!O42+Támogatás!S28</f>
        <v>22049</v>
      </c>
      <c r="O28" s="1">
        <f>Igazgatás!N28+Községgazd!Q28+Vagyongazd!N28+Közút!N28+Sport!N28+Közművelődés!P42+Támogatás!T28</f>
        <v>0</v>
      </c>
      <c r="P28" s="78">
        <f>Igazgatás!O28+Községgazd!R28+Vagyongazd!O28+Közút!O28+Sport!O28+Közművelődés!Q42+Támogatás!U28</f>
        <v>0</v>
      </c>
      <c r="Q28" s="78">
        <f>Igazgatás!P28+Községgazd!S28+Vagyongazd!P28+Közút!P28+Sport!P28+Közművelődés!R42+Támogatás!V28</f>
        <v>45430</v>
      </c>
      <c r="R28" s="1">
        <f>Igazgatás!Q28+Községgazd!T28+Vagyongazd!Q28+Közút!Q28+Sport!Q28+Közművelődés!S42+Támogatás!W28</f>
        <v>0</v>
      </c>
      <c r="S28" s="78">
        <f>Igazgatás!R28+Községgazd!U28+Vagyongazd!R28+Közút!R28+Sport!R28+Közművelődés!T42+Támogatás!X28</f>
        <v>0</v>
      </c>
      <c r="T28" s="78">
        <f>Igazgatás!S28+Községgazd!V28+Vagyongazd!S28+Közút!S28+Sport!S28+Közművelődés!U42+Támogatás!Y28</f>
        <v>0</v>
      </c>
      <c r="U28" s="44">
        <f>Igazgatás!T28+Községgazd!W28+Vagyongazd!T28+Közút!T28+Sport!T28+Közművelődés!V42+Támogatás!Z28</f>
        <v>13849</v>
      </c>
      <c r="V28" s="343">
        <f>Igazgatás!U28+Községgazd!X28+Vagyongazd!U28+Közút!U28+Sport!U28+Közművelődés!W42+Támogatás!AA28</f>
        <v>20238</v>
      </c>
      <c r="W28" s="78">
        <f>Igazgatás!V28+Községgazd!Y28+Vagyongazd!V28+Közút!V28+Sport!V28+Közművelődés!X42+Támogatás!AB28</f>
        <v>14586</v>
      </c>
      <c r="X28" s="78">
        <f>Igazgatás!W28+Községgazd!Z28+Vagyongazd!W28+Közút!W28+Sport!W28+Közművelődés!Y42+Támogatás!AC28</f>
        <v>0</v>
      </c>
      <c r="Y28" s="44">
        <f>Igazgatás!X28+Községgazd!AA28+Vagyongazd!X28+Közút!X28+Sport!X28+Közművelődés!Z42+Támogatás!AD28</f>
        <v>20000</v>
      </c>
      <c r="AB28" s="180"/>
    </row>
    <row r="29" spans="1:28" ht="15" hidden="1" customHeight="1" x14ac:dyDescent="0.25">
      <c r="B29" s="60"/>
      <c r="C29" s="702" t="s">
        <v>158</v>
      </c>
      <c r="D29" s="703"/>
      <c r="E29" s="703"/>
      <c r="F29" s="159" t="e">
        <v>#REF!</v>
      </c>
      <c r="G29" s="343" t="e">
        <v>#REF!</v>
      </c>
      <c r="H29" s="343" t="e">
        <v>#REF!</v>
      </c>
      <c r="I29" s="343" t="e">
        <v>#REF!</v>
      </c>
      <c r="J29" s="159" t="e">
        <f>Igazgatás!I29+Községgazd!I29+Vagyongazd!#REF!+Közút!I29+Sport!I29+Közművelődés!I45+Támogatás!I29</f>
        <v>#REF!</v>
      </c>
      <c r="K29" s="237" t="e">
        <f>Igazgatás!J29+Községgazd!J29+Vagyongazd!#REF!+Közút!J29+Sport!J29+Közművelődés!J45+Támogatás!J29</f>
        <v>#REF!</v>
      </c>
      <c r="L29" s="146" t="e">
        <f>Igazgatás!K29+Községgazd!K29+Vagyongazd!#REF!+Közút!K29+Sport!K29+Közművelődés!K45+Támogatás!K29</f>
        <v>#REF!</v>
      </c>
      <c r="M29" s="159" t="e">
        <f>Igazgatás!L29+Községgazd!L29+Vagyongazd!#REF!+Közút!L29+Sport!L29+Közművelődés!L45+Támogatás!L29</f>
        <v>#REF!</v>
      </c>
      <c r="N29" s="72">
        <f>Igazgatás!M29+Községgazd!P29+Vagyongazd!M29+Közút!M29+Sport!M29+Közművelődés!O45+Támogatás!S29</f>
        <v>0</v>
      </c>
      <c r="O29" s="1">
        <f>Igazgatás!N29+Községgazd!Q29+Vagyongazd!N29+Közút!N29+Sport!N29+Közművelődés!P45+Támogatás!T29</f>
        <v>0</v>
      </c>
      <c r="P29" s="78">
        <f>Igazgatás!O29+Községgazd!R29+Vagyongazd!O29+Közút!O29+Sport!O29+Közművelődés!Q45+Támogatás!U29</f>
        <v>0</v>
      </c>
      <c r="Q29" s="78">
        <f>Igazgatás!P29+Községgazd!S29+Vagyongazd!P29+Közút!P29+Sport!P29+Közművelődés!R45+Támogatás!V29</f>
        <v>0</v>
      </c>
      <c r="R29" s="1">
        <f>Igazgatás!Q29+Községgazd!T29+Vagyongazd!Q29+Közút!Q29+Sport!Q29+Közművelődés!S45+Támogatás!W29</f>
        <v>0</v>
      </c>
      <c r="S29" s="78">
        <f>Igazgatás!R29+Községgazd!U29+Vagyongazd!R29+Közút!R29+Sport!R29+Közművelődés!T45+Támogatás!X29</f>
        <v>0</v>
      </c>
      <c r="T29" s="78">
        <f>Igazgatás!S29+Községgazd!V29+Vagyongazd!S29+Közút!S29+Sport!S29+Közművelődés!U45+Támogatás!Y29</f>
        <v>0</v>
      </c>
      <c r="U29" s="44">
        <f>Igazgatás!T29+Községgazd!W29+Vagyongazd!T29+Közút!T29+Sport!T29+Közművelődés!V45+Támogatás!Z29</f>
        <v>0</v>
      </c>
      <c r="V29" s="343">
        <f>Igazgatás!U29+Községgazd!X29+Vagyongazd!U29+Közút!U29+Sport!U29+Közművelődés!W45+Támogatás!AA29</f>
        <v>0</v>
      </c>
      <c r="W29" s="78">
        <f>Igazgatás!V29+Községgazd!Y29+Vagyongazd!V29+Közút!V29+Sport!V29+Közművelődés!X45+Támogatás!AB29</f>
        <v>0</v>
      </c>
      <c r="X29" s="78">
        <f>Igazgatás!W29+Községgazd!Z29+Vagyongazd!W29+Közút!W29+Sport!W29+Közművelődés!Y45+Támogatás!AC29</f>
        <v>0</v>
      </c>
      <c r="Y29" s="44">
        <f>Igazgatás!X29+Községgazd!AA29+Vagyongazd!X29+Közút!X29+Sport!X29+Közművelődés!Z45+Támogatás!AD29</f>
        <v>0</v>
      </c>
      <c r="AB29" s="180"/>
    </row>
    <row r="30" spans="1:28" ht="15" hidden="1" customHeight="1" x14ac:dyDescent="0.25">
      <c r="B30" s="60"/>
      <c r="C30" s="702" t="s">
        <v>159</v>
      </c>
      <c r="D30" s="703"/>
      <c r="E30" s="703"/>
      <c r="F30" s="159" t="e">
        <v>#REF!</v>
      </c>
      <c r="G30" s="343" t="e">
        <v>#REF!</v>
      </c>
      <c r="H30" s="343" t="e">
        <v>#REF!</v>
      </c>
      <c r="I30" s="343" t="e">
        <v>#REF!</v>
      </c>
      <c r="J30" s="159" t="e">
        <f>Igazgatás!I30+Községgazd!I30+Vagyongazd!#REF!+Közút!I30+Sport!I30+Közművelődés!I46+Támogatás!I30</f>
        <v>#REF!</v>
      </c>
      <c r="K30" s="237" t="e">
        <f>Igazgatás!J30+Községgazd!J30+Vagyongazd!#REF!+Közút!J30+Sport!J30+Közművelődés!J46+Támogatás!J30</f>
        <v>#REF!</v>
      </c>
      <c r="L30" s="146" t="e">
        <f>Igazgatás!K30+Községgazd!K30+Vagyongazd!#REF!+Közút!K30+Sport!K30+Közművelődés!K46+Támogatás!K30</f>
        <v>#REF!</v>
      </c>
      <c r="M30" s="159" t="e">
        <f>Igazgatás!L30+Községgazd!L30+Vagyongazd!#REF!+Közút!L30+Sport!L30+Közművelődés!L46+Támogatás!L30</f>
        <v>#REF!</v>
      </c>
      <c r="N30" s="72">
        <f>Igazgatás!M30+Községgazd!P30+Vagyongazd!M30+Közút!M30+Sport!M30+Közművelődés!O46+Támogatás!S30</f>
        <v>0</v>
      </c>
      <c r="O30" s="1">
        <f>Igazgatás!N30+Községgazd!Q30+Vagyongazd!N30+Közút!N30+Sport!N30+Közművelődés!P46+Támogatás!T30</f>
        <v>0</v>
      </c>
      <c r="P30" s="78">
        <f>Igazgatás!O30+Községgazd!R30+Vagyongazd!O30+Közút!O30+Sport!O30+Közművelődés!Q46+Támogatás!U30</f>
        <v>0</v>
      </c>
      <c r="Q30" s="78">
        <f>Igazgatás!P30+Községgazd!S30+Vagyongazd!P30+Közút!P30+Sport!P30+Közművelődés!R46+Támogatás!V30</f>
        <v>0</v>
      </c>
      <c r="R30" s="1">
        <f>Igazgatás!Q30+Községgazd!T30+Vagyongazd!Q30+Közút!Q30+Sport!Q30+Közművelődés!S46+Támogatás!W30</f>
        <v>0</v>
      </c>
      <c r="S30" s="78">
        <f>Igazgatás!R30+Községgazd!U30+Vagyongazd!R30+Közút!R30+Sport!R30+Közművelődés!T46+Támogatás!X30</f>
        <v>0</v>
      </c>
      <c r="T30" s="78">
        <f>Igazgatás!S30+Községgazd!V30+Vagyongazd!S30+Közút!S30+Sport!S30+Közművelődés!U46+Támogatás!Y30</f>
        <v>0</v>
      </c>
      <c r="U30" s="44">
        <f>Igazgatás!T30+Községgazd!W30+Vagyongazd!T30+Közút!T30+Sport!T30+Közművelődés!V46+Támogatás!Z30</f>
        <v>0</v>
      </c>
      <c r="V30" s="343">
        <f>Igazgatás!U30+Községgazd!X30+Vagyongazd!U30+Közút!U30+Sport!U30+Közművelődés!W46+Támogatás!AA30</f>
        <v>0</v>
      </c>
      <c r="W30" s="78">
        <f>Igazgatás!V30+Községgazd!Y30+Vagyongazd!V30+Közút!V30+Sport!V30+Közművelődés!X46+Támogatás!AB30</f>
        <v>0</v>
      </c>
      <c r="X30" s="78">
        <f>Igazgatás!W30+Községgazd!Z30+Vagyongazd!W30+Közút!W30+Sport!W30+Közművelődés!Y46+Támogatás!AC30</f>
        <v>0</v>
      </c>
      <c r="Y30" s="44">
        <f>Igazgatás!X30+Községgazd!AA30+Vagyongazd!X30+Közút!X30+Sport!X30+Közművelődés!Z46+Támogatás!AD30</f>
        <v>0</v>
      </c>
      <c r="AB30" s="180"/>
    </row>
    <row r="31" spans="1:28" ht="15.75" thickBot="1" x14ac:dyDescent="0.3">
      <c r="B31" s="61"/>
      <c r="C31" s="704" t="s">
        <v>160</v>
      </c>
      <c r="D31" s="705"/>
      <c r="E31" s="705"/>
      <c r="F31" s="159">
        <v>87058.25</v>
      </c>
      <c r="G31" s="159">
        <v>87058.25</v>
      </c>
      <c r="H31" s="159">
        <v>95658.25</v>
      </c>
      <c r="I31" s="159">
        <v>95658.25</v>
      </c>
      <c r="J31" s="159">
        <v>125178</v>
      </c>
      <c r="K31" s="159">
        <f>Igazgatás!J31+Községgazd!J31+Vagyongazd!J31+Közút!J31+Sport!J31+Közművelődés!J47+Támogatás!J31</f>
        <v>115179</v>
      </c>
      <c r="L31" s="159">
        <f>Igazgatás!K31+Községgazd!K31+Vagyongazd!K31+Közút!K31+Sport!K31+Közművelődés!K47+Támogatás!K31</f>
        <v>10000</v>
      </c>
      <c r="M31" s="159">
        <v>125178</v>
      </c>
      <c r="N31" s="72">
        <f>Igazgatás!M31+Községgazd!P31+Vagyongazd!M31+Közút!M31+Sport!M31+Közművelődés!O47+Támogatás!S31</f>
        <v>15033</v>
      </c>
      <c r="O31" s="1">
        <f>Igazgatás!N31+Községgazd!Q31+Vagyongazd!N31+Közút!N31+Sport!N31+Közművelődés!P47+Támogatás!T31</f>
        <v>0</v>
      </c>
      <c r="P31" s="78">
        <f>Igazgatás!O31+Községgazd!R31+Vagyongazd!O31+Közút!O31+Sport!O31+Közművelődés!Q47+Támogatás!U31</f>
        <v>0</v>
      </c>
      <c r="Q31" s="78">
        <f>Igazgatás!P31+Községgazd!S31+Vagyongazd!P31+Közút!P31+Sport!P31+Közművelődés!R47+Támogatás!V31</f>
        <v>48675</v>
      </c>
      <c r="R31" s="1">
        <f>Igazgatás!Q31+Községgazd!T31+Vagyongazd!Q31+Közút!Q31+Sport!Q31+Közművelődés!S47+Támogatás!W31</f>
        <v>0</v>
      </c>
      <c r="S31" s="78">
        <f>Igazgatás!R31+Községgazd!U31+Vagyongazd!R31+Közút!R31+Sport!R31+Közművelődés!T47+Támogatás!X31</f>
        <v>0</v>
      </c>
      <c r="T31" s="78">
        <f>Igazgatás!S31+Községgazd!V31+Vagyongazd!S31+Közút!S31+Sport!S31+Közművelődés!U47+Támogatás!Y31</f>
        <v>0</v>
      </c>
      <c r="U31" s="44">
        <f>Igazgatás!T31+Községgazd!W31+Vagyongazd!T31+Közút!T31+Sport!T31+Közművelődés!V47+Támogatás!Z31</f>
        <v>13100</v>
      </c>
      <c r="V31" s="343">
        <f>Igazgatás!U31+Községgazd!X31+Vagyongazd!U31+Közút!U31+Sport!U31+Közművelődés!W47+Támogatás!AA31</f>
        <v>25271</v>
      </c>
      <c r="W31" s="78">
        <f>Igazgatás!V31+Községgazd!Y31+Vagyongazd!V31+Közút!V31+Sport!V31+Közművelődés!X47+Támogatás!AB31</f>
        <v>13100</v>
      </c>
      <c r="X31" s="78">
        <f>Igazgatás!W31+Községgazd!Z31+Vagyongazd!W31+Közút!W31+Sport!W31+Közművelődés!Y47+Támogatás!AC31</f>
        <v>0</v>
      </c>
      <c r="Y31" s="44">
        <f>Igazgatás!X31+Községgazd!AA31+Vagyongazd!X31+Közút!X31+Sport!X31+Közművelődés!Z47+Támogatás!AD31</f>
        <v>10000</v>
      </c>
      <c r="AB31" s="180"/>
    </row>
    <row r="32" spans="1:28" ht="15.75" thickBot="1" x14ac:dyDescent="0.3">
      <c r="B32" s="81" t="s">
        <v>161</v>
      </c>
      <c r="C32" s="648" t="s">
        <v>162</v>
      </c>
      <c r="D32" s="649"/>
      <c r="E32" s="649"/>
      <c r="F32" s="156">
        <v>10752071</v>
      </c>
      <c r="G32" s="156">
        <v>11024865.120000001</v>
      </c>
      <c r="H32" s="156">
        <v>11135417.120000001</v>
      </c>
      <c r="I32" s="571">
        <v>11327853.120000001</v>
      </c>
      <c r="J32" s="571">
        <f>J33+J37+J40+J50+J53</f>
        <v>12758288</v>
      </c>
      <c r="K32" s="571">
        <f t="shared" ref="K32:M32" si="2">K33+K37+K40+K50+K53</f>
        <v>13033608.120000001</v>
      </c>
      <c r="L32" s="571">
        <f t="shared" si="2"/>
        <v>200270</v>
      </c>
      <c r="M32" s="571">
        <f t="shared" si="2"/>
        <v>13233878.120000001</v>
      </c>
      <c r="N32" s="82">
        <f>Igazgatás!M32+Községgazd!P32+Vagyongazd!M32+Közút!M32+Sport!M32+Közművelődés!O50+Támogatás!S32</f>
        <v>345794</v>
      </c>
      <c r="O32" s="83">
        <f>Igazgatás!N32+Községgazd!Q32+Vagyongazd!N32+Szennyvíz!M31+Közút!N32+Sport!N32+Közművelődés!P50+Támogatás!T32</f>
        <v>210841</v>
      </c>
      <c r="P32" s="86">
        <f>Igazgatás!O32+Községgazd!R32+Vagyongazd!O32+Közút!O32+Sport!O32+Közművelődés!Q50+Támogatás!U32</f>
        <v>402535.12</v>
      </c>
      <c r="Q32" s="86">
        <f>Igazgatás!P32+Községgazd!S32+Vagyongazd!P32+Közút!P32+Sport!P32+Közművelődés!R50+Támogatás!V32</f>
        <v>1066013</v>
      </c>
      <c r="R32" s="83">
        <f>Igazgatás!Q32+Községgazd!T32+Vagyongazd!Q32+Közút!Q32+Sport!Q32+Közművelődés!S50+Támogatás!W32</f>
        <v>477390</v>
      </c>
      <c r="S32" s="86">
        <f>Igazgatás!R32+Községgazd!U32+Vagyongazd!R32+Közút!R32+Sport!R32+Közművelődés!T50+Támogatás!X32</f>
        <v>1937221</v>
      </c>
      <c r="T32" s="86">
        <f>Igazgatás!S32+Községgazd!V32+Vagyongazd!S32+Közút!S32+Sport!S32+Közművelődés!U50+Támogatás!Y32</f>
        <v>1492876</v>
      </c>
      <c r="U32" s="87">
        <f>Igazgatás!T32+Községgazd!W32+Vagyongazd!T32+Közút!T32+Sport!T32+Közművelődés!V50+Támogatás!Z32</f>
        <v>430228</v>
      </c>
      <c r="V32" s="338">
        <f>Igazgatás!U32+Községgazd!X32+Vagyongazd!U32+Közút!U32+Sport!U32+Közművelődés!W50+Támogatás!AA32</f>
        <v>1319416</v>
      </c>
      <c r="W32" s="86">
        <f>Igazgatás!V32+Községgazd!Y32+Vagyongazd!V32+Közút!V32+Sport!V32+Közművelődés!X50+Támogatás!AB32</f>
        <v>1035566</v>
      </c>
      <c r="X32" s="86">
        <f>Igazgatás!W32+Községgazd!Z32+Vagyongazd!W32+Közút!W32+Sport!W32+Közművelődés!Y50+Támogatás!AC32</f>
        <v>2441997</v>
      </c>
      <c r="Y32" s="87">
        <f>Igazgatás!X32+Községgazd!AA32+Vagyongazd!X32+Közút!X32+Sport!X32+Közművelődés!Z50+Támogatás!AD32</f>
        <v>2074001</v>
      </c>
      <c r="AB32" s="180"/>
    </row>
    <row r="33" spans="1:28" x14ac:dyDescent="0.25">
      <c r="B33" s="115" t="s">
        <v>626</v>
      </c>
      <c r="C33" s="653" t="s">
        <v>163</v>
      </c>
      <c r="D33" s="654"/>
      <c r="E33" s="654"/>
      <c r="F33" s="157">
        <v>383272</v>
      </c>
      <c r="G33" s="157">
        <v>383272</v>
      </c>
      <c r="H33" s="157">
        <v>406182</v>
      </c>
      <c r="I33" s="572">
        <v>406182</v>
      </c>
      <c r="J33" s="572">
        <f>SUM(J34:J35)</f>
        <v>642135</v>
      </c>
      <c r="K33" s="157">
        <f>Igazgatás!J33+Községgazd!J33+Vagyongazd!J33+Közút!J33+Sport!J33+Közművelődés!J51+Támogatás!J33</f>
        <v>642135</v>
      </c>
      <c r="L33" s="157">
        <f>Igazgatás!K33+Községgazd!K33+Vagyongazd!K33+Közút!K33+Sport!K33+Közművelődés!K51+Támogatás!K33</f>
        <v>0</v>
      </c>
      <c r="M33" s="157">
        <f>Igazgatás!L33+Községgazd!L33+Vagyongazd!L33+Közút!L33+Sport!L33+Közművelődés!L51+Támogatás!L33</f>
        <v>642135</v>
      </c>
      <c r="N33" s="109">
        <f>Igazgatás!M33+Községgazd!P33+Vagyongazd!M33+Közút!M33+Sport!M33+Közművelődés!O51+Támogatás!S33</f>
        <v>0</v>
      </c>
      <c r="O33" s="110">
        <f>Igazgatás!N33+Községgazd!Q33+Vagyongazd!N33+Közút!N33+Sport!N33+Közművelődés!P51+Támogatás!T33</f>
        <v>16857</v>
      </c>
      <c r="P33" s="113">
        <f>Igazgatás!O33+Községgazd!R33+Vagyongazd!O33+Közút!O33+Sport!O33+Közművelődés!Q51+Támogatás!U33</f>
        <v>17031</v>
      </c>
      <c r="Q33" s="113">
        <f>Igazgatás!P33+Községgazd!S33+Vagyongazd!P33+Közút!P33+Sport!P33+Közművelődés!R51+Támogatás!V33</f>
        <v>35737</v>
      </c>
      <c r="R33" s="110">
        <f>Igazgatás!Q33+Községgazd!T33+Vagyongazd!Q33+Közút!Q33+Sport!Q33+Közművelődés!S51+Támogatás!W33</f>
        <v>81648</v>
      </c>
      <c r="S33" s="113">
        <f>Igazgatás!R33+Községgazd!U33+Vagyongazd!R33+Közút!R33+Sport!R33+Közművelődés!T51+Támogatás!X33</f>
        <v>90706</v>
      </c>
      <c r="T33" s="113">
        <f>Igazgatás!S33+Községgazd!V33+Vagyongazd!S33+Közút!S33+Sport!S33+Közművelődés!U51+Támogatás!Y33</f>
        <v>54580</v>
      </c>
      <c r="U33" s="114">
        <f>Igazgatás!T33+Községgazd!W33+Vagyongazd!T33+Közút!T33+Sport!T33+Közművelődés!V51+Támogatás!Z33</f>
        <v>34124</v>
      </c>
      <c r="V33" s="339">
        <f>Igazgatás!U33+Községgazd!X33+Vagyongazd!U33+Közút!U33+Sport!U33+Közművelődés!W51+Támogatás!AA33</f>
        <v>82881</v>
      </c>
      <c r="W33" s="113">
        <f>Igazgatás!V33+Községgazd!Y33+Vagyongazd!V33+Közút!V33+Sport!V33+Közművelődés!X51+Támogatás!AB33</f>
        <v>51724</v>
      </c>
      <c r="X33" s="113">
        <f>Igazgatás!W33+Községgazd!Z33+Vagyongazd!W33+Közút!W33+Sport!W33+Közművelődés!Y51+Támogatás!AC33</f>
        <v>113687</v>
      </c>
      <c r="Y33" s="114">
        <f>Igazgatás!X33+Községgazd!AA33+Vagyongazd!X33+Közút!X33+Sport!X33+Közművelődés!Z51+Támogatás!AD33</f>
        <v>63160</v>
      </c>
      <c r="AB33" s="180"/>
    </row>
    <row r="34" spans="1:28" s="41" customForma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160">
        <v>0</v>
      </c>
      <c r="H34" s="160">
        <v>0</v>
      </c>
      <c r="I34" s="160">
        <v>0</v>
      </c>
      <c r="J34" s="160">
        <v>2713</v>
      </c>
      <c r="K34" s="160">
        <f>Igazgatás!J34+Községgazd!J34+Vagyongazd!J34+Közút!J34+Sport!J34+Közművelődés!J52+Támogatás!J34</f>
        <v>2713</v>
      </c>
      <c r="L34" s="160">
        <f>Igazgatás!K34+Községgazd!K34+Vagyongazd!K34+Közút!K34+Sport!K34+Közművelődés!K52+Támogatás!K34</f>
        <v>0</v>
      </c>
      <c r="M34" s="160">
        <f>Igazgatás!L34+Községgazd!L34+Vagyongazd!L34+Közút!L34+Sport!L34+Közművelődés!L52+Támogatás!L34</f>
        <v>2713</v>
      </c>
      <c r="N34" s="74">
        <f>Igazgatás!M34+Községgazd!P34+Vagyongazd!M34+Közút!M34+Sport!M34+Közművelődés!O52+Támogatás!S34</f>
        <v>0</v>
      </c>
      <c r="O34" s="13">
        <f>Igazgatás!N34+Községgazd!Q34+Vagyongazd!N34+Közút!N34+Sport!N34+Közművelődés!P52+Támogatás!T34</f>
        <v>0</v>
      </c>
      <c r="P34" s="79">
        <f>Igazgatás!O34+Községgazd!R34+Vagyongazd!O34+Közút!O34+Sport!O34+Közművelődés!Q52+Támogatás!U34</f>
        <v>0</v>
      </c>
      <c r="Q34" s="79">
        <f>Igazgatás!P34+Községgazd!S34+Vagyongazd!P34+Közút!P34+Sport!P34+Közművelődés!R52+Támogatás!V34</f>
        <v>0</v>
      </c>
      <c r="R34" s="13">
        <f>Igazgatás!Q34+Községgazd!T34+Vagyongazd!Q34+Közút!Q34+Sport!Q34+Közművelődés!S52+Támogatás!W34</f>
        <v>0</v>
      </c>
      <c r="S34" s="79">
        <f>Igazgatás!R34+Községgazd!U34+Vagyongazd!R34+Közút!R34+Sport!R34+Közművelődés!T52+Támogatás!X34</f>
        <v>0</v>
      </c>
      <c r="T34" s="79">
        <f>Igazgatás!S34+Községgazd!V34+Vagyongazd!S34+Közút!S34+Sport!S34+Közművelődés!U52+Támogatás!Y34</f>
        <v>2713</v>
      </c>
      <c r="U34" s="45">
        <f>Igazgatás!T34+Községgazd!W34+Vagyongazd!T34+Közút!T34+Sport!T34+Közművelődés!V52+Támogatás!Z34</f>
        <v>0</v>
      </c>
      <c r="V34" s="342">
        <f>Igazgatás!U34+Községgazd!X34+Vagyongazd!U34+Közút!U34+Sport!U34+Közművelődés!W52+Támogatás!AA34</f>
        <v>0</v>
      </c>
      <c r="W34" s="79">
        <f>Igazgatás!V34+Községgazd!Y34+Vagyongazd!V34+Közút!V34+Sport!V34+Közművelődés!X52+Támogatás!AB34</f>
        <v>0</v>
      </c>
      <c r="X34" s="79">
        <f>Igazgatás!W34+Községgazd!Z34+Vagyongazd!W34+Közút!W34+Sport!W34+Közművelődés!Y52+Támogatás!AC34</f>
        <v>0</v>
      </c>
      <c r="Y34" s="45">
        <f>Igazgatás!X34+Községgazd!AA34+Vagyongazd!X34+Közút!X34+Sport!X34+Közművelődés!Z52+Támogatás!AD34</f>
        <v>0</v>
      </c>
      <c r="AB34" s="180"/>
    </row>
    <row r="35" spans="1:28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383272</v>
      </c>
      <c r="G35" s="160">
        <v>383272</v>
      </c>
      <c r="H35" s="160">
        <v>406182</v>
      </c>
      <c r="I35" s="160">
        <v>406182</v>
      </c>
      <c r="J35" s="160">
        <v>639422</v>
      </c>
      <c r="K35" s="160">
        <f>Igazgatás!J35+Községgazd!J35+Vagyongazd!J35+Közút!J35+Sport!J35+Közművelődés!J54+Támogatás!J35</f>
        <v>639422</v>
      </c>
      <c r="L35" s="160">
        <f>Igazgatás!K35+Községgazd!K35+Vagyongazd!K35+Közút!K35+Sport!K35+Közművelődés!K54+Támogatás!K35</f>
        <v>0</v>
      </c>
      <c r="M35" s="160">
        <f>Igazgatás!L35+Községgazd!L35+Vagyongazd!L35+Közút!L35+Sport!L35+Közművelődés!L54+Támogatás!L35</f>
        <v>639422</v>
      </c>
      <c r="N35" s="74">
        <f>Igazgatás!M35+Községgazd!P35+Vagyongazd!M35+Közút!M35+Sport!M35+Közművelődés!O54+Támogatás!S35</f>
        <v>0</v>
      </c>
      <c r="O35" s="13">
        <f>Igazgatás!N35+Községgazd!Q35+Vagyongazd!N35+Közút!N35+Sport!N35+Közművelődés!P54+Támogatás!T35</f>
        <v>16857</v>
      </c>
      <c r="P35" s="79">
        <f>Igazgatás!O35+Községgazd!R35+Vagyongazd!O35+Közút!O35+Sport!O35+Közművelődés!Q54+Támogatás!U35</f>
        <v>17031</v>
      </c>
      <c r="Q35" s="79">
        <f>Igazgatás!P35+Községgazd!S35+Vagyongazd!P35+Közút!P35+Sport!P35+Közművelődés!R54+Támogatás!V35</f>
        <v>35737</v>
      </c>
      <c r="R35" s="13">
        <f>Igazgatás!Q35+Községgazd!T35+Vagyongazd!Q35+Közút!Q35+Sport!Q35+Közművelődés!S54+Támogatás!W35</f>
        <v>81648</v>
      </c>
      <c r="S35" s="79">
        <f>Igazgatás!R35+Községgazd!U35+Vagyongazd!R35+Közút!R35+Sport!R35+Közművelődés!T54+Támogatás!X35</f>
        <v>90706</v>
      </c>
      <c r="T35" s="79">
        <f>Igazgatás!S35+Községgazd!V35+Vagyongazd!S35+Közút!S35+Sport!S35+Közművelődés!U54+Támogatás!Y35</f>
        <v>51867</v>
      </c>
      <c r="U35" s="45">
        <f>Igazgatás!T35+Községgazd!W35+Vagyongazd!T35+Közút!T35+Sport!T35+Közművelődés!V54+Támogatás!Z35</f>
        <v>34124</v>
      </c>
      <c r="V35" s="342">
        <f>Igazgatás!U35+Községgazd!X35+Vagyongazd!U35+Közút!U35+Sport!U35+Közművelődés!W54+Támogatás!AA35</f>
        <v>82881</v>
      </c>
      <c r="W35" s="79">
        <f>Igazgatás!V35+Községgazd!Y35+Vagyongazd!V35+Közút!V35+Sport!V35+Közművelődés!X54+Támogatás!AB35</f>
        <v>51724</v>
      </c>
      <c r="X35" s="79">
        <f>Igazgatás!W35+Községgazd!Z35+Vagyongazd!W35+Közút!W35+Sport!W35+Közművelődés!Y54+Támogatás!AC35</f>
        <v>113687</v>
      </c>
      <c r="Y35" s="45">
        <f>Igazgatás!X35+Községgazd!AA35+Vagyongazd!X35+Közút!X35+Sport!X35+Közművelődés!Z54+Támogatás!AD35</f>
        <v>63160</v>
      </c>
      <c r="AB35" s="180"/>
    </row>
    <row r="36" spans="1:28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 t="e">
        <v>#REF!</v>
      </c>
      <c r="G36" s="342" t="e">
        <v>#REF!</v>
      </c>
      <c r="H36" s="342" t="e">
        <v>#REF!</v>
      </c>
      <c r="I36" s="342" t="e">
        <v>#REF!</v>
      </c>
      <c r="J36" s="342" t="e">
        <v>#REF!</v>
      </c>
      <c r="K36" s="239" t="e">
        <f>Igazgatás!J38+Községgazd!J38+Vagyongazd!#REF!+Közút!J36+Sport!J36+Közművelődés!J57+Támogatás!J36</f>
        <v>#REF!</v>
      </c>
      <c r="L36" s="148" t="e">
        <f>Igazgatás!K38+Községgazd!K38+Vagyongazd!#REF!+Közút!K36+Sport!K36+Közművelődés!K57+Támogatás!K36</f>
        <v>#REF!</v>
      </c>
      <c r="M36" s="160" t="e">
        <f>Igazgatás!L38+Községgazd!L38+Vagyongazd!#REF!+Közút!L36+Sport!L36+Közművelődés!L57+Támogatás!L36</f>
        <v>#REF!</v>
      </c>
      <c r="N36" s="74">
        <f>Igazgatás!M38+Községgazd!P38+Vagyongazd!M36+Közút!M36+Sport!M36+Közművelődés!O57+Támogatás!S36</f>
        <v>0</v>
      </c>
      <c r="O36" s="13">
        <f>Igazgatás!N38+Községgazd!Q38+Vagyongazd!N36+Közút!N36+Sport!N36+Közművelődés!P57+Támogatás!T36</f>
        <v>0</v>
      </c>
      <c r="P36" s="79">
        <f>Igazgatás!O38+Községgazd!R38+Vagyongazd!O36+Közút!O36+Sport!O36+Közművelődés!Q57+Támogatás!U36</f>
        <v>0</v>
      </c>
      <c r="Q36" s="79">
        <f>Igazgatás!P38+Községgazd!S38+Vagyongazd!P36+Közút!P36+Sport!P36+Közművelődés!R57+Támogatás!V36</f>
        <v>0</v>
      </c>
      <c r="R36" s="13">
        <f>Igazgatás!Q38+Községgazd!T38+Vagyongazd!Q36+Közút!Q36+Sport!Q36+Közművelődés!S57+Támogatás!W36</f>
        <v>0</v>
      </c>
      <c r="S36" s="79">
        <f>Igazgatás!R38+Községgazd!U38+Vagyongazd!R36+Közút!R36+Sport!R36+Közművelődés!T57+Támogatás!X36</f>
        <v>0</v>
      </c>
      <c r="T36" s="79">
        <f>Igazgatás!S38+Községgazd!V38+Vagyongazd!S36+Közút!S36+Sport!S36+Közművelődés!U57+Támogatás!Y36</f>
        <v>0</v>
      </c>
      <c r="U36" s="45">
        <f>Igazgatás!T38+Községgazd!W38+Vagyongazd!T36+Közút!T36+Sport!T36+Közművelődés!V57+Támogatás!Z36</f>
        <v>0</v>
      </c>
      <c r="V36" s="342">
        <f>Igazgatás!U38+Községgazd!X38+Vagyongazd!U36+Közút!U36+Sport!U36+Közművelődés!W57+Támogatás!AA36</f>
        <v>0</v>
      </c>
      <c r="W36" s="79">
        <f>Igazgatás!V38+Községgazd!Y38+Vagyongazd!V36+Közút!V36+Sport!V36+Közművelődés!X57+Támogatás!AB36</f>
        <v>0</v>
      </c>
      <c r="X36" s="79">
        <f>Igazgatás!W38+Községgazd!Z38+Vagyongazd!W36+Közút!W36+Sport!W36+Közművelődés!Y57+Támogatás!AC36</f>
        <v>0</v>
      </c>
      <c r="Y36" s="45">
        <f>Igazgatás!X38+Községgazd!AA38+Vagyongazd!X36+Közút!X36+Sport!X36+Közművelődés!Z57+Támogatás!AD36</f>
        <v>0</v>
      </c>
      <c r="AB36" s="180"/>
    </row>
    <row r="37" spans="1:28" x14ac:dyDescent="0.25">
      <c r="B37" s="88" t="s">
        <v>630</v>
      </c>
      <c r="C37" s="640" t="s">
        <v>170</v>
      </c>
      <c r="D37" s="641"/>
      <c r="E37" s="641"/>
      <c r="F37" s="158">
        <v>162120</v>
      </c>
      <c r="G37" s="158">
        <v>162120</v>
      </c>
      <c r="H37" s="158">
        <v>162121</v>
      </c>
      <c r="I37" s="256">
        <v>162721</v>
      </c>
      <c r="J37" s="256">
        <f>SUM(J38:J39)</f>
        <v>249175</v>
      </c>
      <c r="K37" s="158">
        <f>Igazgatás!J39+Községgazd!J39+Közút!J37+Sport!J37+Közművelődés!J58+Támogatás!J37</f>
        <v>249175</v>
      </c>
      <c r="L37" s="158">
        <f>Igazgatás!K39+Községgazd!K39+Közút!K37+Sport!K37+Közművelődés!K58+Támogatás!K37</f>
        <v>0</v>
      </c>
      <c r="M37" s="158">
        <f>Igazgatás!L39+Községgazd!L39+Közút!L37+Sport!L37+Közművelődés!L58+Támogatás!L37</f>
        <v>249175</v>
      </c>
      <c r="N37" s="90">
        <f>Igazgatás!M39+Községgazd!P39+Vagyongazd!M37+Közút!M37+Sport!M37+Közművelődés!O58+Támogatás!S37</f>
        <v>22510</v>
      </c>
      <c r="O37" s="91">
        <f>Igazgatás!N39+Községgazd!Q39+Vagyongazd!N37+Közút!N37+Sport!N37+Közművelődés!P58+Támogatás!T37</f>
        <v>4500</v>
      </c>
      <c r="P37" s="94">
        <f>Igazgatás!O39+Községgazd!R39+Vagyongazd!O37+Közút!O37+Sport!O37+Közművelődés!Q58+Támogatás!U37</f>
        <v>13521</v>
      </c>
      <c r="Q37" s="94">
        <f>Igazgatás!P39+Községgazd!S39+Vagyongazd!P37+Közút!P37+Sport!P37+Közművelődés!R58+Támogatás!V37</f>
        <v>13575</v>
      </c>
      <c r="R37" s="91">
        <f>Igazgatás!Q39+Községgazd!T39+Vagyongazd!Q37+Közút!Q37+Sport!Q37+Közművelődés!S58+Támogatás!W37</f>
        <v>13575</v>
      </c>
      <c r="S37" s="94">
        <f>Igazgatás!R39+Községgazd!U39+Vagyongazd!R37+Közút!R37+Sport!R37+Közművelődés!T58+Támogatás!X37</f>
        <v>13610</v>
      </c>
      <c r="T37" s="94">
        <f>Igazgatás!S39+Községgazd!V39+Vagyongazd!S37+Közút!S37+Sport!S37+Közművelődés!U58+Támogatás!Y37</f>
        <v>22586</v>
      </c>
      <c r="U37" s="95">
        <f>Igazgatás!T39+Községgazd!W39+Vagyongazd!T37+Közút!T37+Sport!T37+Közművelődés!V58+Támogatás!Z37</f>
        <v>28619</v>
      </c>
      <c r="V37" s="341">
        <f>Igazgatás!U39+Községgazd!X39+Vagyongazd!U37+Közút!U37+Sport!U37+Közművelődés!W58+Támogatás!AA37</f>
        <v>28589</v>
      </c>
      <c r="W37" s="94">
        <f>Igazgatás!V39+Községgazd!Y39+Vagyongazd!V37+Közút!V37+Sport!V37+Közművelődés!X58+Támogatás!AB37</f>
        <v>28585</v>
      </c>
      <c r="X37" s="94">
        <f>Igazgatás!W39+Községgazd!Z39+Vagyongazd!W37+Közút!W37+Sport!W37+Közművelődés!Y58+Támogatás!AC37</f>
        <v>28585</v>
      </c>
      <c r="Y37" s="95">
        <f>Igazgatás!X39+Községgazd!AA39+Vagyongazd!X37+Közút!X37+Sport!X37+Közművelődés!Z58+Támogatás!AD37</f>
        <v>30920</v>
      </c>
      <c r="AB37" s="180"/>
    </row>
    <row r="38" spans="1:28" s="41" customForma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132000</v>
      </c>
      <c r="G38" s="160">
        <v>132000</v>
      </c>
      <c r="H38" s="160">
        <v>132000</v>
      </c>
      <c r="I38" s="160">
        <v>132600</v>
      </c>
      <c r="J38" s="160">
        <v>214175</v>
      </c>
      <c r="K38" s="160">
        <f>Igazgatás!J40+Községgazd!J40+Közút!J38+Sport!J38+Közművelődés!J59+Támogatás!J38</f>
        <v>214175</v>
      </c>
      <c r="L38" s="160">
        <f>Igazgatás!K40+Községgazd!K40+Közút!K38+Sport!K38+Közművelődés!K59+Támogatás!K38</f>
        <v>0</v>
      </c>
      <c r="M38" s="160">
        <f>Igazgatás!L40+Községgazd!L40+Közút!L38+Sport!L38+Közművelődés!L59+Támogatás!L38</f>
        <v>214175</v>
      </c>
      <c r="N38" s="74">
        <f>Igazgatás!M40+Községgazd!P40+Vagyongazd!M38+Közút!M38+Sport!M38+Közművelődés!O59+Támogatás!S38</f>
        <v>17500</v>
      </c>
      <c r="O38" s="13">
        <f>Igazgatás!N40+Községgazd!Q40+Vagyongazd!N38+Közút!N38+Sport!N38+Közművelődés!P59+Támogatás!T38</f>
        <v>4500</v>
      </c>
      <c r="P38" s="79">
        <f>Igazgatás!O40+Községgazd!R40+Vagyongazd!O38+Közút!O38+Sport!O38+Közművelődés!Q59+Támogatás!U38</f>
        <v>11000</v>
      </c>
      <c r="Q38" s="79">
        <f>Igazgatás!P40+Községgazd!S40+Vagyongazd!P38+Közút!P38+Sport!P38+Közművelődés!R59+Támogatás!V38</f>
        <v>11075</v>
      </c>
      <c r="R38" s="13">
        <f>Igazgatás!Q40+Községgazd!T40+Vagyongazd!Q38+Közút!Q38+Sport!Q38+Közművelődés!S59+Támogatás!W38</f>
        <v>11075</v>
      </c>
      <c r="S38" s="79">
        <f>Igazgatás!R40+Községgazd!U40+Vagyongazd!R38+Közút!R38+Sport!R38+Közművelődés!T59+Támogatás!X38</f>
        <v>11075</v>
      </c>
      <c r="T38" s="79">
        <f>Igazgatás!S40+Községgazd!V40+Vagyongazd!S38+Közút!S38+Sport!S38+Közművelődés!U59+Támogatás!Y38</f>
        <v>17575</v>
      </c>
      <c r="U38" s="45">
        <f>Igazgatás!T40+Községgazd!W40+Vagyongazd!T38+Közút!T38+Sport!T38+Közművelődés!V59+Támogatás!Z38</f>
        <v>26075</v>
      </c>
      <c r="V38" s="342">
        <f>Igazgatás!U40+Községgazd!X40+Vagyongazd!U38+Közút!U38+Sport!U38+Közművelődés!W59+Támogatás!AA38</f>
        <v>26075</v>
      </c>
      <c r="W38" s="79">
        <f>Igazgatás!V40+Községgazd!Y40+Vagyongazd!V38+Közút!V38+Sport!V38+Közművelődés!X59+Támogatás!AB38</f>
        <v>26075</v>
      </c>
      <c r="X38" s="79">
        <f>Igazgatás!W40+Községgazd!Z40+Vagyongazd!W38+Közút!W38+Sport!W38+Közművelődés!Y59+Támogatás!AC38</f>
        <v>26075</v>
      </c>
      <c r="Y38" s="45">
        <f>Igazgatás!X40+Községgazd!AA40+Vagyongazd!X38+Közút!X38+Sport!X38+Közművelődés!Z59+Támogatás!AD38</f>
        <v>26075</v>
      </c>
      <c r="AB38" s="180"/>
    </row>
    <row r="39" spans="1:28" s="41" customForma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30120</v>
      </c>
      <c r="G39" s="160">
        <v>30120</v>
      </c>
      <c r="H39" s="160">
        <v>30121</v>
      </c>
      <c r="I39" s="160">
        <v>30121</v>
      </c>
      <c r="J39" s="160">
        <v>35000</v>
      </c>
      <c r="K39" s="160">
        <f>Igazgatás!J45+Községgazd!J41+Közút!J39+Sport!J39+Közművelődés!J60+Támogatás!J39</f>
        <v>35000</v>
      </c>
      <c r="L39" s="160">
        <f>Igazgatás!K45+Községgazd!K41+Közút!K39+Sport!K39+Közművelődés!K60+Támogatás!K39</f>
        <v>0</v>
      </c>
      <c r="M39" s="160">
        <f>Igazgatás!L45+Községgazd!L41+Közút!L39+Sport!L39+Közművelődés!L60+Támogatás!L39</f>
        <v>35000</v>
      </c>
      <c r="N39" s="74">
        <f>Igazgatás!M45+Községgazd!P41+Vagyongazd!M39+Közút!M39+Sport!M39+Közművelődés!O60+Támogatás!S39</f>
        <v>5010</v>
      </c>
      <c r="O39" s="13">
        <f>Igazgatás!N45+Községgazd!Q41+Vagyongazd!N39+Közút!N39+Sport!N39+Közművelődés!P60+Támogatás!T39</f>
        <v>0</v>
      </c>
      <c r="P39" s="79">
        <f>Igazgatás!O45+Községgazd!R41+Vagyongazd!O39+Közút!O39+Sport!O39+Közművelődés!Q60+Támogatás!U39</f>
        <v>2521</v>
      </c>
      <c r="Q39" s="79">
        <f>Igazgatás!P45+Községgazd!S41+Vagyongazd!P39+Közút!P39+Sport!P39+Közművelődés!R60+Támogatás!V39</f>
        <v>2500</v>
      </c>
      <c r="R39" s="13">
        <f>Igazgatás!Q45+Községgazd!T41+Vagyongazd!Q39+Közút!Q39+Sport!Q39+Közművelődés!S60+Támogatás!W39</f>
        <v>2500</v>
      </c>
      <c r="S39" s="79">
        <f>Igazgatás!R45+Községgazd!U41+Vagyongazd!R39+Közút!R39+Sport!R39+Közművelődés!T60+Támogatás!X39</f>
        <v>2535</v>
      </c>
      <c r="T39" s="79">
        <f>Igazgatás!S45+Községgazd!V41+Vagyongazd!S39+Közút!S39+Sport!S39+Közművelődés!U60+Támogatás!Y39</f>
        <v>5011</v>
      </c>
      <c r="U39" s="45">
        <f>Igazgatás!T45+Községgazd!W41+Vagyongazd!T39+Közút!T39+Sport!T39+Közművelődés!V60+Támogatás!Z39</f>
        <v>2544</v>
      </c>
      <c r="V39" s="342">
        <f>Igazgatás!U45+Községgazd!X41+Vagyongazd!U39+Közút!U39+Sport!U39+Közművelődés!W60+Támogatás!AA39</f>
        <v>2514</v>
      </c>
      <c r="W39" s="79">
        <f>Igazgatás!V45+Községgazd!Y41+Vagyongazd!V39+Közút!V39+Sport!V39+Közművelődés!X60+Támogatás!AB39</f>
        <v>2510</v>
      </c>
      <c r="X39" s="79">
        <f>Igazgatás!W45+Községgazd!Z41+Vagyongazd!W39+Közút!W39+Sport!W39+Közművelődés!Y60+Támogatás!AC39</f>
        <v>2510</v>
      </c>
      <c r="Y39" s="45">
        <f>Igazgatás!X45+Községgazd!AA41+Vagyongazd!X39+Közút!X39+Sport!X39+Közművelődés!Z60+Támogatás!AD39</f>
        <v>4845</v>
      </c>
      <c r="AB39" s="180"/>
    </row>
    <row r="40" spans="1:28" x14ac:dyDescent="0.25">
      <c r="B40" s="88" t="s">
        <v>633</v>
      </c>
      <c r="C40" s="640" t="s">
        <v>175</v>
      </c>
      <c r="D40" s="641"/>
      <c r="E40" s="641"/>
      <c r="F40" s="158">
        <v>6089132.1200000001</v>
      </c>
      <c r="G40" s="158">
        <v>6089132.1200000001</v>
      </c>
      <c r="H40" s="158">
        <v>6184836.1200000001</v>
      </c>
      <c r="I40" s="256">
        <v>6235044.1200000001</v>
      </c>
      <c r="J40" s="256">
        <f>J41+J43+J44+J45+J48+J49</f>
        <v>6844139</v>
      </c>
      <c r="K40" s="256">
        <f t="shared" ref="K40:AA40" si="3">K41+K43+K44+K45+K48+K49</f>
        <v>7010869.1200000001</v>
      </c>
      <c r="L40" s="256">
        <f t="shared" si="3"/>
        <v>200270</v>
      </c>
      <c r="M40" s="256">
        <f t="shared" si="3"/>
        <v>7211139.1200000001</v>
      </c>
      <c r="N40" s="256">
        <f t="shared" si="3"/>
        <v>276483</v>
      </c>
      <c r="O40" s="256">
        <f t="shared" si="3"/>
        <v>145421</v>
      </c>
      <c r="P40" s="256">
        <f t="shared" si="3"/>
        <v>268013.12</v>
      </c>
      <c r="Q40" s="256">
        <f t="shared" si="3"/>
        <v>788510</v>
      </c>
      <c r="R40" s="256">
        <f t="shared" si="3"/>
        <v>260187</v>
      </c>
      <c r="S40" s="256">
        <f t="shared" si="3"/>
        <v>1233946</v>
      </c>
      <c r="T40" s="256">
        <f t="shared" si="3"/>
        <v>289653</v>
      </c>
      <c r="U40" s="256">
        <f t="shared" si="3"/>
        <v>211207</v>
      </c>
      <c r="V40" s="256">
        <f t="shared" si="3"/>
        <v>1011874</v>
      </c>
      <c r="W40" s="256">
        <f t="shared" si="3"/>
        <v>287857</v>
      </c>
      <c r="X40" s="256">
        <f t="shared" si="3"/>
        <v>871515</v>
      </c>
      <c r="Y40" s="256">
        <f t="shared" si="3"/>
        <v>1566473</v>
      </c>
      <c r="Z40" s="256">
        <f t="shared" si="3"/>
        <v>0</v>
      </c>
      <c r="AA40" s="256">
        <f t="shared" si="3"/>
        <v>0</v>
      </c>
      <c r="AB40" s="180"/>
    </row>
    <row r="41" spans="1:28" s="41" customForma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1599406</v>
      </c>
      <c r="G41" s="160">
        <v>1599406</v>
      </c>
      <c r="H41" s="160">
        <v>1592347</v>
      </c>
      <c r="I41" s="160">
        <v>1592555</v>
      </c>
      <c r="J41" s="160">
        <v>1701001</v>
      </c>
      <c r="K41" s="160">
        <f>Igazgatás!J47+Községgazd!J43+Közút!J41+Sport!J41+Közművelődés!J62+Támogatás!J41</f>
        <v>1701001</v>
      </c>
      <c r="L41" s="160">
        <f>Igazgatás!K47+Községgazd!K43+Közút!K41+Sport!K41+Közművelődés!K62+Támogatás!K41</f>
        <v>0</v>
      </c>
      <c r="M41" s="160">
        <v>1701001</v>
      </c>
      <c r="N41" s="74">
        <f>Igazgatás!M47+Községgazd!P43+Vagyongazd!M41+Közút!M41+Sport!M41+Közművelődés!O62+Támogatás!S41</f>
        <v>102647</v>
      </c>
      <c r="O41" s="13">
        <f>Igazgatás!N47+Községgazd!Q43+Vagyongazd!N41+Közút!N41+Sport!N41+Közművelődés!P62+Támogatás!T41</f>
        <v>91472</v>
      </c>
      <c r="P41" s="79">
        <f>Igazgatás!O47+Községgazd!R43+Vagyongazd!O41+Közút!O41+Sport!O41+Közművelődés!Q62+Támogatás!U41</f>
        <v>96226</v>
      </c>
      <c r="Q41" s="79">
        <f>Igazgatás!P47+Községgazd!S43+Vagyongazd!P41+Közút!P41+Sport!P41+Közművelődés!R62+Támogatás!V41</f>
        <v>114615</v>
      </c>
      <c r="R41" s="13">
        <f>Igazgatás!Q47+Községgazd!T43+Vagyongazd!Q41+Közút!Q41+Sport!Q41+Közművelődés!S62+Támogatás!W41</f>
        <v>86863</v>
      </c>
      <c r="S41" s="79">
        <f>Igazgatás!R47+Községgazd!U43+Vagyongazd!R41+Közút!R41+Sport!R41+Közművelődés!T62+Támogatás!X41</f>
        <v>229221</v>
      </c>
      <c r="T41" s="79">
        <f>Igazgatás!S47+Községgazd!V43+Vagyongazd!S41+Közút!S41+Sport!S41+Közművelődés!U62+Támogatás!Y41</f>
        <v>98865</v>
      </c>
      <c r="U41" s="45">
        <f>Igazgatás!T47+Községgazd!W43+Vagyongazd!T41+Közút!T41+Sport!T41+Közművelődés!V62+Támogatás!Z41</f>
        <v>93879</v>
      </c>
      <c r="V41" s="342">
        <f>Igazgatás!U47+Községgazd!X43+Vagyongazd!U41+Közút!U41+Sport!U41+Közművelődés!W62+Támogatás!AA41</f>
        <v>225203</v>
      </c>
      <c r="W41" s="79">
        <f>Igazgatás!V47+Községgazd!Y43+Vagyongazd!V41+Közút!V41+Sport!V41+Közművelődés!X62+Támogatás!AB41</f>
        <v>142918</v>
      </c>
      <c r="X41" s="79">
        <f>Igazgatás!W47+Községgazd!Z43+Vagyongazd!W41+Közút!W41+Sport!W41+Közművelődés!Y62+Támogatás!AC41</f>
        <v>313387</v>
      </c>
      <c r="Y41" s="45">
        <f>Igazgatás!X47+Községgazd!AA43+Vagyongazd!X41+Közút!X41+Sport!X41+Közművelődés!Z62+Támogatás!AD41</f>
        <v>105705</v>
      </c>
      <c r="AB41" s="180"/>
    </row>
    <row r="42" spans="1:28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 t="e">
        <v>#REF!</v>
      </c>
      <c r="G42" s="160" t="e">
        <v>#REF!</v>
      </c>
      <c r="H42" s="160" t="e">
        <v>#REF!</v>
      </c>
      <c r="I42" s="160" t="e">
        <v>#REF!</v>
      </c>
      <c r="J42" s="160" t="e">
        <v>#REF!</v>
      </c>
      <c r="K42" s="160" t="e">
        <f>Igazgatás!J51+Községgazd!J48+Vagyongazd!#REF!+Közút!J42+Sport!J44+Közművelődés!J72+Támogatás!J42</f>
        <v>#REF!</v>
      </c>
      <c r="L42" s="160" t="e">
        <f>Igazgatás!K51+Községgazd!K48+Vagyongazd!#REF!+Közút!K42+Sport!K44+Közművelődés!K72+Támogatás!K42</f>
        <v>#REF!</v>
      </c>
      <c r="M42" s="160" t="e">
        <f>Igazgatás!L51+Községgazd!L48+Vagyongazd!#REF!+Közút!L42+Sport!L44+Közművelődés!L72+Támogatás!L42</f>
        <v>#REF!</v>
      </c>
      <c r="N42" s="74">
        <f>Igazgatás!M51+Községgazd!P48+Vagyongazd!M42+Közút!M42+Sport!M44+Közművelődés!O72+Támogatás!S42</f>
        <v>0</v>
      </c>
      <c r="O42" s="13">
        <f>Igazgatás!N51+Községgazd!Q48+Vagyongazd!N42+Közút!N42+Sport!N44+Közművelődés!P72+Támogatás!T42</f>
        <v>0</v>
      </c>
      <c r="P42" s="79">
        <f>Igazgatás!O51+Községgazd!R48+Vagyongazd!O42+Közút!O42+Sport!O44+Közművelődés!Q72+Támogatás!U42</f>
        <v>0</v>
      </c>
      <c r="Q42" s="79">
        <f>Igazgatás!P51+Községgazd!S48+Vagyongazd!P42+Közút!P42+Sport!P44+Közművelődés!R72+Támogatás!V42</f>
        <v>0</v>
      </c>
      <c r="R42" s="13">
        <f>Igazgatás!Q51+Községgazd!T48+Vagyongazd!Q42+Közút!Q42+Sport!Q44+Közművelődés!S72+Támogatás!W42</f>
        <v>0</v>
      </c>
      <c r="S42" s="79">
        <f>Igazgatás!R51+Községgazd!U48+Vagyongazd!R42+Közút!R42+Sport!R44+Közművelődés!T72+Támogatás!X42</f>
        <v>0</v>
      </c>
      <c r="T42" s="79">
        <f>Igazgatás!S51+Községgazd!V48+Vagyongazd!S42+Közút!S42+Sport!S44+Közművelődés!U72+Támogatás!Y42</f>
        <v>0</v>
      </c>
      <c r="U42" s="45">
        <f>Igazgatás!T51+Községgazd!W48+Vagyongazd!T42+Közút!T42+Sport!T44+Közművelődés!V72+Támogatás!Z42</f>
        <v>0</v>
      </c>
      <c r="V42" s="342">
        <f>Igazgatás!U51+Községgazd!X48+Vagyongazd!U42+Közút!U42+Sport!U44+Közművelődés!W72+Támogatás!AA42</f>
        <v>0</v>
      </c>
      <c r="W42" s="79">
        <f>Igazgatás!V51+Községgazd!Y48+Vagyongazd!V42+Közút!V42+Sport!V44+Közművelődés!X72+Támogatás!AB42</f>
        <v>0</v>
      </c>
      <c r="X42" s="79">
        <f>Igazgatás!W51+Községgazd!Z48+Vagyongazd!W42+Közút!W42+Sport!W44+Közművelődés!Y72+Támogatás!AC42</f>
        <v>0</v>
      </c>
      <c r="Y42" s="45">
        <f>Igazgatás!X51+Községgazd!AA48+Vagyongazd!X42+Közút!X42+Sport!X44+Közművelődés!Z72+Támogatás!AD42</f>
        <v>0</v>
      </c>
      <c r="AB42" s="180"/>
    </row>
    <row r="43" spans="1:28" s="41" customForma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384689.12</v>
      </c>
      <c r="G43" s="160">
        <v>384689.12</v>
      </c>
      <c r="H43" s="160">
        <v>384689.12</v>
      </c>
      <c r="I43" s="160">
        <v>434689.12</v>
      </c>
      <c r="J43" s="160">
        <v>480270</v>
      </c>
      <c r="K43" s="160">
        <f>Igazgatás!J52+Községgazd!J49+Közút!J43+Sport!J45+Közművelődés!J73+Támogatás!J43</f>
        <v>280000.12</v>
      </c>
      <c r="L43" s="160">
        <f>Igazgatás!K52+Községgazd!K49+Közút!K43+Sport!K45+Közművelődés!K73+Támogatás!K43</f>
        <v>200270</v>
      </c>
      <c r="M43" s="160">
        <f>Igazgatás!L52+Községgazd!L49+Közút!L43+Sport!L45+Közművelődés!L73+Támogatás!L43</f>
        <v>480270.12</v>
      </c>
      <c r="N43" s="74">
        <f>Igazgatás!M52+Községgazd!P49+Vagyongazd!M43+Közút!M43+Sport!M45+Közművelődés!O73+Támogatás!S43</f>
        <v>100789</v>
      </c>
      <c r="O43" s="13">
        <f>Igazgatás!N52+Községgazd!Q49+Vagyongazd!N43+Közút!N43+Sport!N45+Közművelődés!P73+Támogatás!T43</f>
        <v>20000</v>
      </c>
      <c r="P43" s="79">
        <f>Igazgatás!O52+Községgazd!R49+Vagyongazd!O43+Közút!O43+Sport!O45+Közművelődés!Q73+Támogatás!U43</f>
        <v>20000.12</v>
      </c>
      <c r="Q43" s="79">
        <f>Igazgatás!P52+Községgazd!S49+Vagyongazd!P43+Közút!P43+Sport!P45+Közművelődés!R73+Támogatás!V43</f>
        <v>20000</v>
      </c>
      <c r="R43" s="13">
        <f>Igazgatás!Q52+Községgazd!T49+Vagyongazd!Q43+Közút!Q43+Sport!Q45+Közművelődés!S73+Támogatás!W43</f>
        <v>84874</v>
      </c>
      <c r="S43" s="79">
        <f>Igazgatás!R52+Községgazd!U49+Vagyongazd!R43+Közút!R43+Sport!R45+Közművelődés!T73+Támogatás!X43</f>
        <v>22000</v>
      </c>
      <c r="T43" s="79">
        <f>Igazgatás!S52+Községgazd!V49+Vagyongazd!S43+Közút!S43+Sport!S45+Közművelődés!U73+Támogatás!Y43</f>
        <v>97679</v>
      </c>
      <c r="U43" s="45">
        <f>Igazgatás!T52+Községgazd!W49+Vagyongazd!T43+Közút!T43+Sport!T45+Közművelődés!V73+Támogatás!Z43</f>
        <v>22000</v>
      </c>
      <c r="V43" s="342">
        <f>Igazgatás!U52+Községgazd!X49+Vagyongazd!U43+Közút!U43+Sport!U45+Közművelődés!W73+Támogatás!AA43</f>
        <v>24928</v>
      </c>
      <c r="W43" s="79">
        <f>Igazgatás!V52+Községgazd!Y49+Vagyongazd!V43+Közút!V43+Sport!V45+Közművelődés!X73+Támogatás!AB43</f>
        <v>28000</v>
      </c>
      <c r="X43" s="79">
        <f>Igazgatás!W52+Községgazd!Z49+Vagyongazd!W43+Közút!W43+Sport!W45+Közművelődés!Y73+Támogatás!AC43</f>
        <v>20000</v>
      </c>
      <c r="Y43" s="45">
        <f>Igazgatás!X52+Községgazd!AA49+Vagyongazd!X43+Közút!X43+Sport!X45+Közművelődés!Z73+Támogatás!AD43</f>
        <v>20000</v>
      </c>
      <c r="AB43" s="180"/>
    </row>
    <row r="44" spans="1:28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349858</v>
      </c>
      <c r="G44" s="160">
        <v>349858</v>
      </c>
      <c r="H44" s="160">
        <v>350200</v>
      </c>
      <c r="I44" s="160">
        <v>350200</v>
      </c>
      <c r="J44" s="160">
        <v>398160</v>
      </c>
      <c r="K44" s="160">
        <f>Igazgatás!J53+Községgazd!J50+Szennyvíz!I43+Közút!J44+Sport!J46+Közművelődés!J74+Támogatás!J44</f>
        <v>398160</v>
      </c>
      <c r="L44" s="160">
        <f>Igazgatás!K53+Községgazd!K50+Szennyvíz!J43+Közút!K44+Sport!K46+Közművelődés!K74+Támogatás!K44</f>
        <v>0</v>
      </c>
      <c r="M44" s="160">
        <f>Igazgatás!L53+Községgazd!L50+Szennyvíz!K43+Közút!L44+Sport!L46+Közművelődés!L74+Támogatás!L44+Vagyongazd!L44</f>
        <v>398160</v>
      </c>
      <c r="N44" s="74">
        <f>Igazgatás!M53+Községgazd!P50+Vagyongazd!M44+Közút!M44+Sport!M46+Közművelődés!O74+Támogatás!S44</f>
        <v>8358</v>
      </c>
      <c r="O44" s="13">
        <f>Igazgatás!N53+Községgazd!Q50+Vagyongazd!N44+Szennyvíz!M43+Közút!N44+Sport!N46+Közművelődés!P74+Támogatás!T44</f>
        <v>2200</v>
      </c>
      <c r="P44" s="79">
        <f>Igazgatás!O53+Községgazd!R50+Vagyongazd!O44+Közút!O44+Sport!O46+Közművelődés!Q74+Támogatás!U44</f>
        <v>8358</v>
      </c>
      <c r="Q44" s="79">
        <f>Igazgatás!P53+Községgazd!S50+Vagyongazd!P44+Közút!P44+Sport!P46+Közművelődés!R74+Támogatás!V44</f>
        <v>16716</v>
      </c>
      <c r="R44" s="13">
        <f>Igazgatás!Q53+Községgazd!T50+Vagyongazd!Q44+Közút!Q44+Sport!Q46+Közművelődés!S74+Támogatás!W44</f>
        <v>3543</v>
      </c>
      <c r="S44" s="79">
        <f>Igazgatás!R53+Községgazd!U50+Vagyongazd!R44+Közút!R44+Sport!R46+Közművelődés!T74+Támogatás!X44</f>
        <v>30523</v>
      </c>
      <c r="T44" s="79">
        <f>Igazgatás!S53+Községgazd!V50+Vagyongazd!S44+Közút!S44+Sport!S46+Közművelődés!U74+Támogatás!Y44</f>
        <v>8559</v>
      </c>
      <c r="U44" s="45">
        <f>Igazgatás!T53+Községgazd!W50+Vagyongazd!T44+Közút!T44+Sport!T46+Közművelődés!V74+Támogatás!Z44</f>
        <v>34975</v>
      </c>
      <c r="V44" s="342">
        <f>Igazgatás!U53+Községgazd!X50+Vagyongazd!U44+Közút!U44+Sport!U46+Közművelődés!W74+Támogatás!AA44</f>
        <v>32799</v>
      </c>
      <c r="W44" s="79">
        <f>Igazgatás!V53+Községgazd!Y50+Vagyongazd!V44+Közút!V44+Sport!V46+Közművelődés!X74+Támogatás!AB44</f>
        <v>42929</v>
      </c>
      <c r="X44" s="79">
        <f>Igazgatás!W53+Községgazd!Z50+Vagyongazd!W44+Közút!W44+Sport!W46+Közművelődés!Y74+Támogatás!AC44</f>
        <v>64903</v>
      </c>
      <c r="Y44" s="45">
        <f>Igazgatás!X53+Községgazd!AA50+Vagyongazd!X44+Közút!X44+Sport!X46+Közművelődés!Z74+Támogatás!AD44</f>
        <v>144297</v>
      </c>
      <c r="AB44" s="180"/>
    </row>
    <row r="45" spans="1:28" s="18" customForma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388248</v>
      </c>
      <c r="G45" s="160">
        <v>388248</v>
      </c>
      <c r="H45" s="160">
        <v>388248</v>
      </c>
      <c r="I45" s="160">
        <v>388248</v>
      </c>
      <c r="J45" s="160">
        <v>626061</v>
      </c>
      <c r="K45" s="160">
        <f>Igazgatás!J54+Községgazd!J53+Közút!J45+Sport!J47+Közművelődés!J77+Támogatás!J45</f>
        <v>626061</v>
      </c>
      <c r="L45" s="160">
        <f>Igazgatás!K54+Községgazd!K53+Közút!K45+Sport!K47+Közművelődés!K77+Támogatás!K45</f>
        <v>0</v>
      </c>
      <c r="M45" s="160">
        <f>Igazgatás!L54+Községgazd!L53+Közút!L45+Sport!L47+Közművelődés!L77+Támogatás!L45</f>
        <v>626061</v>
      </c>
      <c r="N45" s="74">
        <f>Igazgatás!M54+Községgazd!P53+Vagyongazd!M45+Közút!M45+Sport!M47+Közművelődés!O77+Támogatás!S45</f>
        <v>0</v>
      </c>
      <c r="O45" s="13">
        <f>Igazgatás!N54+Községgazd!Q53+Vagyongazd!N45+Közút!N45+Sport!N47+Közművelődés!P77+Támogatás!T45</f>
        <v>0</v>
      </c>
      <c r="P45" s="79">
        <f>Igazgatás!O54+Községgazd!R53+Vagyongazd!O45+Közút!O45+Sport!O47+Közművelődés!Q77+Támogatás!U45</f>
        <v>11603</v>
      </c>
      <c r="Q45" s="79">
        <f>Igazgatás!P54+Községgazd!S53+Vagyongazd!P45+Közút!P45+Sport!P47+Közművelődés!R77+Támogatás!V45</f>
        <v>0</v>
      </c>
      <c r="R45" s="13">
        <f>Igazgatás!Q54+Községgazd!T53+Vagyongazd!Q45+Közút!Q45+Sport!Q47+Közművelődés!S77+Támogatás!W45</f>
        <v>0</v>
      </c>
      <c r="S45" s="79">
        <f>Igazgatás!R54+Községgazd!U53+Vagyongazd!R45+Közút!R45+Sport!R47+Közművelődés!T77+Támogatás!X45</f>
        <v>0</v>
      </c>
      <c r="T45" s="79">
        <f>Igazgatás!S54+Községgazd!V53+Vagyongazd!S45+Közút!S45+Sport!S47+Közművelődés!U77+Támogatás!Y45</f>
        <v>11161</v>
      </c>
      <c r="U45" s="45">
        <f>Igazgatás!T54+Községgazd!W53+Vagyongazd!T45+Közút!T45+Sport!T47+Közművelődés!V77+Támogatás!Z45</f>
        <v>3600</v>
      </c>
      <c r="V45" s="342">
        <f>Igazgatás!U54+Községgazd!X53+Vagyongazd!U45+Közút!U45+Sport!U47+Közművelődés!W77+Támogatás!AA45</f>
        <v>572403</v>
      </c>
      <c r="W45" s="79">
        <f>Igazgatás!V54+Községgazd!Y53+Vagyongazd!V45+Közút!V45+Sport!V47+Közművelődés!X77+Támogatás!AB45</f>
        <v>7192</v>
      </c>
      <c r="X45" s="79">
        <f>Igazgatás!W54+Községgazd!Z53+Vagyongazd!W45+Közút!W45+Sport!W47+Közművelődés!Y77+Támogatás!AC45</f>
        <v>9092</v>
      </c>
      <c r="Y45" s="45">
        <f>Igazgatás!X54+Községgazd!AA53+Vagyongazd!X45+Közút!X45+Sport!X47+Közművelődés!Z77+Támogatás!AD45</f>
        <v>11010</v>
      </c>
      <c r="AB45" s="180"/>
    </row>
    <row r="46" spans="1:28" x14ac:dyDescent="0.25">
      <c r="B46" s="54"/>
      <c r="C46" s="46"/>
      <c r="D46" s="624" t="s">
        <v>186</v>
      </c>
      <c r="E46" s="624"/>
      <c r="F46" s="159">
        <v>388248</v>
      </c>
      <c r="G46" s="159">
        <v>388248</v>
      </c>
      <c r="H46" s="159">
        <v>388248</v>
      </c>
      <c r="I46" s="159">
        <v>388248</v>
      </c>
      <c r="J46" s="159">
        <v>626061</v>
      </c>
      <c r="K46" s="159">
        <f>Igazgatás!J55+Községgazd!J54+Közút!J46+Sport!J48+Közművelődés!J78+Támogatás!J46</f>
        <v>626061</v>
      </c>
      <c r="L46" s="159">
        <f>Igazgatás!K55+Községgazd!K54+Közút!K46+Sport!K48+Közművelődés!K78+Támogatás!K46</f>
        <v>0</v>
      </c>
      <c r="M46" s="159">
        <f>Igazgatás!L55+Községgazd!L54+Közút!L46+Sport!L48+Közművelődés!L78+Támogatás!L46</f>
        <v>626061</v>
      </c>
      <c r="N46" s="72">
        <f>Igazgatás!M55+Községgazd!P54+Vagyongazd!M46+Közút!M46+Sport!M48+Közművelődés!O78+Támogatás!S46</f>
        <v>0</v>
      </c>
      <c r="O46" s="1">
        <f>Igazgatás!N55+Községgazd!Q54+Vagyongazd!N46+Közút!N46+Sport!N48+Közművelődés!P78+Támogatás!T46</f>
        <v>0</v>
      </c>
      <c r="P46" s="78">
        <f>Igazgatás!O55+Községgazd!R54+Vagyongazd!O46+Közút!O46+Sport!O48+Közművelődés!Q78+Támogatás!U46</f>
        <v>11603</v>
      </c>
      <c r="Q46" s="78">
        <f>Igazgatás!P55+Községgazd!S54+Vagyongazd!P46+Közút!P46+Sport!P48+Közművelődés!R78+Támogatás!V46</f>
        <v>0</v>
      </c>
      <c r="R46" s="1">
        <f>Igazgatás!Q55+Községgazd!T54+Vagyongazd!Q46+Közút!Q46+Sport!Q48+Közművelődés!S78+Támogatás!W46</f>
        <v>0</v>
      </c>
      <c r="S46" s="78">
        <f>Igazgatás!R55+Községgazd!U54+Vagyongazd!R46+Közút!R46+Sport!R48+Közművelődés!T78+Támogatás!X46</f>
        <v>0</v>
      </c>
      <c r="T46" s="78">
        <f>Igazgatás!S55+Községgazd!V54+Vagyongazd!S46+Közút!S46+Sport!S48+Közművelődés!U78+Támogatás!Y46</f>
        <v>11161</v>
      </c>
      <c r="U46" s="44">
        <f>Igazgatás!T55+Községgazd!W54+Vagyongazd!T46+Közút!T46+Sport!T48+Közművelődés!V78+Támogatás!Z46</f>
        <v>3600</v>
      </c>
      <c r="V46" s="343">
        <f>Igazgatás!U55+Községgazd!X54+Vagyongazd!U46+Közút!U46+Sport!U48+Közművelődés!W78+Támogatás!AA46</f>
        <v>572403</v>
      </c>
      <c r="W46" s="78">
        <f>Igazgatás!V55+Községgazd!Y54+Vagyongazd!V46+Közút!V46+Sport!V48+Közművelődés!X78+Támogatás!AB46</f>
        <v>7192</v>
      </c>
      <c r="X46" s="78">
        <f>Igazgatás!W55+Községgazd!Z54+Vagyongazd!W46+Közút!W46+Sport!W48+Közművelődés!Y78+Támogatás!AC46</f>
        <v>9092</v>
      </c>
      <c r="Y46" s="44">
        <f>Igazgatás!X55+Községgazd!AA54+Vagyongazd!X46+Közút!X46+Sport!X48+Közművelődés!Z78+Támogatás!AD46</f>
        <v>11010</v>
      </c>
      <c r="AB46" s="180"/>
    </row>
    <row r="47" spans="1:28" ht="15" hidden="1" customHeight="1" x14ac:dyDescent="0.25">
      <c r="B47" s="54"/>
      <c r="C47" s="46"/>
      <c r="D47" s="624" t="s">
        <v>187</v>
      </c>
      <c r="E47" s="624"/>
      <c r="F47" s="159" t="e">
        <v>#REF!</v>
      </c>
      <c r="G47" s="159" t="e">
        <v>#REF!</v>
      </c>
      <c r="H47" s="159" t="e">
        <v>#REF!</v>
      </c>
      <c r="I47" s="159" t="e">
        <v>#REF!</v>
      </c>
      <c r="J47" s="159" t="e">
        <v>#REF!</v>
      </c>
      <c r="K47" s="159" t="e">
        <f>Igazgatás!J56+Községgazd!J55+Vagyongazd!#REF!+Közút!J47+Sport!J49+Közművelődés!J79+Támogatás!J47</f>
        <v>#REF!</v>
      </c>
      <c r="L47" s="159" t="e">
        <f>Igazgatás!K56+Községgazd!K55+Vagyongazd!#REF!+Közút!K47+Sport!K49+Közművelődés!K79+Támogatás!K47</f>
        <v>#REF!</v>
      </c>
      <c r="M47" s="159" t="e">
        <f>Igazgatás!L56+Községgazd!L55+Vagyongazd!#REF!+Közút!L47+Sport!L49+Közművelődés!L79+Támogatás!L47</f>
        <v>#REF!</v>
      </c>
      <c r="N47" s="72">
        <f>Igazgatás!M56+Községgazd!P55+Vagyongazd!M47+Közút!M47+Sport!M49+Közművelődés!O79+Támogatás!S47</f>
        <v>0</v>
      </c>
      <c r="O47" s="1">
        <f>Igazgatás!N56+Községgazd!Q55+Vagyongazd!N47+Közút!N47+Sport!N49+Közművelődés!P79+Támogatás!T47</f>
        <v>0</v>
      </c>
      <c r="P47" s="78">
        <f>Igazgatás!O56+Községgazd!R55+Vagyongazd!O47+Közút!O47+Sport!O49+Közművelődés!Q79+Támogatás!U47</f>
        <v>0</v>
      </c>
      <c r="Q47" s="78">
        <f>Igazgatás!P56+Községgazd!S55+Vagyongazd!P47+Közút!P47+Sport!P49+Közművelődés!R79+Támogatás!V47</f>
        <v>0</v>
      </c>
      <c r="R47" s="1">
        <f>Igazgatás!Q56+Községgazd!T55+Vagyongazd!Q47+Közút!Q47+Sport!Q49+Közművelődés!S79+Támogatás!W47</f>
        <v>0</v>
      </c>
      <c r="S47" s="78">
        <f>Igazgatás!R56+Községgazd!U55+Vagyongazd!R47+Közút!R47+Sport!R49+Közművelődés!T79+Támogatás!X47</f>
        <v>0</v>
      </c>
      <c r="T47" s="78">
        <f>Igazgatás!S56+Községgazd!V55+Vagyongazd!S47+Közút!S47+Sport!S49+Közművelődés!U79+Támogatás!Y47</f>
        <v>0</v>
      </c>
      <c r="U47" s="44">
        <f>Igazgatás!T56+Községgazd!W55+Vagyongazd!T47+Közút!T47+Sport!T49+Közművelődés!V79+Támogatás!Z47</f>
        <v>0</v>
      </c>
      <c r="V47" s="343">
        <f>Igazgatás!U56+Községgazd!X55+Vagyongazd!U47+Közút!U47+Sport!U49+Közművelődés!W79+Támogatás!AA47</f>
        <v>0</v>
      </c>
      <c r="W47" s="78">
        <f>Igazgatás!V56+Községgazd!Y55+Vagyongazd!V47+Közút!V47+Sport!V49+Közművelődés!X79+Támogatás!AB47</f>
        <v>0</v>
      </c>
      <c r="X47" s="78">
        <f>Igazgatás!W56+Községgazd!Z55+Vagyongazd!W47+Közút!W47+Sport!W49+Közművelődés!Y79+Támogatás!AC47</f>
        <v>0</v>
      </c>
      <c r="Y47" s="44">
        <f>Igazgatás!X56+Községgazd!AA55+Vagyongazd!X47+Közút!X47+Sport!X49+Közművelődés!Z79+Támogatás!AD47</f>
        <v>0</v>
      </c>
      <c r="AB47" s="180"/>
    </row>
    <row r="48" spans="1:28" s="41" customFormat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2686952</v>
      </c>
      <c r="G48" s="160">
        <v>2686952</v>
      </c>
      <c r="H48" s="160">
        <v>2716952</v>
      </c>
      <c r="I48" s="160">
        <v>2716952</v>
      </c>
      <c r="J48" s="160">
        <v>2836952</v>
      </c>
      <c r="K48" s="160">
        <f>Igazgatás!J57+Községgazd!J56+Közút!J48+Sport!J50+Közművelődés!J80+Támogatás!J48</f>
        <v>2836952</v>
      </c>
      <c r="L48" s="160">
        <f>Igazgatás!K57+Községgazd!K56+Közút!K48+Sport!K50+Közművelődés!K80+Támogatás!K48</f>
        <v>0</v>
      </c>
      <c r="M48" s="160">
        <f>Igazgatás!L57+Községgazd!L56+Közút!L48+Sport!L50+Közművelődés!L80+Támogatás!L48</f>
        <v>2836952</v>
      </c>
      <c r="N48" s="74">
        <f>Igazgatás!M57+Községgazd!P56+Vagyongazd!M48+Közút!M48+Sport!M50+Közművelődés!O80+Támogatás!S48</f>
        <v>16221</v>
      </c>
      <c r="O48" s="13">
        <f>Igazgatás!N57+Községgazd!Q56+Vagyongazd!N48+Közút!N48+Sport!N50+Közművelődés!P80+Támogatás!T48</f>
        <v>22721</v>
      </c>
      <c r="P48" s="79">
        <f>Igazgatás!O57+Községgazd!R56+Vagyongazd!O48+Közút!O48+Sport!O50+Közművelődés!Q80+Támogatás!U48</f>
        <v>41221</v>
      </c>
      <c r="Q48" s="79">
        <f>Igazgatás!P57+Községgazd!S56+Vagyongazd!P48+Közút!P48+Sport!P50+Közművelődés!R80+Támogatás!V48</f>
        <v>516221</v>
      </c>
      <c r="R48" s="13">
        <f>Igazgatás!Q57+Községgazd!T56+Vagyongazd!Q48+Közút!Q48+Sport!Q50+Közművelődés!S80+Támogatás!W48</f>
        <v>16221</v>
      </c>
      <c r="S48" s="79">
        <f>Igazgatás!R57+Községgazd!U56+Vagyongazd!R48+Közút!R48+Sport!R50+Közművelődés!T80+Támogatás!X48</f>
        <v>916221</v>
      </c>
      <c r="T48" s="79">
        <f>Igazgatás!S57+Községgazd!V56+Vagyongazd!S48+Közút!S48+Sport!S50+Közművelődés!U80+Támogatás!Y48</f>
        <v>28821</v>
      </c>
      <c r="U48" s="45">
        <f>Igazgatás!T57+Községgazd!W56+Vagyongazd!T48+Közút!T48+Sport!T50+Közművelődés!V80+Támogatás!Z48</f>
        <v>22721</v>
      </c>
      <c r="V48" s="342">
        <f>Igazgatás!U57+Községgazd!X56+Vagyongazd!U48+Közút!U48+Sport!U50+Közművelődés!W80+Támogatás!AA48</f>
        <v>20521</v>
      </c>
      <c r="W48" s="79">
        <f>Igazgatás!V57+Községgazd!Y56+Vagyongazd!V48+Közút!V48+Sport!V50+Közművelődés!X80+Támogatás!AB48</f>
        <v>56221</v>
      </c>
      <c r="X48" s="79">
        <f>Igazgatás!W57+Községgazd!Z56+Vagyongazd!W48+Közút!W48+Sport!W50+Közművelődés!Y80+Támogatás!AC48</f>
        <v>193621</v>
      </c>
      <c r="Y48" s="45">
        <f>Igazgatás!X57+Községgazd!AA56+Vagyongazd!X48+Közút!X48+Sport!X50+Közművelődés!Z80+Támogatás!AD48</f>
        <v>986221</v>
      </c>
      <c r="AB48" s="180"/>
    </row>
    <row r="49" spans="1:28" s="41" customFormat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679979</v>
      </c>
      <c r="G49" s="160">
        <v>679979</v>
      </c>
      <c r="H49" s="160">
        <v>754600</v>
      </c>
      <c r="I49" s="160">
        <v>754600</v>
      </c>
      <c r="J49" s="160">
        <v>801695</v>
      </c>
      <c r="K49" s="160">
        <f>Igazgatás!J65+Községgazd!J57+Közút!J49+Sport!J51+Közművelődés!J82+Támogatás!J49</f>
        <v>1168695</v>
      </c>
      <c r="L49" s="160">
        <f>Igazgatás!K65+Községgazd!K57+Közút!K49+Sport!K51+Közművelődés!K82+Támogatás!K49</f>
        <v>0</v>
      </c>
      <c r="M49" s="160">
        <f>Igazgatás!L65+Községgazd!L57+Közút!L49+Sport!L51+Közművelődés!L82+Támogatás!L49</f>
        <v>1168695</v>
      </c>
      <c r="N49" s="74">
        <f>Igazgatás!M65+Községgazd!P57+Vagyongazd!M49+Közút!M49+Sport!M51+Közművelődés!O82+Támogatás!S49</f>
        <v>48468</v>
      </c>
      <c r="O49" s="13">
        <f>Igazgatás!N65+Községgazd!Q57+Vagyongazd!N49+Közút!N49+Sport!N51+Közművelődés!P82+Támogatás!T49</f>
        <v>9028</v>
      </c>
      <c r="P49" s="79">
        <f>Igazgatás!O65+Községgazd!R57+Vagyongazd!O49+Közút!O49+Sport!O51+Közművelődés!Q82+Támogatás!U49</f>
        <v>90605</v>
      </c>
      <c r="Q49" s="79">
        <f>Igazgatás!P65+Községgazd!S57+Vagyongazd!P49+Közút!P49+Sport!P51+Közművelődés!R82+Támogatás!V49</f>
        <v>120958</v>
      </c>
      <c r="R49" s="13">
        <f>Igazgatás!Q65+Községgazd!T57+Vagyongazd!Q49+Közút!Q49+Sport!Q51+Közművelődés!S82+Támogatás!W49</f>
        <v>68686</v>
      </c>
      <c r="S49" s="79">
        <f>Igazgatás!R65+Községgazd!U57+Vagyongazd!R49+Közút!R49+Sport!R51+Közművelődés!T82+Támogatás!X49</f>
        <v>35981</v>
      </c>
      <c r="T49" s="79">
        <f>Igazgatás!S65+Községgazd!V57+Vagyongazd!S49+Közút!S49+Sport!S51+Közművelődés!U82+Támogatás!Y49</f>
        <v>44568</v>
      </c>
      <c r="U49" s="45">
        <f>Igazgatás!T65+Községgazd!W57+Vagyongazd!T49+Közút!T49+Sport!T51+Közművelődés!V82+Támogatás!Z49</f>
        <v>34032</v>
      </c>
      <c r="V49" s="342">
        <f>Igazgatás!U65+Községgazd!X57+Vagyongazd!U49+Közút!U49+Sport!U51+Közművelődés!W82+Támogatás!AA49</f>
        <v>136020</v>
      </c>
      <c r="W49" s="79">
        <f>Igazgatás!V65+Községgazd!Y57+Vagyongazd!V49+Közút!V49+Sport!V51+Közművelődés!X82+Támogatás!AB49</f>
        <v>10597</v>
      </c>
      <c r="X49" s="79">
        <f>Igazgatás!W65+Községgazd!Z57+Vagyongazd!W49+Közút!W49+Sport!W51+Közművelődés!Y82+Támogatás!AC49</f>
        <v>270512</v>
      </c>
      <c r="Y49" s="45">
        <f>Igazgatás!X65+Községgazd!AA57+Vagyongazd!X49+Közút!X49+Sport!X51+Közművelődés!Z82+Támogatás!AD49</f>
        <v>299240</v>
      </c>
      <c r="AB49" s="180"/>
    </row>
    <row r="50" spans="1:28" x14ac:dyDescent="0.25">
      <c r="B50" s="88" t="s">
        <v>641</v>
      </c>
      <c r="C50" s="626" t="s">
        <v>192</v>
      </c>
      <c r="D50" s="627"/>
      <c r="E50" s="627"/>
      <c r="F50" s="158">
        <v>1162560</v>
      </c>
      <c r="G50" s="158">
        <v>1432560</v>
      </c>
      <c r="H50" s="158">
        <v>1425680</v>
      </c>
      <c r="I50" s="256">
        <v>1432560</v>
      </c>
      <c r="J50" s="256">
        <f>SUM(K50)</f>
        <v>1676802</v>
      </c>
      <c r="K50" s="158">
        <f>Igazgatás!J71+Községgazd!J60+Közút!J50+Sport!J52+Közművelődés!J85+Támogatás!J50</f>
        <v>1676802</v>
      </c>
      <c r="L50" s="158">
        <f>Igazgatás!K71+Községgazd!K60+Közút!K50+Sport!K52+Közművelődés!K85+Támogatás!K50</f>
        <v>0</v>
      </c>
      <c r="M50" s="158">
        <f>Igazgatás!L71+Községgazd!L60+Közút!L50+Sport!L52+Közművelődés!L85+Támogatás!L50</f>
        <v>1676802</v>
      </c>
      <c r="N50" s="90">
        <f>Igazgatás!M71+Községgazd!P60+Vagyongazd!M50+Közút!M50+Sport!M52+Közművelődés!O85+Támogatás!S50</f>
        <v>0</v>
      </c>
      <c r="O50" s="91">
        <f>Igazgatás!N71+Községgazd!Q60+Vagyongazd!N50+Közút!N50+Sport!N52+Közművelődés!P85+Támogatás!T50</f>
        <v>6880</v>
      </c>
      <c r="P50" s="94">
        <f>Igazgatás!O71+Községgazd!R60+Vagyongazd!O50+Közút!O50+Sport!O52+Közművelődés!Q85+Támogatás!U50</f>
        <v>38380</v>
      </c>
      <c r="Q50" s="94">
        <f>Igazgatás!P71+Községgazd!S60+Vagyongazd!P50+Közút!P50+Sport!P52+Közművelődés!R85+Támogatás!V50</f>
        <v>31659</v>
      </c>
      <c r="R50" s="91">
        <f>Igazgatás!Q71+Községgazd!T60+Vagyongazd!Q50+Közút!Q50+Sport!Q52+Közművelődés!S85+Támogatás!W50</f>
        <v>53508</v>
      </c>
      <c r="S50" s="94">
        <f>Igazgatás!R71+Községgazd!U60+Vagyongazd!R50+Közút!R50+Sport!R52+Közművelődés!T85+Támogatás!X50</f>
        <v>191872</v>
      </c>
      <c r="T50" s="94">
        <f>Igazgatás!S71+Községgazd!V60+Vagyongazd!S50+Közút!S50+Sport!S52+Közművelődés!U85+Támogatás!Y50</f>
        <v>886509</v>
      </c>
      <c r="U50" s="95">
        <f>Igazgatás!T71+Községgazd!W60+Vagyongazd!T50+Közút!T50+Sport!T52+Közművelődés!V85+Támogatás!Z50</f>
        <v>0</v>
      </c>
      <c r="V50" s="341">
        <f>Igazgatás!U71+Községgazd!X60+Vagyongazd!U50+Közút!U50+Sport!U52+Közművelődés!W85+Támogatás!AA50</f>
        <v>6880</v>
      </c>
      <c r="W50" s="94">
        <f>Igazgatás!V71+Községgazd!Y60+Vagyongazd!V50+Közút!V50+Sport!V52+Közművelődés!X85+Támogatás!AB50</f>
        <v>142085</v>
      </c>
      <c r="X50" s="94">
        <f>Igazgatás!W71+Községgazd!Z60+Vagyongazd!W50+Közút!W50+Sport!W52+Közművelődés!Y85+Támogatás!AC50</f>
        <v>294666</v>
      </c>
      <c r="Y50" s="95">
        <f>Igazgatás!X71+Községgazd!AA60+Vagyongazd!X50+Közút!X50+Sport!X52+Közművelődés!Z85+Támogatás!AD50</f>
        <v>24363</v>
      </c>
      <c r="AB50" s="180"/>
    </row>
    <row r="51" spans="1:28" s="41" customFormat="1" ht="15" hidden="1" customHeight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 t="e">
        <v>#REF!</v>
      </c>
      <c r="G51" s="342" t="e">
        <v>#REF!</v>
      </c>
      <c r="H51" s="342" t="e">
        <v>#REF!</v>
      </c>
      <c r="I51" s="342" t="e">
        <v>#REF!</v>
      </c>
      <c r="J51" s="342" t="e">
        <v>#REF!</v>
      </c>
      <c r="K51" s="239" t="e">
        <f>Igazgatás!J72+Községgazd!J61+Vagyongazd!#REF!+Közút!J51+Sport!J53+Közművelődés!J86+Támogatás!J51</f>
        <v>#REF!</v>
      </c>
      <c r="L51" s="148" t="e">
        <f>Igazgatás!K72+Községgazd!K61+Vagyongazd!#REF!+Közút!K51+Sport!K53+Közművelődés!K86+Támogatás!K51</f>
        <v>#REF!</v>
      </c>
      <c r="M51" s="160" t="e">
        <f>Igazgatás!L72+Községgazd!L61+Vagyongazd!#REF!+Közút!L51+Sport!L53+Közművelődés!L86+Támogatás!L51</f>
        <v>#REF!</v>
      </c>
      <c r="N51" s="74">
        <f>Igazgatás!M72+Községgazd!P61+Vagyongazd!M51+Közút!M51+Sport!M53+Közművelődés!O86+Támogatás!S51</f>
        <v>0</v>
      </c>
      <c r="O51" s="13">
        <f>Igazgatás!N72+Községgazd!Q61+Vagyongazd!N51+Közút!N51+Sport!N53+Közművelődés!P86+Támogatás!T51</f>
        <v>0</v>
      </c>
      <c r="P51" s="79">
        <f>Igazgatás!O72+Községgazd!R61+Vagyongazd!O51+Közút!O51+Sport!O53+Közművelődés!Q86+Támogatás!U51</f>
        <v>0</v>
      </c>
      <c r="Q51" s="79">
        <f>Igazgatás!P72+Községgazd!S61+Vagyongazd!P51+Közút!P51+Sport!P53+Közművelődés!R86+Támogatás!V51</f>
        <v>0</v>
      </c>
      <c r="R51" s="13">
        <f>Igazgatás!Q72+Községgazd!T61+Vagyongazd!Q51+Közút!Q51+Sport!Q53+Közművelődés!S86+Támogatás!W51</f>
        <v>0</v>
      </c>
      <c r="S51" s="79">
        <f>Igazgatás!R72+Községgazd!U61+Vagyongazd!R51+Közút!R51+Sport!R53+Közművelődés!T86+Támogatás!X51</f>
        <v>0</v>
      </c>
      <c r="T51" s="79">
        <f>Igazgatás!S72+Községgazd!V61+Vagyongazd!S51+Közút!S51+Sport!S53+Közművelődés!U86+Támogatás!Y51</f>
        <v>0</v>
      </c>
      <c r="U51" s="45">
        <f>Igazgatás!T72+Községgazd!W61+Vagyongazd!T51+Közút!T51+Sport!T53+Közművelődés!V86+Támogatás!Z51</f>
        <v>0</v>
      </c>
      <c r="V51" s="342">
        <f>Igazgatás!U72+Községgazd!X61+Vagyongazd!U51+Közút!U51+Sport!U53+Közművelődés!W86+Támogatás!AA51</f>
        <v>0</v>
      </c>
      <c r="W51" s="79">
        <f>Igazgatás!V72+Községgazd!Y61+Vagyongazd!V51+Közút!V51+Sport!V53+Közművelődés!X86+Támogatás!AB51</f>
        <v>0</v>
      </c>
      <c r="X51" s="79">
        <f>Igazgatás!W72+Községgazd!Z61+Vagyongazd!W51+Közút!W51+Sport!W53+Közművelődés!Y86+Támogatás!AC51</f>
        <v>0</v>
      </c>
      <c r="Y51" s="45">
        <f>Igazgatás!X72+Községgazd!AA61+Vagyongazd!X51+Közút!X51+Sport!X53+Közművelődés!Z86+Támogatás!AD51</f>
        <v>0</v>
      </c>
      <c r="AB51" s="180"/>
    </row>
    <row r="52" spans="1:28" s="41" customFormat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1162560</v>
      </c>
      <c r="G52" s="160">
        <v>1432560</v>
      </c>
      <c r="H52" s="160">
        <v>1425680</v>
      </c>
      <c r="I52" s="160">
        <v>1432560</v>
      </c>
      <c r="J52" s="160">
        <v>1676802</v>
      </c>
      <c r="K52" s="160">
        <f>Igazgatás!J73+Községgazd!J62+Közút!J52+Sport!J54+Közművelődés!J87+Támogatás!J52</f>
        <v>1676802</v>
      </c>
      <c r="L52" s="160">
        <f>Igazgatás!K73+Községgazd!K62+Közút!K52+Sport!K54+Közművelődés!K87+Támogatás!K52</f>
        <v>0</v>
      </c>
      <c r="M52" s="160">
        <f>Igazgatás!L73+Községgazd!L62+Közút!L52+Sport!L54+Közművelődés!L87+Támogatás!L52</f>
        <v>1676802</v>
      </c>
      <c r="N52" s="74">
        <f>Igazgatás!M73+Községgazd!P62+Vagyongazd!M52+Közút!M52+Sport!M54+Közművelődés!O87+Támogatás!S52</f>
        <v>0</v>
      </c>
      <c r="O52" s="13">
        <f>Igazgatás!N73+Községgazd!Q62+Vagyongazd!N52+Közút!N52+Sport!N54+Közművelődés!P87+Támogatás!T52</f>
        <v>6880</v>
      </c>
      <c r="P52" s="79">
        <f>Igazgatás!O73+Községgazd!R62+Vagyongazd!O52+Közút!O52+Sport!O54+Közművelődés!Q87+Támogatás!U52</f>
        <v>38380</v>
      </c>
      <c r="Q52" s="79">
        <f>Igazgatás!P73+Községgazd!S62+Vagyongazd!P52+Közút!P52+Sport!P54+Közművelődés!R87+Támogatás!V52</f>
        <v>31659</v>
      </c>
      <c r="R52" s="13">
        <f>Igazgatás!Q73+Községgazd!T62+Vagyongazd!Q52+Közút!Q52+Sport!Q54+Közművelődés!S87+Támogatás!W52</f>
        <v>53508</v>
      </c>
      <c r="S52" s="79">
        <f>Igazgatás!R73+Községgazd!U62+Vagyongazd!R52+Közút!R52+Sport!R54+Közművelődés!T87+Támogatás!X52</f>
        <v>191872</v>
      </c>
      <c r="T52" s="79">
        <f>Igazgatás!S73+Községgazd!V62+Vagyongazd!S52+Közút!S52+Sport!S54+Közművelődés!U87+Támogatás!Y52</f>
        <v>886509</v>
      </c>
      <c r="U52" s="45">
        <f>Igazgatás!T73+Községgazd!W62+Vagyongazd!T52+Közút!T52+Sport!T54+Közművelődés!V87+Támogatás!Z52</f>
        <v>0</v>
      </c>
      <c r="V52" s="342">
        <f>Igazgatás!U73+Községgazd!X62+Vagyongazd!U52+Közút!U52+Sport!U54+Közművelődés!W87+Támogatás!AA52</f>
        <v>6880</v>
      </c>
      <c r="W52" s="79">
        <f>Igazgatás!V73+Községgazd!Y62+Vagyongazd!V52+Közút!V52+Sport!V54+Közművelődés!X87+Támogatás!AB52</f>
        <v>142085</v>
      </c>
      <c r="X52" s="79">
        <f>Igazgatás!W73+Községgazd!Z62+Vagyongazd!W52+Közút!W52+Sport!W54+Közművelődés!Y87+Támogatás!AC52</f>
        <v>294666</v>
      </c>
      <c r="Y52" s="45">
        <f>Igazgatás!X73+Községgazd!AA62+Vagyongazd!X52+Közút!X52+Sport!X54+Közművelődés!Z87+Támogatás!AD52</f>
        <v>24363</v>
      </c>
      <c r="AB52" s="180"/>
    </row>
    <row r="53" spans="1:28" x14ac:dyDescent="0.25">
      <c r="B53" s="88" t="s">
        <v>644</v>
      </c>
      <c r="C53" s="626" t="s">
        <v>197</v>
      </c>
      <c r="D53" s="627"/>
      <c r="E53" s="627"/>
      <c r="F53" s="158">
        <v>2954987</v>
      </c>
      <c r="G53" s="158">
        <v>2954987</v>
      </c>
      <c r="H53" s="158">
        <v>2953804</v>
      </c>
      <c r="I53" s="256">
        <v>3088552</v>
      </c>
      <c r="J53" s="256">
        <f>J54+J56+J58</f>
        <v>3346037</v>
      </c>
      <c r="K53" s="158">
        <f>Igazgatás!J76+Községgazd!J63+Szennyvíz!I52+Közút!J53+Sport!J55+Közművelődés!J90+Támogatás!J53</f>
        <v>3454627</v>
      </c>
      <c r="L53" s="158">
        <f>Igazgatás!K76+Községgazd!K63+Szennyvíz!J52+Közút!K53+Sport!K55+Közművelődés!K90+Támogatás!K53</f>
        <v>0</v>
      </c>
      <c r="M53" s="158">
        <f>Igazgatás!L76+Községgazd!L63+Szennyvíz!K52+Közút!L53+Sport!L55+Közművelődés!L90+Támogatás!L53</f>
        <v>3454627</v>
      </c>
      <c r="N53" s="90">
        <f>Igazgatás!M76+Községgazd!P63+Vagyongazd!M53+Közút!M53+Sport!M55+Közművelődés!O90+Támogatás!S53</f>
        <v>46801</v>
      </c>
      <c r="O53" s="91">
        <f>Igazgatás!N76+Községgazd!Q63+Vagyongazd!N53+Szennyvíz!M52+Közút!N53+Sport!N55+Közművelődés!P90+Támogatás!T53</f>
        <v>37183</v>
      </c>
      <c r="P53" s="94">
        <f>Igazgatás!O76+Községgazd!R63+Vagyongazd!O53+Közút!O53+Sport!O55+Közművelődés!Q90+Támogatás!U53</f>
        <v>65590</v>
      </c>
      <c r="Q53" s="94">
        <f>Igazgatás!P76+Községgazd!S63+Vagyongazd!P53+Közút!P53+Sport!P55+Közművelődés!R90+Támogatás!V53</f>
        <v>196532</v>
      </c>
      <c r="R53" s="91">
        <f>Igazgatás!Q76+Községgazd!T63+Vagyongazd!Q53+Közút!Q53+Sport!Q55+Közművelődés!S90+Támogatás!W53</f>
        <v>68472</v>
      </c>
      <c r="S53" s="94">
        <f>Igazgatás!R76+Községgazd!U63+Vagyongazd!R53+Közút!R53+Sport!R55+Közművelődés!T90+Támogatás!X53</f>
        <v>407087</v>
      </c>
      <c r="T53" s="94">
        <f>Igazgatás!S76+Községgazd!V63+Vagyongazd!S53+Közút!S53+Sport!S55+Közművelődés!U90+Támogatás!Y53</f>
        <v>239548</v>
      </c>
      <c r="U53" s="95">
        <f>Igazgatás!T76+Községgazd!W63+Vagyongazd!T53+Közút!T53+Sport!T55+Közművelődés!V90+Támogatás!Z53</f>
        <v>156278</v>
      </c>
      <c r="V53" s="341">
        <f>Igazgatás!U76+Községgazd!X63+Vagyongazd!U53+Közút!U53+Sport!U55+Közművelődés!W90+Támogatás!AA53</f>
        <v>189192</v>
      </c>
      <c r="W53" s="94">
        <f>Igazgatás!V76+Községgazd!Y63+Vagyongazd!V53+Közút!V53+Sport!V55+Közművelődés!X90+Támogatás!AB53</f>
        <v>525315</v>
      </c>
      <c r="X53" s="94">
        <f>Igazgatás!W76+Községgazd!Z63+Vagyongazd!W53+Közút!W53+Sport!W55+Közművelődés!Y90+Támogatás!AC53</f>
        <v>1133544</v>
      </c>
      <c r="Y53" s="95">
        <f>Igazgatás!X76+Községgazd!AA63+Vagyongazd!X53+Közút!X53+Sport!X55+Közművelődés!Z90+Támogatás!AD53</f>
        <v>389085</v>
      </c>
      <c r="AB53" s="180"/>
    </row>
    <row r="54" spans="1:28" s="41" customFormat="1" x14ac:dyDescent="0.25">
      <c r="A54" s="118" t="s">
        <v>198</v>
      </c>
      <c r="B54" s="53" t="s">
        <v>645</v>
      </c>
      <c r="C54" s="628" t="s">
        <v>876</v>
      </c>
      <c r="D54" s="629"/>
      <c r="E54" s="629"/>
      <c r="F54" s="160">
        <v>1950987</v>
      </c>
      <c r="G54" s="160">
        <v>1950987</v>
      </c>
      <c r="H54" s="160">
        <v>1950396</v>
      </c>
      <c r="I54" s="160">
        <v>2085144</v>
      </c>
      <c r="J54" s="160">
        <v>2338037</v>
      </c>
      <c r="K54" s="160">
        <f>Igazgatás!J77+Községgazd!J64+Szennyvíz!I53+Közút!J54+Sport!J56+Közművelődés!J91+Támogatás!J54</f>
        <v>2446627</v>
      </c>
      <c r="L54" s="160">
        <f>Igazgatás!K77+Községgazd!K64+Szennyvíz!J53+Közút!K54+Sport!K56+Közművelődés!K91+Támogatás!K54</f>
        <v>0</v>
      </c>
      <c r="M54" s="160">
        <f>Igazgatás!L77+Községgazd!L64+Szennyvíz!K53+Közút!L54+Sport!L56+Közművelődés!L91+Támogatás!L54+Vagyongazd!L54</f>
        <v>2446627</v>
      </c>
      <c r="N54" s="74">
        <f>Igazgatás!M77+Községgazd!P64+Vagyongazd!M54+Közút!M54+Sport!M56+Közművelődés!O91+Támogatás!S54</f>
        <v>46801</v>
      </c>
      <c r="O54" s="13">
        <f>Igazgatás!N77+Községgazd!Q64+Vagyongazd!N54+Szennyvíz!M53+Közút!N54+Sport!N56+Közművelődés!P91+Támogatás!T54</f>
        <v>37188</v>
      </c>
      <c r="P54" s="79">
        <f>Igazgatás!O77+Községgazd!R64+Vagyongazd!O54+Közút!O54+Sport!O56+Közművelődés!Q91+Támogatás!U54</f>
        <v>65587</v>
      </c>
      <c r="Q54" s="79">
        <f>Igazgatás!P77+Községgazd!S64+Vagyongazd!P54+Közút!P54+Sport!P56+Közművelődés!R91+Támogatás!V54</f>
        <v>196528</v>
      </c>
      <c r="R54" s="13">
        <f>Igazgatás!Q77+Községgazd!T64+Vagyongazd!Q54+Közút!Q54+Sport!Q56+Közművelődés!S91+Támogatás!W54</f>
        <v>68475</v>
      </c>
      <c r="S54" s="79">
        <f>Igazgatás!R77+Községgazd!U64+Vagyongazd!R54+Közút!R54+Sport!R56+Közművelődés!T91+Támogatás!X54</f>
        <v>367822</v>
      </c>
      <c r="T54" s="79">
        <f>Igazgatás!S77+Községgazd!V64+Vagyongazd!S54+Közút!S54+Sport!S56+Közművelődés!U91+Támogatás!Y54</f>
        <v>207355</v>
      </c>
      <c r="U54" s="45">
        <f>Igazgatás!T77+Községgazd!W64+Vagyongazd!T54+Közút!T54+Sport!T56+Közművelődés!V91+Támogatás!Z54</f>
        <v>51958</v>
      </c>
      <c r="V54" s="342">
        <f>Igazgatás!U77+Községgazd!X64+Vagyongazd!U54+Közút!U54+Sport!U56+Közművelődés!W91+Támogatás!AA54</f>
        <v>131543</v>
      </c>
      <c r="W54" s="79">
        <f>Igazgatás!V77+Községgazd!Y64+Vagyongazd!V54+Közút!V54+Sport!V56+Közművelődés!X91+Támogatás!AB54</f>
        <v>231513</v>
      </c>
      <c r="X54" s="79">
        <f>Igazgatás!W77+Községgazd!Z64+Vagyongazd!W54+Közút!W54+Sport!W56+Közművelődés!Y91+Támogatás!AC54</f>
        <v>750725</v>
      </c>
      <c r="Y54" s="45">
        <f>Igazgatás!X77+Községgazd!AA64+Vagyongazd!X54+Közút!X54+Sport!X56+Közművelődés!Z91+Támogatás!AD54</f>
        <v>291132</v>
      </c>
      <c r="AB54" s="180"/>
    </row>
    <row r="55" spans="1:28" s="41" customFormat="1" ht="15" hidden="1" customHeight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f>Igazgatás!J80+Községgazd!J68+Közút!J55+Sport!J57+Közművelődés!J94+Támogatás!J55</f>
        <v>0</v>
      </c>
      <c r="L55" s="160">
        <f>Igazgatás!K80+Községgazd!K68+Közút!K55+Sport!K57+Közművelődés!K94+Támogatás!K55</f>
        <v>0</v>
      </c>
      <c r="M55" s="160">
        <f>Igazgatás!L80+Községgazd!L68+Közút!L55+Sport!L57+Közművelődés!L94+Támogatás!L55</f>
        <v>0</v>
      </c>
      <c r="N55" s="74">
        <f>Igazgatás!M80+Községgazd!P68+Vagyongazd!M55+Közút!M55+Sport!M57+Közművelődés!O94+Támogatás!S55</f>
        <v>0</v>
      </c>
      <c r="O55" s="13">
        <f>Igazgatás!N80+Községgazd!Q68+Vagyongazd!N55+Közút!N55+Sport!N57+Közművelődés!P94+Támogatás!T55</f>
        <v>0</v>
      </c>
      <c r="P55" s="79">
        <f>Igazgatás!O80+Községgazd!R68+Vagyongazd!O55+Közút!O55+Sport!O57+Közművelődés!Q94+Támogatás!U55</f>
        <v>0</v>
      </c>
      <c r="Q55" s="79">
        <f>Igazgatás!P80+Községgazd!S68+Vagyongazd!P55+Közút!P55+Sport!P57+Közművelődés!R94+Támogatás!V55</f>
        <v>0</v>
      </c>
      <c r="R55" s="13">
        <f>Igazgatás!Q80+Községgazd!T68+Vagyongazd!Q55+Közút!Q55+Sport!Q57+Közművelődés!S94+Támogatás!W55</f>
        <v>0</v>
      </c>
      <c r="S55" s="79">
        <f>Igazgatás!R80+Községgazd!U68+Vagyongazd!R55+Közút!R55+Sport!R57+Közművelődés!T94+Támogatás!X55</f>
        <v>0</v>
      </c>
      <c r="T55" s="79">
        <f>Igazgatás!S80+Községgazd!V68+Vagyongazd!S55+Közút!S55+Sport!S57+Közművelődés!U94+Támogatás!Y55</f>
        <v>0</v>
      </c>
      <c r="U55" s="45">
        <f>Igazgatás!T80+Községgazd!W68+Vagyongazd!T55+Közút!T55+Sport!T57+Közművelődés!V94+Támogatás!Z55</f>
        <v>0</v>
      </c>
      <c r="V55" s="342">
        <f>Igazgatás!U80+Községgazd!X68+Vagyongazd!U55+Közút!U55+Sport!U57+Közművelődés!W94+Támogatás!AA55</f>
        <v>0</v>
      </c>
      <c r="W55" s="79">
        <f>Igazgatás!V80+Községgazd!Y68+Vagyongazd!V55+Közút!V55+Sport!V57+Közművelődés!X94+Támogatás!AB55</f>
        <v>0</v>
      </c>
      <c r="X55" s="79">
        <f>Igazgatás!W80+Községgazd!Z68+Vagyongazd!W55+Közút!W55+Sport!W57+Közművelődés!Y94+Támogatás!AC55</f>
        <v>0</v>
      </c>
      <c r="Y55" s="45">
        <f>Igazgatás!X80+Községgazd!AA68+Vagyongazd!X55+Közút!X55+Sport!X57+Közművelődés!Z94+Támogatás!AD55</f>
        <v>0</v>
      </c>
      <c r="AB55" s="180"/>
    </row>
    <row r="56" spans="1:28" s="41" customFormat="1" ht="15" customHeight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1000000</v>
      </c>
      <c r="G56" s="160">
        <v>1000000</v>
      </c>
      <c r="H56" s="160">
        <v>1000000</v>
      </c>
      <c r="I56" s="160">
        <v>1000000</v>
      </c>
      <c r="J56" s="160">
        <v>1000000</v>
      </c>
      <c r="K56" s="160">
        <f>Igazgatás!J81+Községgazd!J69+Közút!J56+Sport!J58+Közművelődés!J95+Támogatás!J56</f>
        <v>1000000</v>
      </c>
      <c r="L56" s="160">
        <f>Igazgatás!K81+Községgazd!K69+Közút!K56+Sport!K58+Közművelődés!K95+Támogatás!K56</f>
        <v>0</v>
      </c>
      <c r="M56" s="160">
        <f>Igazgatás!L81+Községgazd!L69+Közút!L56+Sport!L58+Közművelődés!L95+Támogatás!L56</f>
        <v>1000000</v>
      </c>
      <c r="N56" s="74">
        <f>Igazgatás!M81+Községgazd!P69+Vagyongazd!M56+Közút!M56+Sport!M58+Közművelődés!O95+Támogatás!S56</f>
        <v>0</v>
      </c>
      <c r="O56" s="13">
        <f>Igazgatás!N81+Községgazd!Q69+Vagyongazd!N56+Közút!N56+Sport!N58+Közművelődés!P95+Támogatás!T56</f>
        <v>0</v>
      </c>
      <c r="P56" s="79">
        <f>Igazgatás!O81+Községgazd!R69+Vagyongazd!O56+Közút!O56+Sport!O58+Közművelődés!Q95+Támogatás!U56</f>
        <v>0</v>
      </c>
      <c r="Q56" s="79">
        <f>Igazgatás!P81+Községgazd!S69+Vagyongazd!P56+Közút!P56+Sport!P58+Közművelődés!R95+Támogatás!V56</f>
        <v>0</v>
      </c>
      <c r="R56" s="13">
        <f>Igazgatás!Q81+Községgazd!T69+Vagyongazd!Q56+Közút!Q56+Sport!Q58+Közművelődés!S95+Támogatás!W56</f>
        <v>0</v>
      </c>
      <c r="S56" s="79">
        <f>Igazgatás!R81+Községgazd!U69+Vagyongazd!R56+Közút!R56+Sport!R58+Közművelődés!T95+Támogatás!X56</f>
        <v>39268</v>
      </c>
      <c r="T56" s="79">
        <f>Igazgatás!S81+Községgazd!V69+Vagyongazd!S56+Közút!S56+Sport!S58+Közművelődés!U95+Támogatás!Y56</f>
        <v>31235</v>
      </c>
      <c r="U56" s="45">
        <f>Igazgatás!T81+Községgazd!W69+Vagyongazd!T56+Közút!T56+Sport!T58+Közművelődés!V95+Támogatás!Z56</f>
        <v>104322</v>
      </c>
      <c r="V56" s="342">
        <f>Igazgatás!U81+Községgazd!X69+Vagyongazd!U56+Közút!U56+Sport!U58+Közművelődés!W95+Támogatás!AA56</f>
        <v>57649</v>
      </c>
      <c r="W56" s="79">
        <f>Igazgatás!V81+Községgazd!Y69+Vagyongazd!V56+Közút!V56+Sport!V58+Közművelődés!X95+Támogatás!AB56</f>
        <v>293802</v>
      </c>
      <c r="X56" s="79">
        <f>Igazgatás!W81+Községgazd!Z69+Vagyongazd!W56+Közút!W56+Sport!W58+Közművelődés!Y95+Támogatás!AC56</f>
        <v>382815</v>
      </c>
      <c r="Y56" s="45">
        <f>Igazgatás!X81+Községgazd!AA69+Vagyongazd!X56+Közút!X56+Sport!X58+Közművelődés!Z95+Támogatás!AD56</f>
        <v>90909</v>
      </c>
      <c r="AB56" s="180"/>
    </row>
    <row r="57" spans="1:28" s="41" customFormat="1" ht="15" hidden="1" customHeight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f>Igazgatás!J82+Községgazd!J70+Közút!J57+Sport!J59+Közművelődés!J96+Támogatás!J57</f>
        <v>0</v>
      </c>
      <c r="L57" s="160">
        <f>Igazgatás!K82+Községgazd!K70+Közút!K57+Sport!K59+Közművelődés!K96+Támogatás!K57</f>
        <v>0</v>
      </c>
      <c r="M57" s="160">
        <f>Igazgatás!L82+Községgazd!L70+Közút!L57+Sport!L59+Közművelődés!L96+Támogatás!L57</f>
        <v>0</v>
      </c>
      <c r="N57" s="74">
        <f>Igazgatás!M82+Községgazd!P70+Vagyongazd!M57+Közút!M57+Sport!M59+Közművelődés!O96+Támogatás!S57</f>
        <v>0</v>
      </c>
      <c r="O57" s="13">
        <f>Igazgatás!N82+Községgazd!Q70+Vagyongazd!N57+Közút!N57+Sport!N59+Közművelődés!P96+Támogatás!T57</f>
        <v>0</v>
      </c>
      <c r="P57" s="79">
        <f>Igazgatás!O82+Községgazd!R70+Vagyongazd!O57+Közút!O57+Sport!O59+Közművelődés!Q96+Támogatás!U57</f>
        <v>0</v>
      </c>
      <c r="Q57" s="79">
        <f>Igazgatás!P82+Községgazd!S70+Vagyongazd!P57+Közút!P57+Sport!P59+Közművelődés!R96+Támogatás!V57</f>
        <v>0</v>
      </c>
      <c r="R57" s="13">
        <f>Igazgatás!Q82+Községgazd!T70+Vagyongazd!Q57+Közút!Q57+Sport!Q59+Közművelődés!S96+Támogatás!W57</f>
        <v>0</v>
      </c>
      <c r="S57" s="79">
        <f>Igazgatás!R82+Községgazd!U70+Vagyongazd!R57+Közút!R57+Sport!R59+Közművelődés!T96+Támogatás!X57</f>
        <v>0</v>
      </c>
      <c r="T57" s="79">
        <f>Igazgatás!S82+Községgazd!V70+Vagyongazd!S57+Közút!S57+Sport!S59+Közművelődés!U96+Támogatás!Y57</f>
        <v>0</v>
      </c>
      <c r="U57" s="45">
        <f>Igazgatás!T82+Községgazd!W70+Vagyongazd!T57+Közút!T57+Sport!T59+Közművelődés!V96+Támogatás!Z57</f>
        <v>0</v>
      </c>
      <c r="V57" s="342">
        <f>Igazgatás!U82+Községgazd!X70+Vagyongazd!U57+Közút!U57+Sport!U59+Közművelődés!W96+Támogatás!AA57</f>
        <v>0</v>
      </c>
      <c r="W57" s="79">
        <f>Igazgatás!V82+Községgazd!Y70+Vagyongazd!V57+Közút!V57+Sport!V59+Közművelődés!X96+Támogatás!AB57</f>
        <v>0</v>
      </c>
      <c r="X57" s="79">
        <f>Igazgatás!W82+Községgazd!Z70+Vagyongazd!W57+Közút!W57+Sport!W59+Közművelődés!Y96+Támogatás!AC57</f>
        <v>0</v>
      </c>
      <c r="Y57" s="45">
        <f>Igazgatás!X82+Községgazd!AA70+Vagyongazd!X57+Közút!X57+Sport!X59+Közművelődés!Z96+Támogatás!AD57</f>
        <v>0</v>
      </c>
      <c r="AB57" s="180"/>
    </row>
    <row r="58" spans="1:28" s="41" customFormat="1" ht="15.75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4000</v>
      </c>
      <c r="G58" s="160">
        <v>4000</v>
      </c>
      <c r="H58" s="160">
        <v>4002</v>
      </c>
      <c r="I58" s="160">
        <v>4002</v>
      </c>
      <c r="J58" s="160">
        <v>8000</v>
      </c>
      <c r="K58" s="160">
        <f>Igazgatás!J83+Községgazd!J71+Közút!J58+Sport!J60+Közművelődés!J97+Támogatás!J58</f>
        <v>8000</v>
      </c>
      <c r="L58" s="160">
        <f>Igazgatás!K83+Községgazd!K71+Közút!K58+Sport!K60+Közművelődés!K97+Támogatás!K58</f>
        <v>0</v>
      </c>
      <c r="M58" s="160">
        <f>Igazgatás!L83+Községgazd!L71+Közút!L58+Sport!L60+Közművelődés!L97+Támogatás!L58</f>
        <v>8000</v>
      </c>
      <c r="N58" s="74">
        <f>Igazgatás!M83+Községgazd!P71+Vagyongazd!M58+Közút!M58+Sport!M60+Közművelődés!O97+Támogatás!S58</f>
        <v>0</v>
      </c>
      <c r="O58" s="13">
        <f>Igazgatás!N83+Községgazd!Q71+Vagyongazd!N58+Közút!N58+Sport!N60+Közművelődés!P97+Támogatás!T58</f>
        <v>-5</v>
      </c>
      <c r="P58" s="79">
        <f>Igazgatás!O83+Községgazd!R71+Vagyongazd!O58+Közút!O58+Sport!O60+Közművelődés!Q97+Támogatás!U58</f>
        <v>3</v>
      </c>
      <c r="Q58" s="79">
        <f>Igazgatás!P83+Községgazd!S71+Vagyongazd!P58+Közút!P58+Sport!P60+Közművelődés!R97+Támogatás!V58</f>
        <v>4</v>
      </c>
      <c r="R58" s="13">
        <f>Igazgatás!Q83+Községgazd!T71+Vagyongazd!Q58+Közút!Q58+Sport!Q60+Közművelődés!S97+Támogatás!W58</f>
        <v>-3</v>
      </c>
      <c r="S58" s="79">
        <f>Igazgatás!R83+Községgazd!U71+Vagyongazd!R58+Közút!R58+Sport!R60+Közművelődés!T97+Támogatás!X58</f>
        <v>-3</v>
      </c>
      <c r="T58" s="79">
        <f>Igazgatás!S83+Községgazd!V71+Vagyongazd!S58+Közút!S58+Sport!S60+Közművelődés!U97+Támogatás!Y58</f>
        <v>958</v>
      </c>
      <c r="U58" s="45">
        <f>Igazgatás!T83+Községgazd!W71+Vagyongazd!T58+Közút!T58+Sport!T60+Közművelődés!V97+Támogatás!Z58</f>
        <v>-2</v>
      </c>
      <c r="V58" s="342">
        <f>Igazgatás!U83+Községgazd!X71+Vagyongazd!U58+Közút!U58+Sport!U60+Közművelődés!W97+Támogatás!AA58</f>
        <v>0</v>
      </c>
      <c r="W58" s="79">
        <f>Igazgatás!V83+Községgazd!Y71+Vagyongazd!V58+Közút!V58+Sport!V60+Közművelődés!X97+Támogatás!AB58</f>
        <v>0</v>
      </c>
      <c r="X58" s="79">
        <f>Igazgatás!W83+Községgazd!Z71+Vagyongazd!W58+Közút!W58+Sport!W60+Közművelődés!Y97+Támogatás!AC58</f>
        <v>4</v>
      </c>
      <c r="Y58" s="45">
        <f>Igazgatás!X83+Községgazd!AA71+Vagyongazd!X58+Közút!X58+Sport!X60+Közművelődés!Z97+Támogatás!AD58</f>
        <v>7044</v>
      </c>
      <c r="AB58" s="180"/>
    </row>
    <row r="59" spans="1:28" ht="15.75" thickBot="1" x14ac:dyDescent="0.3">
      <c r="B59" s="81" t="s">
        <v>207</v>
      </c>
      <c r="C59" s="632" t="s">
        <v>208</v>
      </c>
      <c r="D59" s="633"/>
      <c r="E59" s="633"/>
      <c r="F59" s="156">
        <v>1800000</v>
      </c>
      <c r="G59" s="156">
        <v>1800000</v>
      </c>
      <c r="H59" s="156">
        <v>1794970</v>
      </c>
      <c r="I59" s="571">
        <v>1794970</v>
      </c>
      <c r="J59" s="571">
        <f>J65+J66+J70</f>
        <v>1934970</v>
      </c>
      <c r="K59" s="156">
        <f>Igazgatás!J84+Községgazd!J74+Szennyvíz!I58+Közút!J59+Sport!J61+Közművelődés!J100+Támogatás!J59</f>
        <v>2034970</v>
      </c>
      <c r="L59" s="156">
        <f>Igazgatás!K84+Községgazd!K74+Szennyvíz!J58+Közút!K59+Sport!K61+Közművelődés!K100+Támogatás!K59</f>
        <v>0</v>
      </c>
      <c r="M59" s="156">
        <f>Igazgatás!L84+Községgazd!L74+Szennyvíz!K58+Közút!L59+Sport!L61+Közművelődés!L100+Támogatás!L59</f>
        <v>2034970</v>
      </c>
      <c r="N59" s="82">
        <f>Igazgatás!M84+Községgazd!P74+Vagyongazd!M59+Közút!M59+Sport!M61+Közművelődés!O100+Támogatás!S59</f>
        <v>46000</v>
      </c>
      <c r="O59" s="83">
        <f>Igazgatás!N84+Községgazd!Q74+Vagyongazd!N59+Közút!N59+Sport!N61+Közművelődés!P100+Támogatás!T59</f>
        <v>92000</v>
      </c>
      <c r="P59" s="86">
        <f>Igazgatás!O84+Községgazd!R74+Vagyongazd!O59+Közút!O59+Sport!O61+Közművelődés!Q100+Támogatás!U59</f>
        <v>63000</v>
      </c>
      <c r="Q59" s="86">
        <f>Igazgatás!P84+Községgazd!S74+Vagyongazd!P59+Közút!P59+Sport!P61+Közművelődés!R100+Támogatás!V59</f>
        <v>73000</v>
      </c>
      <c r="R59" s="83">
        <f>Igazgatás!Q84+Községgazd!T74+Vagyongazd!Q59+Közút!Q59+Sport!Q61+Közművelődés!S100+Támogatás!W59</f>
        <v>78000</v>
      </c>
      <c r="S59" s="86">
        <f>Igazgatás!R84+Községgazd!U74+Vagyongazd!R59+Közút!R59+Sport!R61+Közművelődés!T100+Támogatás!X59</f>
        <v>92000</v>
      </c>
      <c r="T59" s="86">
        <f>Igazgatás!S84+Községgazd!V74+Vagyongazd!S59+Közút!S59+Sport!S61+Közművelődés!U100+Támogatás!Y59</f>
        <v>85000</v>
      </c>
      <c r="U59" s="87">
        <f>Igazgatás!T84+Községgazd!W74+Vagyongazd!T59+Közút!T59+Sport!T61+Közművelődés!V100+Támogatás!Z59</f>
        <v>79000</v>
      </c>
      <c r="V59" s="338">
        <f>Igazgatás!U84+Községgazd!X74+Vagyongazd!U59+Közút!U59+Sport!U61+Közművelődés!W100+Támogatás!AA59</f>
        <v>137000</v>
      </c>
      <c r="W59" s="86">
        <f>Igazgatás!V84+Községgazd!Y74+Vagyongazd!V59+Közút!V59+Sport!V61+Közművelődés!X100+Támogatás!AB59</f>
        <v>164575</v>
      </c>
      <c r="X59" s="86">
        <f>Igazgatás!W84+Községgazd!Z74+Vagyongazd!W59+Közút!W59+Sport!W61+Közművelődés!Y100+Támogatás!AC59</f>
        <v>93000</v>
      </c>
      <c r="Y59" s="87">
        <f>Igazgatás!X84+Községgazd!AA74+Vagyongazd!X59+Közút!X59+Sport!X61+Közművelődés!Z100+Támogatás!AD59</f>
        <v>1032395</v>
      </c>
      <c r="AB59" s="180"/>
    </row>
    <row r="60" spans="1:28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 t="e">
        <v>#REF!</v>
      </c>
      <c r="G60" s="158" t="e">
        <v>#REF!</v>
      </c>
      <c r="H60" s="158" t="e">
        <v>#REF!</v>
      </c>
      <c r="I60" s="256" t="e">
        <v>#REF!</v>
      </c>
      <c r="J60" s="256" t="e">
        <v>#REF!</v>
      </c>
      <c r="K60" s="158" t="e">
        <f>Igazgatás!J85+Községgazd!J75+Vagyongazd!#REF!+Közút!J60+Sport!J62+Közművelődés!J101+Támogatás!J60</f>
        <v>#REF!</v>
      </c>
      <c r="L60" s="158" t="e">
        <f>Igazgatás!K85+Községgazd!K75+Vagyongazd!#REF!+Közút!K60+Sport!K62+Közművelődés!K101+Támogatás!K60</f>
        <v>#REF!</v>
      </c>
      <c r="M60" s="158" t="e">
        <f>Igazgatás!L85+Községgazd!L75+Vagyongazd!#REF!+Közút!L60+Sport!L62+Közművelődés!L101+Támogatás!L60</f>
        <v>#REF!</v>
      </c>
      <c r="N60" s="90">
        <f>Igazgatás!M85+Községgazd!P75+Vagyongazd!M60+Közút!M60+Sport!M62+Közművelődés!O101+Támogatás!S60</f>
        <v>0</v>
      </c>
      <c r="O60" s="91">
        <f>Igazgatás!N85+Községgazd!Q75+Vagyongazd!N60+Közút!N60+Sport!N62+Közművelődés!P101+Támogatás!T60</f>
        <v>0</v>
      </c>
      <c r="P60" s="94">
        <f>Igazgatás!O85+Községgazd!R75+Vagyongazd!O60+Közút!O60+Sport!O62+Közművelődés!Q101+Támogatás!U60</f>
        <v>0</v>
      </c>
      <c r="Q60" s="94">
        <f>Igazgatás!P85+Községgazd!S75+Vagyongazd!P60+Közút!P60+Sport!P62+Közművelődés!R101+Támogatás!V60</f>
        <v>0</v>
      </c>
      <c r="R60" s="91">
        <f>Igazgatás!Q85+Községgazd!T75+Vagyongazd!Q60+Közút!Q60+Sport!Q62+Közművelődés!S101+Támogatás!W60</f>
        <v>0</v>
      </c>
      <c r="S60" s="94">
        <f>Igazgatás!R85+Községgazd!U75+Vagyongazd!R60+Közút!R60+Sport!R62+Közművelődés!T101+Támogatás!X60</f>
        <v>0</v>
      </c>
      <c r="T60" s="94">
        <f>Igazgatás!S85+Községgazd!V75+Vagyongazd!S60+Közút!S60+Sport!S62+Közművelődés!U101+Támogatás!Y60</f>
        <v>0</v>
      </c>
      <c r="U60" s="95">
        <f>Igazgatás!T85+Községgazd!W75+Vagyongazd!T60+Közút!T60+Sport!T62+Közművelődés!V101+Támogatás!Z60</f>
        <v>0</v>
      </c>
      <c r="V60" s="341">
        <f>Igazgatás!U85+Községgazd!X75+Vagyongazd!U60+Közút!U60+Sport!U62+Közművelődés!W101+Támogatás!AA60</f>
        <v>0</v>
      </c>
      <c r="W60" s="94">
        <f>Igazgatás!V85+Községgazd!Y75+Vagyongazd!V60+Közút!V60+Sport!V62+Közművelődés!X101+Támogatás!AB60</f>
        <v>0</v>
      </c>
      <c r="X60" s="94">
        <f>Igazgatás!W85+Községgazd!Z75+Vagyongazd!W60+Közút!W60+Sport!W62+Közművelődés!Y101+Támogatás!AC60</f>
        <v>0</v>
      </c>
      <c r="Y60" s="95">
        <f>Igazgatás!X85+Községgazd!AA75+Vagyongazd!X60+Közút!X60+Sport!X62+Közművelődés!Z101+Támogatás!AD60</f>
        <v>0</v>
      </c>
      <c r="AB60" s="180"/>
    </row>
    <row r="61" spans="1:28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 t="e">
        <v>#REF!</v>
      </c>
      <c r="G61" s="158" t="e">
        <v>#REF!</v>
      </c>
      <c r="H61" s="158" t="e">
        <v>#REF!</v>
      </c>
      <c r="I61" s="256" t="e">
        <v>#REF!</v>
      </c>
      <c r="J61" s="256" t="e">
        <v>#REF!</v>
      </c>
      <c r="K61" s="158" t="e">
        <f>Igazgatás!J86+Községgazd!J76+Vagyongazd!#REF!+Közút!J61+Sport!J63+Közművelődés!J102+Támogatás!J61</f>
        <v>#REF!</v>
      </c>
      <c r="L61" s="158" t="e">
        <f>Igazgatás!K86+Községgazd!K76+Vagyongazd!#REF!+Közút!K61+Sport!K63+Közművelődés!K102+Támogatás!K61</f>
        <v>#REF!</v>
      </c>
      <c r="M61" s="158" t="e">
        <f>Igazgatás!L86+Községgazd!L76+Vagyongazd!#REF!+Közút!L61+Sport!L63+Közművelődés!L102+Támogatás!L61</f>
        <v>#REF!</v>
      </c>
      <c r="N61" s="90">
        <f>Igazgatás!M86+Községgazd!P76+Vagyongazd!M61+Közút!M61+Sport!M63+Közművelődés!O102+Támogatás!S61</f>
        <v>0</v>
      </c>
      <c r="O61" s="91">
        <f>Igazgatás!N86+Községgazd!Q76+Vagyongazd!N61+Közút!N61+Sport!N63+Közművelődés!P102+Támogatás!T61</f>
        <v>0</v>
      </c>
      <c r="P61" s="94">
        <f>Igazgatás!O86+Községgazd!R76+Vagyongazd!O61+Közút!O61+Sport!O63+Közművelődés!Q102+Támogatás!U61</f>
        <v>0</v>
      </c>
      <c r="Q61" s="94">
        <f>Igazgatás!P86+Községgazd!S76+Vagyongazd!P61+Közút!P61+Sport!P63+Közművelődés!R102+Támogatás!V61</f>
        <v>0</v>
      </c>
      <c r="R61" s="91">
        <f>Igazgatás!Q86+Községgazd!T76+Vagyongazd!Q61+Közút!Q61+Sport!Q63+Közművelődés!S102+Támogatás!W61</f>
        <v>0</v>
      </c>
      <c r="S61" s="94">
        <f>Igazgatás!R86+Községgazd!U76+Vagyongazd!R61+Közút!R61+Sport!R63+Közművelődés!T102+Támogatás!X61</f>
        <v>0</v>
      </c>
      <c r="T61" s="94">
        <f>Igazgatás!S86+Községgazd!V76+Vagyongazd!S61+Közút!S61+Sport!S63+Közművelődés!U102+Támogatás!Y61</f>
        <v>0</v>
      </c>
      <c r="U61" s="95">
        <f>Igazgatás!T86+Községgazd!W76+Vagyongazd!T61+Közút!T61+Sport!T63+Közművelődés!V102+Támogatás!Z61</f>
        <v>0</v>
      </c>
      <c r="V61" s="341">
        <f>Igazgatás!U86+Községgazd!X76+Vagyongazd!U61+Közút!U61+Sport!U63+Közművelődés!W102+Támogatás!AA61</f>
        <v>0</v>
      </c>
      <c r="W61" s="94">
        <f>Igazgatás!V86+Községgazd!Y76+Vagyongazd!V61+Közút!V61+Sport!V63+Közművelődés!X102+Támogatás!AB61</f>
        <v>0</v>
      </c>
      <c r="X61" s="94">
        <f>Igazgatás!W86+Községgazd!Z76+Vagyongazd!W61+Közút!W61+Sport!W63+Közművelődés!Y102+Támogatás!AC61</f>
        <v>0</v>
      </c>
      <c r="Y61" s="95">
        <f>Igazgatás!X86+Községgazd!AA76+Vagyongazd!X61+Közút!X61+Sport!X63+Közművelődés!Z102+Támogatás!AD61</f>
        <v>0</v>
      </c>
      <c r="AB61" s="180"/>
    </row>
    <row r="62" spans="1:28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 t="e">
        <v>#REF!</v>
      </c>
      <c r="G62" s="158" t="e">
        <v>#REF!</v>
      </c>
      <c r="H62" s="158" t="e">
        <v>#REF!</v>
      </c>
      <c r="I62" s="256" t="e">
        <v>#REF!</v>
      </c>
      <c r="J62" s="256" t="e">
        <v>#REF!</v>
      </c>
      <c r="K62" s="158" t="e">
        <f>Igazgatás!J87+Községgazd!J77+Vagyongazd!#REF!+Közút!J62+Sport!J64+Közművelődés!J103+Támogatás!J62</f>
        <v>#REF!</v>
      </c>
      <c r="L62" s="158" t="e">
        <f>Igazgatás!K87+Községgazd!K77+Vagyongazd!#REF!+Közút!K62+Sport!K64+Közművelődés!K103+Támogatás!K62</f>
        <v>#REF!</v>
      </c>
      <c r="M62" s="158" t="e">
        <f>Igazgatás!L87+Községgazd!L77+Vagyongazd!#REF!+Közút!L62+Sport!L64+Közművelődés!L103+Támogatás!L62</f>
        <v>#REF!</v>
      </c>
      <c r="N62" s="90">
        <f>Igazgatás!M87+Községgazd!P77+Vagyongazd!M62+Közút!M62+Sport!M64+Közművelődés!O103+Támogatás!S62</f>
        <v>0</v>
      </c>
      <c r="O62" s="91">
        <f>Igazgatás!N87+Községgazd!Q77+Vagyongazd!N62+Közút!N62+Sport!N64+Közművelődés!P103+Támogatás!T62</f>
        <v>0</v>
      </c>
      <c r="P62" s="94">
        <f>Igazgatás!O87+Községgazd!R77+Vagyongazd!O62+Közút!O62+Sport!O64+Közművelődés!Q103+Támogatás!U62</f>
        <v>0</v>
      </c>
      <c r="Q62" s="94">
        <f>Igazgatás!P87+Községgazd!S77+Vagyongazd!P62+Közút!P62+Sport!P64+Közművelődés!R103+Támogatás!V62</f>
        <v>0</v>
      </c>
      <c r="R62" s="91">
        <f>Igazgatás!Q87+Községgazd!T77+Vagyongazd!Q62+Közút!Q62+Sport!Q64+Közművelődés!S103+Támogatás!W62</f>
        <v>0</v>
      </c>
      <c r="S62" s="94">
        <f>Igazgatás!R87+Községgazd!U77+Vagyongazd!R62+Közút!R62+Sport!R64+Közművelődés!T103+Támogatás!X62</f>
        <v>0</v>
      </c>
      <c r="T62" s="94">
        <f>Igazgatás!S87+Községgazd!V77+Vagyongazd!S62+Közút!S62+Sport!S64+Közművelődés!U103+Támogatás!Y62</f>
        <v>0</v>
      </c>
      <c r="U62" s="95">
        <f>Igazgatás!T87+Községgazd!W77+Vagyongazd!T62+Közút!T62+Sport!T64+Közművelődés!V103+Támogatás!Z62</f>
        <v>0</v>
      </c>
      <c r="V62" s="341">
        <f>Igazgatás!U87+Községgazd!X77+Vagyongazd!U62+Közút!U62+Sport!U64+Közművelődés!W103+Támogatás!AA62</f>
        <v>0</v>
      </c>
      <c r="W62" s="94">
        <f>Igazgatás!V87+Községgazd!Y77+Vagyongazd!V62+Közút!V62+Sport!V64+Közművelődés!X103+Támogatás!AB62</f>
        <v>0</v>
      </c>
      <c r="X62" s="94">
        <f>Igazgatás!W87+Községgazd!Z77+Vagyongazd!W62+Közút!W62+Sport!W64+Közművelődés!Y103+Támogatás!AC62</f>
        <v>0</v>
      </c>
      <c r="Y62" s="95">
        <f>Igazgatás!X87+Községgazd!AA77+Vagyongazd!X62+Közút!X62+Sport!X64+Közművelődés!Z103+Támogatás!AD62</f>
        <v>0</v>
      </c>
      <c r="AB62" s="180"/>
    </row>
    <row r="63" spans="1:28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 t="e">
        <v>#REF!</v>
      </c>
      <c r="G63" s="158" t="e">
        <v>#REF!</v>
      </c>
      <c r="H63" s="158" t="e">
        <v>#REF!</v>
      </c>
      <c r="I63" s="256" t="e">
        <v>#REF!</v>
      </c>
      <c r="J63" s="256" t="e">
        <v>#REF!</v>
      </c>
      <c r="K63" s="158" t="e">
        <f>Igazgatás!J88+Községgazd!J78+Vagyongazd!#REF!+Közút!J63+Sport!J65+Közművelődés!J104+Támogatás!J63</f>
        <v>#REF!</v>
      </c>
      <c r="L63" s="158" t="e">
        <f>Igazgatás!K88+Községgazd!K78+Vagyongazd!#REF!+Közút!K63+Sport!K65+Közművelődés!K104+Támogatás!K63</f>
        <v>#REF!</v>
      </c>
      <c r="M63" s="158" t="e">
        <f>Igazgatás!L88+Községgazd!L78+Vagyongazd!#REF!+Közút!L63+Sport!L65+Közművelődés!L104+Támogatás!L63</f>
        <v>#REF!</v>
      </c>
      <c r="N63" s="90">
        <f>Igazgatás!M88+Községgazd!P78+Vagyongazd!M63+Közút!M63+Sport!M65+Közművelődés!O104+Támogatás!S63</f>
        <v>0</v>
      </c>
      <c r="O63" s="91">
        <f>Igazgatás!N88+Községgazd!Q78+Vagyongazd!N63+Közút!N63+Sport!N65+Közművelődés!P104+Támogatás!T63</f>
        <v>0</v>
      </c>
      <c r="P63" s="94">
        <f>Igazgatás!O88+Községgazd!R78+Vagyongazd!O63+Közút!O63+Sport!O65+Közművelődés!Q104+Támogatás!U63</f>
        <v>0</v>
      </c>
      <c r="Q63" s="94">
        <f>Igazgatás!P88+Községgazd!S78+Vagyongazd!P63+Közút!P63+Sport!P65+Közművelődés!R104+Támogatás!V63</f>
        <v>0</v>
      </c>
      <c r="R63" s="91">
        <f>Igazgatás!Q88+Községgazd!T78+Vagyongazd!Q63+Közút!Q63+Sport!Q65+Közművelődés!S104+Támogatás!W63</f>
        <v>0</v>
      </c>
      <c r="S63" s="94">
        <f>Igazgatás!R88+Községgazd!U78+Vagyongazd!R63+Közút!R63+Sport!R65+Közművelődés!T104+Támogatás!X63</f>
        <v>0</v>
      </c>
      <c r="T63" s="94">
        <f>Igazgatás!S88+Községgazd!V78+Vagyongazd!S63+Közút!S63+Sport!S65+Közművelődés!U104+Támogatás!Y63</f>
        <v>0</v>
      </c>
      <c r="U63" s="95">
        <f>Igazgatás!T88+Községgazd!W78+Vagyongazd!T63+Közút!T63+Sport!T65+Közművelődés!V104+Támogatás!Z63</f>
        <v>0</v>
      </c>
      <c r="V63" s="341">
        <f>Igazgatás!U88+Községgazd!X78+Vagyongazd!U63+Közút!U63+Sport!U65+Közművelődés!W104+Támogatás!AA63</f>
        <v>0</v>
      </c>
      <c r="W63" s="94">
        <f>Igazgatás!V88+Községgazd!Y78+Vagyongazd!V63+Közút!V63+Sport!V65+Közművelődés!X104+Támogatás!AB63</f>
        <v>0</v>
      </c>
      <c r="X63" s="94">
        <f>Igazgatás!W88+Községgazd!Z78+Vagyongazd!W63+Közút!W63+Sport!W65+Közművelődés!Y104+Támogatás!AC63</f>
        <v>0</v>
      </c>
      <c r="Y63" s="95">
        <f>Igazgatás!X88+Községgazd!AA78+Vagyongazd!X63+Közút!X63+Sport!X65+Közművelődés!Z104+Támogatás!AD63</f>
        <v>0</v>
      </c>
      <c r="AB63" s="180"/>
    </row>
    <row r="64" spans="1:28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 t="e">
        <v>#REF!</v>
      </c>
      <c r="G64" s="158" t="e">
        <v>#REF!</v>
      </c>
      <c r="H64" s="158" t="e">
        <v>#REF!</v>
      </c>
      <c r="I64" s="256" t="e">
        <v>#REF!</v>
      </c>
      <c r="J64" s="256" t="e">
        <v>#REF!</v>
      </c>
      <c r="K64" s="158" t="e">
        <f>Igazgatás!J89+Községgazd!J79+Vagyongazd!#REF!+Közút!J64+Sport!J66+Közművelődés!J105+Támogatás!J64</f>
        <v>#REF!</v>
      </c>
      <c r="L64" s="158" t="e">
        <f>Igazgatás!K89+Községgazd!K79+Vagyongazd!#REF!+Közút!K64+Sport!K66+Közművelődés!K105+Támogatás!K64</f>
        <v>#REF!</v>
      </c>
      <c r="M64" s="158" t="e">
        <f>Igazgatás!L89+Községgazd!L79+Vagyongazd!#REF!+Közút!L64+Sport!L66+Közművelődés!L105+Támogatás!L64</f>
        <v>#REF!</v>
      </c>
      <c r="N64" s="90">
        <f>Igazgatás!M89+Községgazd!P79+Vagyongazd!M64+Közút!M64+Sport!M66+Közművelődés!O105+Támogatás!S64</f>
        <v>0</v>
      </c>
      <c r="O64" s="91">
        <f>Igazgatás!N89+Községgazd!Q79+Vagyongazd!N64+Közút!N64+Sport!N66+Közművelődés!P105+Támogatás!T64</f>
        <v>0</v>
      </c>
      <c r="P64" s="94">
        <f>Igazgatás!O89+Községgazd!R79+Vagyongazd!O64+Közút!O64+Sport!O66+Közművelődés!Q105+Támogatás!U64</f>
        <v>0</v>
      </c>
      <c r="Q64" s="94">
        <f>Igazgatás!P89+Községgazd!S79+Vagyongazd!P64+Közút!P64+Sport!P66+Közművelődés!R105+Támogatás!V64</f>
        <v>0</v>
      </c>
      <c r="R64" s="91">
        <f>Igazgatás!Q89+Községgazd!T79+Vagyongazd!Q64+Közút!Q64+Sport!Q66+Közművelődés!S105+Támogatás!W64</f>
        <v>0</v>
      </c>
      <c r="S64" s="94">
        <f>Igazgatás!R89+Községgazd!U79+Vagyongazd!R64+Közút!R64+Sport!R66+Közművelődés!T105+Támogatás!X64</f>
        <v>0</v>
      </c>
      <c r="T64" s="94">
        <f>Igazgatás!S89+Községgazd!V79+Vagyongazd!S64+Közút!S64+Sport!S66+Közművelődés!U105+Támogatás!Y64</f>
        <v>0</v>
      </c>
      <c r="U64" s="95">
        <f>Igazgatás!T89+Községgazd!W79+Vagyongazd!T64+Közút!T64+Sport!T66+Közművelődés!V105+Támogatás!Z64</f>
        <v>0</v>
      </c>
      <c r="V64" s="341">
        <f>Igazgatás!U89+Községgazd!X79+Vagyongazd!U64+Közút!U64+Sport!U66+Közművelődés!W105+Támogatás!AA64</f>
        <v>0</v>
      </c>
      <c r="W64" s="94">
        <f>Igazgatás!V89+Községgazd!Y79+Vagyongazd!V64+Közút!V64+Sport!V66+Közművelődés!X105+Támogatás!AB64</f>
        <v>0</v>
      </c>
      <c r="X64" s="94">
        <f>Igazgatás!W89+Községgazd!Z79+Vagyongazd!W64+Közút!W64+Sport!W66+Közművelődés!Y105+Támogatás!AC64</f>
        <v>0</v>
      </c>
      <c r="Y64" s="95">
        <f>Igazgatás!X89+Községgazd!AA79+Vagyongazd!X64+Közút!X64+Sport!X66+Közművelődés!Z105+Támogatás!AD64</f>
        <v>0</v>
      </c>
      <c r="AB64" s="180"/>
    </row>
    <row r="65" spans="1:28" s="18" customForma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158">
        <v>0</v>
      </c>
      <c r="H65" s="158">
        <v>0</v>
      </c>
      <c r="I65" s="256">
        <v>0</v>
      </c>
      <c r="J65" s="256">
        <v>0</v>
      </c>
      <c r="K65" s="158">
        <f>Igazgatás!J90+Községgazd!J80+Közút!J65+Sport!J67+Közművelődés!J106+Támogatás!J65</f>
        <v>0</v>
      </c>
      <c r="L65" s="158">
        <f>Igazgatás!K90+Községgazd!K80+Közút!K65+Sport!K67+Közművelődés!K106+Támogatás!K65</f>
        <v>0</v>
      </c>
      <c r="M65" s="158">
        <f>Igazgatás!L90+Községgazd!L80+Közút!L65+Sport!L67+Közművelődés!L106+Támogatás!L65</f>
        <v>0</v>
      </c>
      <c r="N65" s="90">
        <f>Igazgatás!M90+Községgazd!P80+Vagyongazd!M65+Közút!M65+Sport!M67+Közművelődés!O106+Támogatás!S65</f>
        <v>0</v>
      </c>
      <c r="O65" s="91">
        <f>Igazgatás!N90+Községgazd!Q80+Vagyongazd!N65+Közút!N65+Sport!N67+Közművelődés!P106+Támogatás!T65</f>
        <v>0</v>
      </c>
      <c r="P65" s="94">
        <f>Igazgatás!O90+Községgazd!R80+Vagyongazd!O65+Közút!O65+Sport!O67+Közművelődés!Q106+Támogatás!U65</f>
        <v>0</v>
      </c>
      <c r="Q65" s="94">
        <f>Igazgatás!P90+Községgazd!S80+Vagyongazd!P65+Közút!P65+Sport!P67+Közművelődés!R106+Támogatás!V65</f>
        <v>0</v>
      </c>
      <c r="R65" s="91">
        <f>Igazgatás!Q90+Községgazd!T80+Vagyongazd!Q65+Közút!Q65+Sport!Q67+Közművelődés!S106+Támogatás!W65</f>
        <v>0</v>
      </c>
      <c r="S65" s="94">
        <f>Igazgatás!R90+Községgazd!U80+Vagyongazd!R65+Közút!R65+Sport!R67+Közművelődés!T106+Támogatás!X65</f>
        <v>0</v>
      </c>
      <c r="T65" s="94">
        <f>Igazgatás!S90+Községgazd!V80+Vagyongazd!S65+Közút!S65+Sport!S67+Közművelődés!U106+Támogatás!Y65</f>
        <v>0</v>
      </c>
      <c r="U65" s="95">
        <f>Igazgatás!T90+Községgazd!W80+Vagyongazd!T65+Közút!T65+Sport!T67+Közművelődés!V106+Támogatás!Z65</f>
        <v>0</v>
      </c>
      <c r="V65" s="341">
        <f>Igazgatás!U90+Községgazd!X80+Vagyongazd!U65+Közút!U65+Sport!U67+Közművelődés!W106+Támogatás!AA65</f>
        <v>0</v>
      </c>
      <c r="W65" s="94">
        <f>Igazgatás!V90+Községgazd!Y80+Vagyongazd!V65+Közút!V65+Sport!V67+Közművelődés!X106+Támogatás!AB65</f>
        <v>0</v>
      </c>
      <c r="X65" s="94">
        <f>Igazgatás!W90+Községgazd!Z80+Vagyongazd!W65+Közút!W65+Sport!W67+Közművelődés!Y106+Támogatás!AC65</f>
        <v>0</v>
      </c>
      <c r="Y65" s="95">
        <f>Igazgatás!X90+Községgazd!AA80+Vagyongazd!X65+Közút!X65+Sport!X67+Közművelődés!Z106+Támogatás!AD65</f>
        <v>0</v>
      </c>
      <c r="AB65" s="180"/>
    </row>
    <row r="66" spans="1:28" s="18" customForma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100000</v>
      </c>
      <c r="G66" s="158">
        <v>100000</v>
      </c>
      <c r="H66" s="158">
        <v>0</v>
      </c>
      <c r="I66" s="256">
        <v>0</v>
      </c>
      <c r="J66" s="256">
        <v>0</v>
      </c>
      <c r="K66" s="158">
        <f>Igazgatás!J91+Községgazd!J81+Közút!J66+Sport!J68+Közművelődés!J107+Támogatás!J66</f>
        <v>100000</v>
      </c>
      <c r="L66" s="158">
        <f>Igazgatás!K91+Községgazd!K81+Közút!K66+Sport!K68+Közművelődés!K107+Támogatás!K66</f>
        <v>0</v>
      </c>
      <c r="M66" s="158">
        <f>Igazgatás!L91+Községgazd!L81+Közút!L66+Sport!L68+Közművelődés!L107+Támogatás!L66</f>
        <v>100000</v>
      </c>
      <c r="N66" s="90">
        <f>Igazgatás!M91+Községgazd!P81+Vagyongazd!M66+Közút!M66+Sport!M68+Közművelődés!O107+Támogatás!S66</f>
        <v>10000</v>
      </c>
      <c r="O66" s="91">
        <f>Igazgatás!N91+Községgazd!Q81+Vagyongazd!N66+Közút!N66+Sport!N68+Közművelődés!P107+Támogatás!T66</f>
        <v>10000</v>
      </c>
      <c r="P66" s="94">
        <f>Igazgatás!O91+Községgazd!R81+Vagyongazd!O66+Közút!O66+Sport!O68+Közművelődés!Q107+Támogatás!U66</f>
        <v>10000</v>
      </c>
      <c r="Q66" s="94">
        <f>Igazgatás!P91+Községgazd!S81+Vagyongazd!P66+Közút!P66+Sport!P68+Közművelődés!R107+Támogatás!V66</f>
        <v>10000</v>
      </c>
      <c r="R66" s="91">
        <f>Igazgatás!Q91+Községgazd!T81+Vagyongazd!Q66+Közút!Q66+Sport!Q68+Közművelődés!S107+Támogatás!W66</f>
        <v>10000</v>
      </c>
      <c r="S66" s="94">
        <f>Igazgatás!R91+Községgazd!U81+Vagyongazd!R66+Közút!R66+Sport!R68+Közművelődés!T107+Támogatás!X66</f>
        <v>10000</v>
      </c>
      <c r="T66" s="94">
        <f>Igazgatás!S91+Községgazd!V81+Vagyongazd!S66+Közút!S66+Sport!S68+Közművelődés!U107+Támogatás!Y66</f>
        <v>0</v>
      </c>
      <c r="U66" s="95">
        <f>Igazgatás!T91+Községgazd!W81+Vagyongazd!T66+Közút!T66+Sport!T68+Közművelődés!V107+Támogatás!Z66</f>
        <v>0</v>
      </c>
      <c r="V66" s="341">
        <f>Igazgatás!U91+Községgazd!X81+Vagyongazd!U66+Közút!U66+Sport!U68+Közművelődés!W107+Támogatás!AA66</f>
        <v>10000</v>
      </c>
      <c r="W66" s="94">
        <f>Igazgatás!V91+Községgazd!Y81+Vagyongazd!V66+Közút!V66+Sport!V68+Közművelődés!X107+Támogatás!AB66</f>
        <v>10000</v>
      </c>
      <c r="X66" s="94">
        <f>Igazgatás!W91+Községgazd!Z81+Vagyongazd!W66+Közút!W66+Sport!W68+Közművelődés!Y107+Támogatás!AC66</f>
        <v>10000</v>
      </c>
      <c r="Y66" s="95">
        <f>Igazgatás!X91+Községgazd!AA81+Vagyongazd!X66+Közút!X66+Sport!X68+Közművelődés!Z107+Támogatás!AD66</f>
        <v>10000</v>
      </c>
      <c r="AB66" s="180"/>
    </row>
    <row r="67" spans="1:28" ht="15" hidden="1" customHeight="1" x14ac:dyDescent="0.25">
      <c r="B67" s="54"/>
      <c r="C67" s="2"/>
      <c r="D67" s="624" t="s">
        <v>343</v>
      </c>
      <c r="E67" s="624"/>
      <c r="F67" s="159" t="e">
        <v>#REF!</v>
      </c>
      <c r="G67" s="159" t="e">
        <v>#REF!</v>
      </c>
      <c r="H67" s="159" t="e">
        <v>#REF!</v>
      </c>
      <c r="I67" s="159" t="e">
        <v>#REF!</v>
      </c>
      <c r="J67" s="159" t="e">
        <v>#REF!</v>
      </c>
      <c r="K67" s="159" t="e">
        <f>Igazgatás!J92+Községgazd!J82+Vagyongazd!#REF!+Közút!J67+Sport!J69+Közművelődés!J108+Támogatás!J67</f>
        <v>#REF!</v>
      </c>
      <c r="L67" s="159" t="e">
        <f>Igazgatás!K92+Községgazd!K82+Vagyongazd!#REF!+Közút!K67+Sport!K69+Közművelődés!K108+Támogatás!K67</f>
        <v>#REF!</v>
      </c>
      <c r="M67" s="159" t="e">
        <f>Igazgatás!L92+Községgazd!L82+Vagyongazd!#REF!+Közút!L67+Sport!L69+Közművelődés!L108+Támogatás!L67</f>
        <v>#REF!</v>
      </c>
      <c r="N67" s="72">
        <f>Igazgatás!M92+Községgazd!P82+Vagyongazd!M67+Közút!M67+Sport!M69+Közművelődés!O108+Támogatás!S67</f>
        <v>0</v>
      </c>
      <c r="O67" s="1">
        <f>Igazgatás!N92+Községgazd!Q82+Vagyongazd!N67+Közút!N67+Sport!N69+Közművelődés!P108+Támogatás!T67</f>
        <v>0</v>
      </c>
      <c r="P67" s="78">
        <f>Igazgatás!O92+Községgazd!R82+Vagyongazd!O67+Közút!O67+Sport!O69+Közművelődés!Q108+Támogatás!U67</f>
        <v>0</v>
      </c>
      <c r="Q67" s="78">
        <f>Igazgatás!P92+Községgazd!S82+Vagyongazd!P67+Közút!P67+Sport!P69+Közművelődés!R108+Támogatás!V67</f>
        <v>0</v>
      </c>
      <c r="R67" s="1">
        <f>Igazgatás!Q92+Községgazd!T82+Vagyongazd!Q67+Közút!Q67+Sport!Q69+Közművelődés!S108+Támogatás!W67</f>
        <v>0</v>
      </c>
      <c r="S67" s="78">
        <f>Igazgatás!R92+Községgazd!U82+Vagyongazd!R67+Közút!R67+Sport!R69+Közművelődés!T108+Támogatás!X67</f>
        <v>0</v>
      </c>
      <c r="T67" s="78">
        <f>Igazgatás!S92+Községgazd!V82+Vagyongazd!S67+Közút!S67+Sport!S69+Közművelődés!U108+Támogatás!Y67</f>
        <v>0</v>
      </c>
      <c r="U67" s="44">
        <f>Igazgatás!T92+Községgazd!W82+Vagyongazd!T67+Közút!T67+Sport!T69+Közművelődés!V108+Támogatás!Z67</f>
        <v>0</v>
      </c>
      <c r="V67" s="343">
        <f>Igazgatás!U92+Községgazd!X82+Vagyongazd!U67+Közút!U67+Sport!U69+Közművelődés!W108+Támogatás!AA67</f>
        <v>0</v>
      </c>
      <c r="W67" s="78">
        <f>Igazgatás!V92+Községgazd!Y82+Vagyongazd!V67+Közút!V67+Sport!V69+Közművelődés!X108+Támogatás!AB67</f>
        <v>0</v>
      </c>
      <c r="X67" s="78">
        <f>Igazgatás!W92+Községgazd!Z82+Vagyongazd!W67+Közút!W67+Sport!W69+Közművelődés!Y108+Támogatás!AC67</f>
        <v>0</v>
      </c>
      <c r="Y67" s="44">
        <f>Igazgatás!X92+Községgazd!AA82+Vagyongazd!X67+Közút!X67+Sport!X69+Közművelődés!Z108+Támogatás!AD67</f>
        <v>0</v>
      </c>
      <c r="Z67" s="21"/>
      <c r="AB67" s="180"/>
    </row>
    <row r="68" spans="1:28" x14ac:dyDescent="0.25">
      <c r="B68" s="54"/>
      <c r="C68" s="2"/>
      <c r="D68" s="624" t="s">
        <v>344</v>
      </c>
      <c r="E68" s="624"/>
      <c r="F68" s="159">
        <v>100000</v>
      </c>
      <c r="G68" s="159">
        <v>100000</v>
      </c>
      <c r="H68" s="159">
        <v>0</v>
      </c>
      <c r="I68" s="159">
        <v>0</v>
      </c>
      <c r="J68" s="159">
        <v>0</v>
      </c>
      <c r="K68" s="159">
        <f>Igazgatás!J93+Községgazd!J83+Közút!J68+Sport!J70+Közművelődés!J109+Támogatás!J68</f>
        <v>100000</v>
      </c>
      <c r="L68" s="159">
        <f>Igazgatás!K93+Községgazd!K83+Közút!K68+Sport!K70+Közművelődés!K109+Támogatás!K68</f>
        <v>0</v>
      </c>
      <c r="M68" s="159">
        <f>Igazgatás!L93+Községgazd!L83+Közút!L68+Sport!L70+Közművelődés!L109+Támogatás!L68</f>
        <v>100000</v>
      </c>
      <c r="N68" s="72">
        <f>Igazgatás!M93+Községgazd!P83+Vagyongazd!M68+Közút!M68+Sport!M70+Közművelődés!O109+Támogatás!S68</f>
        <v>10000</v>
      </c>
      <c r="O68" s="1">
        <f>Igazgatás!N93+Községgazd!Q83+Vagyongazd!N68+Közút!N68+Sport!N70+Közművelődés!P109+Támogatás!T68</f>
        <v>10000</v>
      </c>
      <c r="P68" s="78">
        <f>Igazgatás!O93+Községgazd!R83+Vagyongazd!O68+Közút!O68+Sport!O70+Közművelődés!Q109+Támogatás!U68</f>
        <v>10000</v>
      </c>
      <c r="Q68" s="78">
        <f>Igazgatás!P93+Községgazd!S83+Vagyongazd!P68+Közút!P68+Sport!P70+Közművelődés!R109+Támogatás!V68</f>
        <v>10000</v>
      </c>
      <c r="R68" s="1">
        <f>Igazgatás!Q93+Községgazd!T83+Vagyongazd!Q68+Közút!Q68+Sport!Q70+Közművelődés!S109+Támogatás!W68</f>
        <v>10000</v>
      </c>
      <c r="S68" s="78">
        <f>Igazgatás!R93+Községgazd!U83+Vagyongazd!R68+Közút!R68+Sport!R70+Közművelődés!T109+Támogatás!X68</f>
        <v>10000</v>
      </c>
      <c r="T68" s="78">
        <f>Igazgatás!S93+Községgazd!V83+Vagyongazd!S68+Közút!S68+Sport!S70+Közművelődés!U109+Támogatás!Y68</f>
        <v>0</v>
      </c>
      <c r="U68" s="44">
        <f>Igazgatás!T93+Községgazd!W83+Vagyongazd!T68+Közút!T68+Sport!T70+Közművelődés!V109+Támogatás!Z68</f>
        <v>0</v>
      </c>
      <c r="V68" s="343">
        <f>Igazgatás!U93+Községgazd!X83+Vagyongazd!U68+Közút!U68+Sport!U70+Közművelődés!W109+Támogatás!AA68</f>
        <v>10000</v>
      </c>
      <c r="W68" s="78">
        <f>Igazgatás!V93+Községgazd!Y83+Vagyongazd!V68+Közút!V68+Sport!V70+Közművelődés!X109+Támogatás!AB68</f>
        <v>10000</v>
      </c>
      <c r="X68" s="78">
        <f>Igazgatás!W93+Községgazd!Z83+Vagyongazd!W68+Közút!W68+Sport!W70+Közművelődés!Y109+Támogatás!AC68</f>
        <v>10000</v>
      </c>
      <c r="Y68" s="44">
        <f>Igazgatás!X93+Községgazd!AA83+Vagyongazd!X68+Közút!X68+Sport!X70+Közművelődés!Z109+Támogatás!AD68</f>
        <v>10000</v>
      </c>
      <c r="AB68" s="180"/>
    </row>
    <row r="69" spans="1:28" ht="15" hidden="1" customHeight="1" x14ac:dyDescent="0.25">
      <c r="B69" s="54"/>
      <c r="C69" s="2"/>
      <c r="D69" s="624" t="s">
        <v>345</v>
      </c>
      <c r="E69" s="624"/>
      <c r="F69" s="159" t="e">
        <v>#REF!</v>
      </c>
      <c r="G69" s="343" t="e">
        <v>#REF!</v>
      </c>
      <c r="H69" s="343" t="e">
        <v>#REF!</v>
      </c>
      <c r="I69" s="343" t="e">
        <v>#REF!</v>
      </c>
      <c r="J69" s="343" t="e">
        <v>#REF!</v>
      </c>
      <c r="K69" s="232" t="e">
        <f>Igazgatás!J94+Községgazd!J84+Vagyongazd!#REF!+Közút!J69+Sport!J71+Közművelődés!J110+Támogatás!J69</f>
        <v>#REF!</v>
      </c>
      <c r="L69" s="141" t="e">
        <f>Igazgatás!K94+Községgazd!K84+Vagyongazd!#REF!+Közút!K69+Sport!K71+Közművelődés!K110+Támogatás!K69</f>
        <v>#REF!</v>
      </c>
      <c r="M69" s="159" t="e">
        <f>Igazgatás!L94+Községgazd!L84+Vagyongazd!#REF!+Közút!L69+Sport!L71+Közművelődés!L110+Támogatás!L69</f>
        <v>#REF!</v>
      </c>
      <c r="N69" s="72">
        <f>Igazgatás!M94+Községgazd!P84+Vagyongazd!M69+Közút!M69+Sport!M71+Közművelődés!O110+Támogatás!S69</f>
        <v>0</v>
      </c>
      <c r="O69" s="1">
        <f>Igazgatás!N94+Községgazd!Q84+Vagyongazd!N69+Közút!N69+Sport!N71+Közművelődés!P110+Támogatás!T69</f>
        <v>0</v>
      </c>
      <c r="P69" s="78">
        <f>Igazgatás!O94+Községgazd!R84+Vagyongazd!O69+Közút!O69+Sport!O71+Közművelődés!Q110+Támogatás!U69</f>
        <v>0</v>
      </c>
      <c r="Q69" s="78">
        <f>Igazgatás!P94+Községgazd!S84+Vagyongazd!P69+Közút!P69+Sport!P71+Közművelődés!R110+Támogatás!V69</f>
        <v>0</v>
      </c>
      <c r="R69" s="1">
        <f>Igazgatás!Q94+Községgazd!T84+Vagyongazd!Q69+Közút!Q69+Sport!Q71+Közművelődés!S110+Támogatás!W69</f>
        <v>0</v>
      </c>
      <c r="S69" s="78">
        <f>Igazgatás!R94+Községgazd!U84+Vagyongazd!R69+Közút!R69+Sport!R71+Közművelődés!T110+Támogatás!X69</f>
        <v>0</v>
      </c>
      <c r="T69" s="78">
        <f>Igazgatás!S94+Községgazd!V84+Vagyongazd!S69+Közút!S69+Sport!S71+Közművelődés!U110+Támogatás!Y69</f>
        <v>0</v>
      </c>
      <c r="U69" s="44">
        <f>Igazgatás!T94+Községgazd!W84+Vagyongazd!T69+Közút!T69+Sport!T71+Közművelődés!V110+Támogatás!Z69</f>
        <v>0</v>
      </c>
      <c r="V69" s="343">
        <f>Igazgatás!U94+Községgazd!X84+Vagyongazd!U69+Közút!U69+Sport!U71+Közművelődés!W110+Támogatás!AA69</f>
        <v>0</v>
      </c>
      <c r="W69" s="78">
        <f>Igazgatás!V94+Községgazd!Y84+Vagyongazd!V69+Közút!V69+Sport!V71+Közművelődés!X110+Támogatás!AB69</f>
        <v>0</v>
      </c>
      <c r="X69" s="78">
        <f>Igazgatás!W94+Községgazd!Z84+Vagyongazd!W69+Közút!W69+Sport!W71+Közművelődés!Y110+Támogatás!AC69</f>
        <v>0</v>
      </c>
      <c r="Y69" s="44">
        <f>Igazgatás!X94+Községgazd!AA84+Vagyongazd!X69+Közút!X69+Sport!X71+Közművelődés!Z110+Támogatás!AD69</f>
        <v>0</v>
      </c>
      <c r="AB69" s="180"/>
    </row>
    <row r="70" spans="1:28" s="18" customForma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1700000</v>
      </c>
      <c r="G70" s="158">
        <v>1700000</v>
      </c>
      <c r="H70" s="158">
        <v>1794970</v>
      </c>
      <c r="I70" s="256">
        <v>1794970</v>
      </c>
      <c r="J70" s="256">
        <f>SUM(J71:J74)</f>
        <v>1934970</v>
      </c>
      <c r="K70" s="158">
        <f>Igazgatás!J95+Községgazd!J85+Közút!J70+Sport!J72+Közművelődés!J111+Támogatás!J70</f>
        <v>1934970</v>
      </c>
      <c r="L70" s="158">
        <f>Igazgatás!K95+Községgazd!K85+Közút!K70+Sport!K72+Közművelődés!K111+Támogatás!K70</f>
        <v>0</v>
      </c>
      <c r="M70" s="158">
        <f>Igazgatás!L95+Községgazd!L85+Közút!L70+Sport!L72+Közművelődés!L111+Támogatás!L70</f>
        <v>1934970</v>
      </c>
      <c r="N70" s="90">
        <f>Igazgatás!M95+Községgazd!P85+Vagyongazd!M70+Közút!M70+Sport!M72+Közművelődés!O111+Támogatás!S70</f>
        <v>36000</v>
      </c>
      <c r="O70" s="91">
        <f>Igazgatás!N95+Községgazd!Q85+Vagyongazd!N70+Közút!N70+Sport!N72+Közművelődés!P111+Támogatás!T70</f>
        <v>82000</v>
      </c>
      <c r="P70" s="94">
        <f>Igazgatás!O95+Községgazd!R85+Vagyongazd!O70+Közút!O70+Sport!O72+Közművelődés!Q111+Támogatás!U70</f>
        <v>53000</v>
      </c>
      <c r="Q70" s="94">
        <f>Igazgatás!P95+Községgazd!S85+Vagyongazd!P70+Közút!P70+Sport!P72+Közművelődés!R111+Támogatás!V70</f>
        <v>63000</v>
      </c>
      <c r="R70" s="91">
        <f>Igazgatás!Q95+Községgazd!T85+Vagyongazd!Q70+Közút!Q70+Sport!Q72+Közművelődés!S111+Támogatás!W70</f>
        <v>68000</v>
      </c>
      <c r="S70" s="94">
        <f>Igazgatás!R95+Községgazd!U85+Vagyongazd!R70+Közút!R70+Sport!R72+Közművelődés!T111+Támogatás!X70</f>
        <v>82000</v>
      </c>
      <c r="T70" s="94">
        <f>Igazgatás!S95+Községgazd!V85+Vagyongazd!S70+Közút!S70+Sport!S72+Közművelődés!U111+Támogatás!Y70</f>
        <v>85000</v>
      </c>
      <c r="U70" s="95">
        <f>Igazgatás!T95+Községgazd!W85+Vagyongazd!T70+Közút!T70+Sport!T72+Közművelődés!V111+Támogatás!Z70</f>
        <v>79000</v>
      </c>
      <c r="V70" s="341">
        <f>Igazgatás!U95+Községgazd!X85+Vagyongazd!U70+Közút!U70+Sport!U72+Közművelődés!W111+Támogatás!AA70</f>
        <v>127000</v>
      </c>
      <c r="W70" s="94">
        <f>Igazgatás!V95+Községgazd!Y85+Vagyongazd!V70+Közút!V70+Sport!V72+Közművelődés!X111+Támogatás!AB70</f>
        <v>154575</v>
      </c>
      <c r="X70" s="94">
        <f>Igazgatás!W95+Községgazd!Z85+Vagyongazd!W70+Közút!W70+Sport!W72+Közművelődés!Y111+Támogatás!AC70</f>
        <v>83000</v>
      </c>
      <c r="Y70" s="95">
        <f>Igazgatás!X95+Községgazd!AA85+Vagyongazd!X70+Közút!X70+Sport!X72+Közművelődés!Z111+Támogatás!AD70</f>
        <v>1022395</v>
      </c>
      <c r="AB70" s="180"/>
    </row>
    <row r="71" spans="1:28" x14ac:dyDescent="0.25">
      <c r="B71" s="54"/>
      <c r="C71" s="2"/>
      <c r="D71" s="624" t="s">
        <v>835</v>
      </c>
      <c r="E71" s="624"/>
      <c r="F71" s="159">
        <v>400000</v>
      </c>
      <c r="G71" s="159">
        <v>400000</v>
      </c>
      <c r="H71" s="159">
        <v>420000</v>
      </c>
      <c r="I71" s="159">
        <v>420000</v>
      </c>
      <c r="J71" s="159">
        <v>560000</v>
      </c>
      <c r="K71" s="159">
        <f>Igazgatás!J96+Községgazd!J86+Közút!J71+Sport!J73+Közművelődés!J112+Támogatás!J71</f>
        <v>560000</v>
      </c>
      <c r="L71" s="159">
        <f>Igazgatás!K96+Községgazd!K86+Közút!K71+Sport!K73+Közművelődés!K112+Támogatás!K71</f>
        <v>0</v>
      </c>
      <c r="M71" s="159">
        <f>Igazgatás!L96+Községgazd!L86+Közút!L71+Sport!L73+Közművelődés!L112+Támogatás!L71</f>
        <v>560000</v>
      </c>
      <c r="N71" s="72">
        <f>Igazgatás!M96+Községgazd!P86+Vagyongazd!M71+Közút!M71+Sport!M73+Közművelődés!O112+Támogatás!S71</f>
        <v>0</v>
      </c>
      <c r="O71" s="1">
        <f>Igazgatás!N96+Községgazd!Q86+Vagyongazd!N71+Közút!N71+Sport!N73+Közművelődés!P112+Támogatás!T71</f>
        <v>10000</v>
      </c>
      <c r="P71" s="78">
        <f>Igazgatás!O96+Községgazd!R86+Vagyongazd!O71+Közút!O71+Sport!O73+Közművelődés!Q112+Támogatás!U71</f>
        <v>10000</v>
      </c>
      <c r="Q71" s="78">
        <f>Igazgatás!P96+Községgazd!S86+Vagyongazd!P71+Közút!P71+Sport!P73+Közművelődés!R112+Támogatás!V71</f>
        <v>10000</v>
      </c>
      <c r="R71" s="1">
        <f>Igazgatás!Q96+Községgazd!T86+Vagyongazd!Q71+Közút!Q71+Sport!Q73+Közművelődés!S112+Támogatás!W71</f>
        <v>10000</v>
      </c>
      <c r="S71" s="78">
        <f>Igazgatás!R96+Községgazd!U86+Vagyongazd!R71+Közút!R71+Sport!R73+Közművelődés!T112+Támogatás!X71</f>
        <v>40000</v>
      </c>
      <c r="T71" s="78">
        <f>Igazgatás!S96+Községgazd!V86+Vagyongazd!S71+Közút!S71+Sport!S73+Közművelődés!U112+Támogatás!Y71</f>
        <v>50000</v>
      </c>
      <c r="U71" s="44">
        <f>Igazgatás!T96+Községgazd!W86+Vagyongazd!T71+Közút!T71+Sport!T73+Közművelődés!V112+Támogatás!Z71</f>
        <v>40000</v>
      </c>
      <c r="V71" s="343">
        <f>Igazgatás!U96+Községgazd!X86+Vagyongazd!U71+Közút!U71+Sport!U73+Közművelődés!W112+Támogatás!AA71</f>
        <v>0</v>
      </c>
      <c r="W71" s="78">
        <f>Igazgatás!V96+Községgazd!Y86+Vagyongazd!V71+Közút!V71+Sport!V73+Közművelődés!X112+Támogatás!AB71</f>
        <v>0</v>
      </c>
      <c r="X71" s="78">
        <f>Igazgatás!W96+Községgazd!Z86+Vagyongazd!W71+Közút!W71+Sport!W73+Közművelődés!Y112+Támogatás!AC71</f>
        <v>0</v>
      </c>
      <c r="Y71" s="44">
        <f>Igazgatás!X96+Községgazd!AA86+Vagyongazd!X71+Közút!X71+Sport!X73+Közművelődés!Z112+Támogatás!AD71</f>
        <v>390000</v>
      </c>
      <c r="AB71" s="180"/>
    </row>
    <row r="72" spans="1:28" x14ac:dyDescent="0.25">
      <c r="B72" s="54"/>
      <c r="C72" s="2"/>
      <c r="D72" s="624" t="s">
        <v>346</v>
      </c>
      <c r="E72" s="624"/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f>Igazgatás!J97+Községgazd!J87+Közút!J72+Sport!J74+Közművelődés!J113+Támogatás!J74</f>
        <v>0</v>
      </c>
      <c r="L72" s="159">
        <f>Igazgatás!K97+Községgazd!K87+Közút!K72+Sport!K74+Közművelődés!K113+Támogatás!K74</f>
        <v>0</v>
      </c>
      <c r="M72" s="159">
        <f>Igazgatás!L97+Községgazd!L87+Közút!L72+Sport!L74+Közművelődés!L113+Támogatás!L74</f>
        <v>0</v>
      </c>
      <c r="N72" s="72">
        <f>Igazgatás!M97+Községgazd!P87+Vagyongazd!M72+Közút!M72+Sport!M74+Közművelődés!O113+Támogatás!S74</f>
        <v>0</v>
      </c>
      <c r="O72" s="1">
        <f>Igazgatás!N97+Községgazd!Q87+Vagyongazd!N72+Közút!N72+Sport!N74+Közművelődés!P113+Támogatás!T74</f>
        <v>0</v>
      </c>
      <c r="P72" s="78">
        <f>Igazgatás!O97+Községgazd!R87+Vagyongazd!O72+Közút!O72+Sport!O74+Közművelődés!Q113+Támogatás!U74</f>
        <v>0</v>
      </c>
      <c r="Q72" s="78">
        <f>Igazgatás!P97+Községgazd!S87+Vagyongazd!P72+Közút!P72+Sport!P74+Közművelődés!R113+Támogatás!V74</f>
        <v>0</v>
      </c>
      <c r="R72" s="1">
        <f>Igazgatás!Q97+Községgazd!T87+Vagyongazd!Q72+Közút!Q72+Sport!Q74+Közművelődés!S113+Támogatás!W74</f>
        <v>0</v>
      </c>
      <c r="S72" s="78">
        <f>Igazgatás!R97+Községgazd!U87+Vagyongazd!R72+Közút!R72+Sport!R74+Közművelődés!T113+Támogatás!X74</f>
        <v>0</v>
      </c>
      <c r="T72" s="78">
        <f>Igazgatás!S97+Községgazd!V87+Vagyongazd!S72+Közút!S72+Sport!S74+Közművelődés!U113+Támogatás!Y74</f>
        <v>0</v>
      </c>
      <c r="U72" s="44">
        <f>Igazgatás!T97+Községgazd!W87+Vagyongazd!T72+Közút!T72+Sport!T74+Közművelődés!V113+Támogatás!Z74</f>
        <v>0</v>
      </c>
      <c r="V72" s="343">
        <f>Igazgatás!U97+Községgazd!X87+Vagyongazd!U72+Közút!U72+Sport!U74+Közművelődés!W113+Támogatás!AA74</f>
        <v>0</v>
      </c>
      <c r="W72" s="78">
        <f>Igazgatás!V97+Községgazd!Y87+Vagyongazd!V72+Közút!V72+Sport!V74+Közművelődés!X113+Támogatás!AB74</f>
        <v>0</v>
      </c>
      <c r="X72" s="78">
        <f>Igazgatás!W97+Községgazd!Z87+Vagyongazd!W72+Közút!W72+Sport!W74+Közművelődés!Y113+Támogatás!AC74</f>
        <v>0</v>
      </c>
      <c r="Y72" s="44">
        <f>Igazgatás!X97+Községgazd!AA87+Vagyongazd!X72+Közút!X72+Sport!X74+Közművelődés!Z113+Támogatás!AD74</f>
        <v>0</v>
      </c>
      <c r="AB72" s="180"/>
    </row>
    <row r="73" spans="1:28" x14ac:dyDescent="0.25">
      <c r="B73" s="54"/>
      <c r="C73" s="2"/>
      <c r="D73" s="624" t="s">
        <v>836</v>
      </c>
      <c r="E73" s="624"/>
      <c r="F73" s="159">
        <v>1300000</v>
      </c>
      <c r="G73" s="159">
        <v>1300000</v>
      </c>
      <c r="H73" s="159">
        <v>1374970</v>
      </c>
      <c r="I73" s="159">
        <v>1374970</v>
      </c>
      <c r="J73" s="159">
        <v>1374970</v>
      </c>
      <c r="K73" s="159">
        <f>Igazgatás!J98+Községgazd!J88+Közút!J73+Sport!J75+Közművelődés!J114+Támogatás!J75</f>
        <v>1374970</v>
      </c>
      <c r="L73" s="159">
        <f>Igazgatás!K98+Községgazd!K88+Közút!K73+Sport!K75+Közművelődés!K114+Támogatás!K75</f>
        <v>0</v>
      </c>
      <c r="M73" s="159">
        <f>Igazgatás!L98+Községgazd!L88+Közút!L73+Sport!L75+Közművelődés!L114+Támogatás!L75</f>
        <v>1374970</v>
      </c>
      <c r="N73" s="72">
        <f>Igazgatás!M98+Községgazd!P88+Vagyongazd!M73+Közút!M73+Sport!M75+Közművelődés!O114+Támogatás!S75</f>
        <v>36000</v>
      </c>
      <c r="O73" s="1">
        <f>Igazgatás!N98+Községgazd!Q88+Vagyongazd!N73+Közút!N73+Sport!N75+Közművelődés!P114+Támogatás!T75</f>
        <v>72000</v>
      </c>
      <c r="P73" s="78">
        <f>Igazgatás!O98+Községgazd!R88+Vagyongazd!O73+Közút!O73+Sport!O75+Közművelődés!Q114+Támogatás!U75</f>
        <v>43000</v>
      </c>
      <c r="Q73" s="78">
        <f>Igazgatás!P98+Községgazd!S88+Vagyongazd!P73+Közút!P73+Sport!P75+Közművelődés!R114+Támogatás!V75</f>
        <v>53000</v>
      </c>
      <c r="R73" s="1">
        <f>Igazgatás!Q98+Községgazd!T88+Vagyongazd!Q73+Közút!Q73+Sport!Q75+Közművelődés!S114+Támogatás!W75</f>
        <v>58000</v>
      </c>
      <c r="S73" s="78">
        <f>Igazgatás!R98+Községgazd!U88+Vagyongazd!R73+Közút!R73+Sport!R75+Közművelődés!T114+Támogatás!X75</f>
        <v>42000</v>
      </c>
      <c r="T73" s="78">
        <f>Igazgatás!S98+Községgazd!V88+Vagyongazd!S73+Közút!S73+Sport!S75+Közművelődés!U114+Támogatás!Y75</f>
        <v>35000</v>
      </c>
      <c r="U73" s="44">
        <f>Igazgatás!T98+Községgazd!W88+Vagyongazd!T73+Közút!T73+Sport!T75+Közművelődés!V114+Támogatás!Z75</f>
        <v>39000</v>
      </c>
      <c r="V73" s="343">
        <f>Igazgatás!U98+Községgazd!X88+Vagyongazd!U73+Közút!U73+Sport!U75+Közművelődés!W114+Támogatás!AA75</f>
        <v>127000</v>
      </c>
      <c r="W73" s="78">
        <f>Igazgatás!V98+Községgazd!Y88+Vagyongazd!V73+Közút!V73+Sport!V75+Közművelődés!X114+Támogatás!AB75</f>
        <v>154575</v>
      </c>
      <c r="X73" s="78">
        <f>Igazgatás!W98+Községgazd!Z88+Vagyongazd!W73+Közút!W73+Sport!W75+Közművelődés!Y114+Támogatás!AC75</f>
        <v>83000</v>
      </c>
      <c r="Y73" s="44">
        <f>Igazgatás!X98+Községgazd!AA88+Vagyongazd!X73+Közút!X73+Sport!X75+Közművelődés!Z114+Támogatás!AD75</f>
        <v>632395</v>
      </c>
      <c r="AB73" s="180"/>
    </row>
    <row r="74" spans="1:28" ht="15.75" thickBot="1" x14ac:dyDescent="0.3">
      <c r="B74" s="54"/>
      <c r="C74" s="2"/>
      <c r="D74" s="624" t="s">
        <v>834</v>
      </c>
      <c r="E74" s="624"/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f>Igazgatás!J99+Községgazd!J89+Közút!J74+Sport!J76+Közművelődés!J115+Támogatás!J76</f>
        <v>0</v>
      </c>
      <c r="L74" s="159">
        <f>Igazgatás!K99+Községgazd!K89+Közút!K74+Sport!K76+Közművelődés!K115+Támogatás!K76</f>
        <v>0</v>
      </c>
      <c r="M74" s="159">
        <f>Igazgatás!L99+Községgazd!L89+Közút!L74+Sport!L76+Közművelődés!L115+Támogatás!L76</f>
        <v>0</v>
      </c>
      <c r="N74" s="72">
        <f>Igazgatás!M99+Községgazd!P89+Vagyongazd!M74+Közút!M74+Sport!M76+Közművelődés!O115+Támogatás!S76</f>
        <v>0</v>
      </c>
      <c r="O74" s="1">
        <f>Igazgatás!N99+Községgazd!Q89+Vagyongazd!N74+Közút!N74+Sport!N76+Közművelődés!P115+Támogatás!T76</f>
        <v>0</v>
      </c>
      <c r="P74" s="78">
        <f>Igazgatás!O99+Községgazd!R89+Vagyongazd!O74+Közút!O74+Sport!O76+Közművelődés!Q115+Támogatás!U76</f>
        <v>0</v>
      </c>
      <c r="Q74" s="78">
        <f>Igazgatás!P99+Községgazd!S89+Vagyongazd!P74+Közút!P74+Sport!P76+Közművelődés!R115+Támogatás!V76</f>
        <v>0</v>
      </c>
      <c r="R74" s="1">
        <f>Igazgatás!Q99+Községgazd!T89+Vagyongazd!Q74+Közút!Q74+Sport!Q76+Közművelődés!S115+Támogatás!W76</f>
        <v>0</v>
      </c>
      <c r="S74" s="78">
        <f>Igazgatás!R99+Községgazd!U89+Vagyongazd!R74+Közút!R74+Sport!R76+Közművelődés!T115+Támogatás!X76</f>
        <v>0</v>
      </c>
      <c r="T74" s="78">
        <f>Igazgatás!S99+Községgazd!V89+Vagyongazd!S74+Közút!S74+Sport!S76+Közművelődés!U115+Támogatás!Y76</f>
        <v>0</v>
      </c>
      <c r="U74" s="44">
        <f>Igazgatás!T99+Községgazd!W89+Vagyongazd!T74+Közút!T74+Sport!T76+Közművelődés!V115+Támogatás!Z76</f>
        <v>0</v>
      </c>
      <c r="V74" s="343">
        <f>Igazgatás!U99+Községgazd!X89+Vagyongazd!U74+Közút!U74+Sport!U76+Közművelődés!W115+Támogatás!AA76</f>
        <v>0</v>
      </c>
      <c r="W74" s="78">
        <f>Igazgatás!V99+Községgazd!Y89+Vagyongazd!V74+Közút!V74+Sport!V76+Közművelődés!X115+Támogatás!AB76</f>
        <v>0</v>
      </c>
      <c r="X74" s="78">
        <f>Igazgatás!W99+Községgazd!Z89+Vagyongazd!W74+Közút!W74+Sport!W76+Közművelődés!Y115+Támogatás!AC76</f>
        <v>0</v>
      </c>
      <c r="Y74" s="44">
        <f>Igazgatás!X99+Községgazd!AA89+Vagyongazd!X74+Közút!X74+Sport!X76+Közművelődés!Z115+Támogatás!AD76</f>
        <v>0</v>
      </c>
      <c r="AB74" s="180"/>
    </row>
    <row r="75" spans="1:28" ht="15.75" thickBot="1" x14ac:dyDescent="0.3">
      <c r="B75" s="96" t="s">
        <v>220</v>
      </c>
      <c r="C75" s="632" t="s">
        <v>221</v>
      </c>
      <c r="D75" s="633"/>
      <c r="E75" s="633"/>
      <c r="F75" s="156">
        <v>10214784</v>
      </c>
      <c r="G75" s="156">
        <v>8446166</v>
      </c>
      <c r="H75" s="156">
        <v>10073788</v>
      </c>
      <c r="I75" s="571">
        <v>7438858</v>
      </c>
      <c r="J75" s="571">
        <f>J79+J106+J135+J146</f>
        <v>7013337</v>
      </c>
      <c r="K75" s="156">
        <f>K106+K135+K146+K79</f>
        <v>4966629</v>
      </c>
      <c r="L75" s="156">
        <f>Igazgatás!K100+Községgazd!K90+Közút!K75+Sport!K77+Közművelődés!K116+Támogatás!K77</f>
        <v>0</v>
      </c>
      <c r="M75" s="156">
        <f>M106+M135+M146+M79</f>
        <v>4966629</v>
      </c>
      <c r="N75" s="82">
        <f>Igazgatás!M100+Községgazd!P90+Vagyongazd!M75+Közút!M75+Sport!M77+Közművelődés!O116+Támogatás!S77</f>
        <v>256039</v>
      </c>
      <c r="O75" s="83">
        <f>Igazgatás!N100+Községgazd!Q90+Vagyongazd!N75+Közút!N75+Sport!N77+Közművelődés!P116+Támogatás!T77</f>
        <v>10750</v>
      </c>
      <c r="P75" s="86">
        <f>Igazgatás!O100+Községgazd!R90+Vagyongazd!O75+Közút!O75+Sport!O77+Közművelődés!Q116+Támogatás!U77</f>
        <v>0</v>
      </c>
      <c r="Q75" s="86">
        <f>Igazgatás!P100+Községgazd!S90+Vagyongazd!P75+Közút!P75+Sport!P77+Közművelődés!R116+Támogatás!V77</f>
        <v>10998</v>
      </c>
      <c r="R75" s="83">
        <f>Igazgatás!Q100+Községgazd!T90+Vagyongazd!Q75+Közút!Q75+Sport!Q77+Közművelődés!S116+Támogatás!W77</f>
        <v>83676</v>
      </c>
      <c r="S75" s="86">
        <f>Igazgatás!R100+Községgazd!U90+Vagyongazd!R75+Közút!R75+Sport!R77+Közművelődés!T116+Támogatás!X77</f>
        <v>150000</v>
      </c>
      <c r="T75" s="86">
        <f>Igazgatás!S100+Községgazd!V90+Vagyongazd!S75+Közút!S75+Sport!S77+Közművelődés!U116+Támogatás!Y77</f>
        <v>25800</v>
      </c>
      <c r="U75" s="87">
        <f>Igazgatás!T100+Községgazd!W90+Vagyongazd!T75+Közút!T75+Sport!T77+Közművelődés!V116+Támogatás!Z77</f>
        <v>150000</v>
      </c>
      <c r="V75" s="338">
        <f>Igazgatás!U100+Községgazd!X90+Vagyongazd!U75+Közút!U75+Sport!U77+Közművelődés!W116+Támogatás!AA77</f>
        <v>1848312</v>
      </c>
      <c r="W75" s="86">
        <f>Igazgatás!V100+Községgazd!Y90+Vagyongazd!V75+Közút!V75+Sport!V77+Közművelődés!X116+Támogatás!AB77</f>
        <v>627356</v>
      </c>
      <c r="X75" s="86">
        <f>Igazgatás!W100+Községgazd!Z90+Vagyongazd!W75+Közút!W75+Sport!W77+Közművelődés!Y116+Támogatás!AC77</f>
        <v>547225</v>
      </c>
      <c r="Y75" s="87">
        <f>Igazgatás!X100+Községgazd!AA90+Vagyongazd!X75+Szennyvíz!W74+Közút!X75+Sport!X77+Közművelődés!Z116+Támogatás!AD77</f>
        <v>2838676</v>
      </c>
      <c r="AB75" s="180"/>
    </row>
    <row r="76" spans="1:28" s="41" customFormat="1" ht="15" hidden="1" customHeight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 t="e">
        <v>#REF!</v>
      </c>
      <c r="G76" s="161" t="e">
        <v>#REF!</v>
      </c>
      <c r="H76" s="161" t="e">
        <v>#REF!</v>
      </c>
      <c r="I76" s="544" t="e">
        <v>#REF!</v>
      </c>
      <c r="J76" s="544" t="e">
        <v>#REF!</v>
      </c>
      <c r="K76" s="161" t="e">
        <f>Igazgatás!J101+Községgazd!J91+Vagyongazd!#REF!+Közút!J76+Sport!J78+Közművelődés!J117+Támogatás!J78</f>
        <v>#REF!</v>
      </c>
      <c r="L76" s="161" t="e">
        <f>Igazgatás!K101+Községgazd!K91+Vagyongazd!#REF!+Közút!K76+Sport!K78+Közművelődés!K117+Támogatás!K78</f>
        <v>#REF!</v>
      </c>
      <c r="M76" s="161" t="e">
        <f>Igazgatás!L101+Községgazd!L91+Vagyongazd!#REF!+Közút!L76+Sport!L78+Közművelődés!L117+Támogatás!L78</f>
        <v>#REF!</v>
      </c>
      <c r="N76" s="163">
        <f>Igazgatás!M101+Községgazd!P91+Vagyongazd!M76+Közút!M76+Sport!M78+Közművelődés!O117+Támogatás!S78</f>
        <v>0</v>
      </c>
      <c r="O76" s="124">
        <f>Igazgatás!N101+Községgazd!Q91+Vagyongazd!N76+Közút!N76+Sport!N78+Közművelődés!P117+Támogatás!T78</f>
        <v>0</v>
      </c>
      <c r="P76" s="125">
        <f>Igazgatás!O101+Községgazd!R91+Vagyongazd!O76+Közút!O76+Sport!O78+Közművelődés!Q117+Támogatás!U78</f>
        <v>0</v>
      </c>
      <c r="Q76" s="125">
        <f>Igazgatás!P101+Községgazd!S91+Vagyongazd!P76+Közút!P76+Sport!P78+Közművelődés!R117+Támogatás!V78</f>
        <v>0</v>
      </c>
      <c r="R76" s="124">
        <f>Igazgatás!Q101+Községgazd!T91+Vagyongazd!Q76+Közút!Q76+Sport!Q78+Közművelődés!S117+Támogatás!W78</f>
        <v>0</v>
      </c>
      <c r="S76" s="125">
        <f>Igazgatás!R101+Községgazd!U91+Vagyongazd!R76+Közút!R76+Sport!R78+Közművelődés!T117+Támogatás!X78</f>
        <v>0</v>
      </c>
      <c r="T76" s="125">
        <f>Igazgatás!S101+Községgazd!V91+Vagyongazd!S76+Közút!S76+Sport!S78+Közművelődés!U117+Támogatás!Y78</f>
        <v>0</v>
      </c>
      <c r="U76" s="126">
        <f>Igazgatás!T101+Községgazd!W91+Vagyongazd!T76+Közút!T76+Sport!T78+Közművelődés!V117+Támogatás!Z78</f>
        <v>0</v>
      </c>
      <c r="V76" s="344">
        <f>Igazgatás!U101+Községgazd!X91+Vagyongazd!U76+Közút!U76+Sport!U78+Közművelődés!W117+Támogatás!AA78</f>
        <v>0</v>
      </c>
      <c r="W76" s="125">
        <f>Igazgatás!V101+Községgazd!Y91+Vagyongazd!V76+Közút!V76+Sport!V78+Közművelődés!X117+Támogatás!AB78</f>
        <v>0</v>
      </c>
      <c r="X76" s="125">
        <f>Igazgatás!W101+Községgazd!Z91+Vagyongazd!W76+Közút!W76+Sport!W78+Közművelődés!Y117+Támogatás!AC78</f>
        <v>0</v>
      </c>
      <c r="Y76" s="126">
        <f>Igazgatás!X101+Községgazd!AA91+Vagyongazd!X76+Közút!X76+Sport!X78+Közművelődés!Z117+Támogatás!AD78</f>
        <v>0</v>
      </c>
      <c r="AB76" s="180"/>
    </row>
    <row r="77" spans="1:28" ht="15" hidden="1" customHeight="1" x14ac:dyDescent="0.25">
      <c r="B77" s="54"/>
      <c r="C77" s="2"/>
      <c r="D77" s="624" t="s">
        <v>347</v>
      </c>
      <c r="E77" s="624"/>
      <c r="F77" s="159" t="e">
        <v>#REF!</v>
      </c>
      <c r="G77" s="159" t="e">
        <v>#REF!</v>
      </c>
      <c r="H77" s="159" t="e">
        <v>#REF!</v>
      </c>
      <c r="I77" s="159" t="e">
        <v>#REF!</v>
      </c>
      <c r="J77" s="159" t="e">
        <v>#REF!</v>
      </c>
      <c r="K77" s="159" t="e">
        <f>Igazgatás!J102+Községgazd!J92+Vagyongazd!#REF!+Közút!J77+Sport!J79+Közművelődés!J118+Támogatás!J79</f>
        <v>#REF!</v>
      </c>
      <c r="L77" s="159" t="e">
        <f>Igazgatás!K102+Községgazd!K92+Vagyongazd!#REF!+Közút!K77+Sport!K79+Közművelődés!K118+Támogatás!K79</f>
        <v>#REF!</v>
      </c>
      <c r="M77" s="159" t="e">
        <f>Igazgatás!L102+Községgazd!L92+Vagyongazd!#REF!+Közút!L77+Sport!L79+Közművelődés!L118+Támogatás!L79</f>
        <v>#REF!</v>
      </c>
      <c r="N77" s="72">
        <f>Igazgatás!M102+Községgazd!P92+Vagyongazd!M77+Közút!M77+Sport!M79+Közművelődés!O118+Támogatás!S79</f>
        <v>0</v>
      </c>
      <c r="O77" s="1">
        <f>Igazgatás!N102+Községgazd!Q92+Vagyongazd!N77+Közút!N77+Sport!N79+Közművelődés!P118+Támogatás!T79</f>
        <v>0</v>
      </c>
      <c r="P77" s="78">
        <f>Igazgatás!O102+Községgazd!R92+Vagyongazd!O77+Közút!O77+Sport!O79+Közművelődés!Q118+Támogatás!U79</f>
        <v>0</v>
      </c>
      <c r="Q77" s="78">
        <f>Igazgatás!P102+Községgazd!S92+Vagyongazd!P77+Közút!P77+Sport!P79+Közművelődés!R118+Támogatás!V79</f>
        <v>0</v>
      </c>
      <c r="R77" s="1">
        <f>Igazgatás!Q102+Községgazd!T92+Vagyongazd!Q77+Közút!Q77+Sport!Q79+Közművelődés!S118+Támogatás!W79</f>
        <v>0</v>
      </c>
      <c r="S77" s="78">
        <f>Igazgatás!R102+Községgazd!U92+Vagyongazd!R77+Közút!R77+Sport!R79+Közművelődés!T118+Támogatás!X79</f>
        <v>0</v>
      </c>
      <c r="T77" s="78">
        <f>Igazgatás!S102+Községgazd!V92+Vagyongazd!S77+Közút!S77+Sport!S79+Közművelődés!U118+Támogatás!Y79</f>
        <v>0</v>
      </c>
      <c r="U77" s="44">
        <f>Igazgatás!T102+Községgazd!W92+Vagyongazd!T77+Közút!T77+Sport!T79+Közművelődés!V118+Támogatás!Z79</f>
        <v>0</v>
      </c>
      <c r="V77" s="343">
        <f>Igazgatás!U102+Községgazd!X92+Vagyongazd!U77+Közút!U77+Sport!U79+Közművelődés!W118+Támogatás!AA79</f>
        <v>0</v>
      </c>
      <c r="W77" s="78">
        <f>Igazgatás!V102+Községgazd!Y92+Vagyongazd!V77+Közút!V77+Sport!V79+Közművelődés!X118+Támogatás!AB79</f>
        <v>0</v>
      </c>
      <c r="X77" s="78">
        <f>Igazgatás!W102+Községgazd!Z92+Vagyongazd!W77+Közút!W77+Sport!W79+Közművelődés!Y118+Támogatás!AC79</f>
        <v>0</v>
      </c>
      <c r="Y77" s="44">
        <f>Igazgatás!X102+Községgazd!AA92+Vagyongazd!X77+Közút!X77+Sport!X79+Közművelődés!Z118+Támogatás!AD79</f>
        <v>0</v>
      </c>
      <c r="AB77" s="180"/>
    </row>
    <row r="78" spans="1:28" ht="15" hidden="1" customHeight="1" x14ac:dyDescent="0.25">
      <c r="B78" s="54"/>
      <c r="C78" s="2"/>
      <c r="D78" s="624" t="s">
        <v>348</v>
      </c>
      <c r="E78" s="624"/>
      <c r="F78" s="159" t="e">
        <v>#REF!</v>
      </c>
      <c r="G78" s="159" t="e">
        <v>#REF!</v>
      </c>
      <c r="H78" s="159" t="e">
        <v>#REF!</v>
      </c>
      <c r="I78" s="159" t="e">
        <v>#REF!</v>
      </c>
      <c r="J78" s="159" t="e">
        <v>#REF!</v>
      </c>
      <c r="K78" s="159" t="e">
        <f>Igazgatás!J103+Községgazd!J93+Vagyongazd!#REF!+Közút!J78+Sport!J80+Közművelődés!J119+Támogatás!J80</f>
        <v>#REF!</v>
      </c>
      <c r="L78" s="159" t="e">
        <f>Igazgatás!K103+Községgazd!K93+Vagyongazd!#REF!+Közút!K78+Sport!K80+Közművelődés!K119+Támogatás!K80</f>
        <v>#REF!</v>
      </c>
      <c r="M78" s="159" t="e">
        <f>Igazgatás!L103+Községgazd!L93+Vagyongazd!#REF!+Közút!L78+Sport!L80+Közművelődés!L119+Támogatás!L80</f>
        <v>#REF!</v>
      </c>
      <c r="N78" s="72">
        <f>Igazgatás!M103+Községgazd!P93+Vagyongazd!M78+Közút!M78+Sport!M80+Közművelődés!O119+Támogatás!S80</f>
        <v>0</v>
      </c>
      <c r="O78" s="1">
        <f>Igazgatás!N103+Községgazd!Q93+Vagyongazd!N78+Közút!N78+Sport!N80+Közművelődés!P119+Támogatás!T80</f>
        <v>0</v>
      </c>
      <c r="P78" s="78">
        <f>Igazgatás!O103+Községgazd!R93+Vagyongazd!O78+Közút!O78+Sport!O80+Közművelődés!Q119+Támogatás!U80</f>
        <v>0</v>
      </c>
      <c r="Q78" s="78">
        <f>Igazgatás!P103+Községgazd!S93+Vagyongazd!P78+Közút!P78+Sport!P80+Közművelődés!R119+Támogatás!V80</f>
        <v>0</v>
      </c>
      <c r="R78" s="1">
        <f>Igazgatás!Q103+Községgazd!T93+Vagyongazd!Q78+Közút!Q78+Sport!Q80+Közművelődés!S119+Támogatás!W80</f>
        <v>0</v>
      </c>
      <c r="S78" s="78">
        <f>Igazgatás!R103+Községgazd!U93+Vagyongazd!R78+Közút!R78+Sport!R80+Közművelődés!T119+Támogatás!X80</f>
        <v>0</v>
      </c>
      <c r="T78" s="78">
        <f>Igazgatás!S103+Községgazd!V93+Vagyongazd!S78+Közút!S78+Sport!S80+Közművelődés!U119+Támogatás!Y80</f>
        <v>0</v>
      </c>
      <c r="U78" s="44">
        <f>Igazgatás!T103+Községgazd!W93+Vagyongazd!T78+Közút!T78+Sport!T80+Közművelődés!V119+Támogatás!Z80</f>
        <v>0</v>
      </c>
      <c r="V78" s="343">
        <f>Igazgatás!U103+Községgazd!X93+Vagyongazd!U78+Közút!U78+Sport!U80+Közművelődés!W119+Támogatás!AA80</f>
        <v>0</v>
      </c>
      <c r="W78" s="78">
        <f>Igazgatás!V103+Községgazd!Y93+Vagyongazd!V78+Közút!V78+Sport!V80+Közművelődés!X119+Támogatás!AB80</f>
        <v>0</v>
      </c>
      <c r="X78" s="78">
        <f>Igazgatás!W103+Községgazd!Z93+Vagyongazd!W78+Közút!W78+Sport!W80+Közművelődés!Y119+Támogatás!AC80</f>
        <v>0</v>
      </c>
      <c r="Y78" s="44">
        <f>Igazgatás!X103+Községgazd!AA93+Vagyongazd!X78+Közút!X78+Sport!X80+Közművelődés!Z119+Támogatás!AD80</f>
        <v>0</v>
      </c>
      <c r="AB78" s="180"/>
    </row>
    <row r="79" spans="1:28" ht="15" customHeight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161">
        <v>0</v>
      </c>
      <c r="H79" s="161">
        <v>0</v>
      </c>
      <c r="I79" s="544">
        <v>83676</v>
      </c>
      <c r="J79" s="544">
        <v>83676</v>
      </c>
      <c r="K79" s="161">
        <f>Támogatás!J81</f>
        <v>83676</v>
      </c>
      <c r="L79" s="161">
        <f>Igazgatás!K104+Községgazd!K94+Közút!K79+Sport!K81+Közművelődés!K120+Támogatás!K81</f>
        <v>0</v>
      </c>
      <c r="M79" s="161">
        <f>Igazgatás!L104+Községgazd!L94+Közút!L79+Sport!L81+Közművelődés!L120+Támogatás!L81</f>
        <v>83676</v>
      </c>
      <c r="N79" s="163">
        <f>Igazgatás!M104+Községgazd!P94+Vagyongazd!M79+Közút!M79+Sport!M81+Közművelődés!O120+Támogatás!S81</f>
        <v>0</v>
      </c>
      <c r="O79" s="124">
        <f>Igazgatás!N104+Községgazd!Q94+Vagyongazd!N79+Közút!N79+Sport!N81+Közművelődés!P120+Támogatás!T81</f>
        <v>0</v>
      </c>
      <c r="P79" s="125">
        <f>Igazgatás!O104+Községgazd!R94+Vagyongazd!O79+Közút!O79+Sport!O81+Közművelődés!Q120+Támogatás!U81</f>
        <v>0</v>
      </c>
      <c r="Q79" s="125">
        <f>Igazgatás!P104+Községgazd!S94+Vagyongazd!P79+Közút!P79+Sport!P81+Közművelődés!R120+Támogatás!V81</f>
        <v>0</v>
      </c>
      <c r="R79" s="124">
        <f>Igazgatás!Q104+Községgazd!T94+Vagyongazd!Q79+Közút!Q79+Sport!Q81+Közművelődés!S120+Támogatás!W81</f>
        <v>83676</v>
      </c>
      <c r="S79" s="125">
        <f>Igazgatás!R104+Községgazd!U94+Vagyongazd!R79+Közút!R79+Sport!R81+Közművelődés!T120+Támogatás!X81</f>
        <v>0</v>
      </c>
      <c r="T79" s="125">
        <f>Igazgatás!S104+Községgazd!V94+Vagyongazd!S79+Közút!S79+Sport!S81+Közművelődés!U120+Támogatás!Y81</f>
        <v>0</v>
      </c>
      <c r="U79" s="126">
        <f>Igazgatás!T104+Községgazd!W94+Vagyongazd!T79+Közút!T79+Sport!T81+Közművelődés!V120+Támogatás!Z81</f>
        <v>0</v>
      </c>
      <c r="V79" s="344">
        <f>Igazgatás!U104+Községgazd!X94+Vagyongazd!U79+Közút!U79+Sport!U81+Közművelődés!W120+Támogatás!AA81</f>
        <v>0</v>
      </c>
      <c r="W79" s="125">
        <f>Igazgatás!V104+Községgazd!Y94+Vagyongazd!V79+Közút!V79+Sport!V81+Közművelődés!X120+Támogatás!AB81</f>
        <v>0</v>
      </c>
      <c r="X79" s="125">
        <f>Igazgatás!W104+Községgazd!Z94+Vagyongazd!W79+Közút!W79+Sport!W81+Közművelődés!Y120+Támogatás!AC81</f>
        <v>0</v>
      </c>
      <c r="Y79" s="126">
        <f>Igazgatás!X104+Községgazd!AA94+Vagyongazd!X79+Közút!X79+Sport!X81+Közművelődés!Z120+Támogatás!AD81</f>
        <v>0</v>
      </c>
      <c r="AB79" s="180"/>
    </row>
    <row r="80" spans="1:28" s="199" customFormat="1" ht="15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183">
        <v>0</v>
      </c>
      <c r="H80" s="183">
        <v>0</v>
      </c>
      <c r="I80" s="183">
        <v>83676</v>
      </c>
      <c r="J80" s="183">
        <v>83676</v>
      </c>
      <c r="K80" s="183">
        <f>Támogatás!J82</f>
        <v>83676</v>
      </c>
      <c r="L80" s="183">
        <f>Támogatás!K82</f>
        <v>0</v>
      </c>
      <c r="M80" s="183">
        <f>Támogatás!L82</f>
        <v>83676</v>
      </c>
      <c r="N80" s="191">
        <f>Igazgatás!M105+Községgazd!P95+Vagyongazd!M80+Közút!M80+Sport!M82+Közművelődés!O121+Támogatás!S82</f>
        <v>0</v>
      </c>
      <c r="O80" s="185">
        <f>Igazgatás!N105+Községgazd!Q95+Vagyongazd!N80+Közút!N80+Sport!N82+Közművelődés!P121+Támogatás!T82</f>
        <v>0</v>
      </c>
      <c r="P80" s="186">
        <f>Igazgatás!O105+Községgazd!R95+Vagyongazd!O80+Közút!O80+Sport!O82+Közművelődés!Q121+Támogatás!U82</f>
        <v>0</v>
      </c>
      <c r="Q80" s="186">
        <f>Igazgatás!P105+Községgazd!S95+Vagyongazd!P80+Közút!P80+Sport!P82+Közművelődés!R121+Támogatás!V82</f>
        <v>0</v>
      </c>
      <c r="R80" s="185">
        <f>Igazgatás!Q105+Községgazd!T95+Vagyongazd!Q80+Közút!Q80+Sport!Q82+Közművelődés!S121+Támogatás!W82</f>
        <v>83676</v>
      </c>
      <c r="S80" s="186">
        <f>Igazgatás!R105+Községgazd!U95+Vagyongazd!R80+Közút!R80+Sport!R82+Közművelődés!T121+Támogatás!X82</f>
        <v>0</v>
      </c>
      <c r="T80" s="186">
        <f>Igazgatás!S105+Községgazd!V95+Vagyongazd!S80+Közút!S80+Sport!S82+Közművelődés!U121+Támogatás!Y82</f>
        <v>0</v>
      </c>
      <c r="U80" s="187">
        <f>Igazgatás!T105+Községgazd!W95+Vagyongazd!T80+Közút!T80+Sport!T82+Közművelődés!V121+Támogatás!Z82</f>
        <v>0</v>
      </c>
      <c r="V80" s="340">
        <f>Igazgatás!U105+Községgazd!X95+Vagyongazd!U80+Közút!U80+Sport!U82+Közművelődés!W121+Támogatás!AA82</f>
        <v>0</v>
      </c>
      <c r="W80" s="186">
        <f>Igazgatás!V105+Községgazd!Y95+Vagyongazd!V80+Közút!V80+Sport!V82+Közművelődés!X121+Támogatás!AB82</f>
        <v>0</v>
      </c>
      <c r="X80" s="186">
        <f>Igazgatás!W105+Községgazd!Z95+Vagyongazd!W80+Közút!W80+Sport!W82+Közművelődés!Y121+Támogatás!AC82</f>
        <v>0</v>
      </c>
      <c r="Y80" s="187">
        <f>Igazgatás!X105+Községgazd!AA95+Vagyongazd!X80+Közút!X80+Sport!X82+Közművelődés!Z121+Támogatás!AD82</f>
        <v>0</v>
      </c>
      <c r="AB80" s="180"/>
    </row>
    <row r="81" spans="1:28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 t="e">
        <v>#REF!</v>
      </c>
      <c r="G81" s="183" t="e">
        <v>#REF!</v>
      </c>
      <c r="H81" s="183" t="e">
        <v>#REF!</v>
      </c>
      <c r="I81" s="183" t="e">
        <v>#REF!</v>
      </c>
      <c r="J81" s="183" t="e">
        <v>#REF!</v>
      </c>
      <c r="K81" s="183" t="e">
        <f>Igazgatás!J106+Községgazd!J96+Vagyongazd!#REF!+Közút!J81+Sport!J83+Közművelődés!J122+Támogatás!J83</f>
        <v>#REF!</v>
      </c>
      <c r="L81" s="183" t="e">
        <f>Igazgatás!K106+Községgazd!K96+Vagyongazd!#REF!+Közút!K81+Sport!K83+Közművelődés!K122+Támogatás!K83</f>
        <v>#REF!</v>
      </c>
      <c r="M81" s="183" t="e">
        <f>Igazgatás!L106+Községgazd!L96+Vagyongazd!#REF!+Közút!L81+Sport!L83+Közművelődés!L122+Támogatás!L83</f>
        <v>#REF!</v>
      </c>
      <c r="N81" s="191">
        <f>Igazgatás!M106+Községgazd!P96+Vagyongazd!M81+Közút!M81+Sport!M83+Közművelődés!O122+Támogatás!S83</f>
        <v>0</v>
      </c>
      <c r="O81" s="185">
        <f>Igazgatás!N106+Községgazd!Q96+Vagyongazd!N81+Közút!N81+Sport!N83+Közművelődés!P122+Támogatás!T83</f>
        <v>0</v>
      </c>
      <c r="P81" s="186">
        <f>Igazgatás!O106+Községgazd!R96+Vagyongazd!O81+Közút!O81+Sport!O83+Közművelődés!Q122+Támogatás!U83</f>
        <v>0</v>
      </c>
      <c r="Q81" s="186">
        <f>Igazgatás!P106+Községgazd!S96+Vagyongazd!P81+Közút!P81+Sport!P83+Közművelődés!R122+Támogatás!V83</f>
        <v>0</v>
      </c>
      <c r="R81" s="185">
        <f>Igazgatás!Q106+Községgazd!T96+Vagyongazd!Q81+Közút!Q81+Sport!Q83+Közművelődés!S122+Támogatás!W83</f>
        <v>0</v>
      </c>
      <c r="S81" s="186">
        <f>Igazgatás!R106+Községgazd!U96+Vagyongazd!R81+Közút!R81+Sport!R83+Közművelődés!T122+Támogatás!X83</f>
        <v>0</v>
      </c>
      <c r="T81" s="186">
        <f>Igazgatás!S106+Községgazd!V96+Vagyongazd!S81+Közút!S81+Sport!S83+Közművelődés!U122+Támogatás!Y83</f>
        <v>0</v>
      </c>
      <c r="U81" s="187">
        <f>Igazgatás!T106+Községgazd!W96+Vagyongazd!T81+Közút!T81+Sport!T83+Közművelődés!V122+Támogatás!Z83</f>
        <v>0</v>
      </c>
      <c r="V81" s="340">
        <f>Igazgatás!U106+Községgazd!X96+Vagyongazd!U81+Közút!U81+Sport!U83+Közművelődés!W122+Támogatás!AA83</f>
        <v>0</v>
      </c>
      <c r="W81" s="186">
        <f>Igazgatás!V106+Községgazd!Y96+Vagyongazd!V81+Közút!V81+Sport!V83+Közművelődés!X122+Támogatás!AB83</f>
        <v>0</v>
      </c>
      <c r="X81" s="186">
        <f>Igazgatás!W106+Községgazd!Z96+Vagyongazd!W81+Közút!W81+Sport!W83+Közművelődés!Y122+Támogatás!AC83</f>
        <v>0</v>
      </c>
      <c r="Y81" s="187">
        <f>Igazgatás!X106+Községgazd!AA96+Vagyongazd!X81+Közút!X81+Sport!X83+Közművelődés!Z122+Támogatás!AD83</f>
        <v>0</v>
      </c>
      <c r="AB81" s="180"/>
    </row>
    <row r="82" spans="1:28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 t="e">
        <v>#REF!</v>
      </c>
      <c r="G82" s="183" t="e">
        <v>#REF!</v>
      </c>
      <c r="H82" s="183" t="e">
        <v>#REF!</v>
      </c>
      <c r="I82" s="183" t="e">
        <v>#REF!</v>
      </c>
      <c r="J82" s="183" t="e">
        <v>#REF!</v>
      </c>
      <c r="K82" s="183" t="e">
        <f>Igazgatás!J107+Községgazd!J97+Vagyongazd!#REF!+Közút!J82+Sport!J84+Közművelődés!J123+Támogatás!J84</f>
        <v>#REF!</v>
      </c>
      <c r="L82" s="183" t="e">
        <f>Igazgatás!K107+Községgazd!K97+Vagyongazd!#REF!+Közút!K82+Sport!K84+Közművelődés!K123+Támogatás!K84</f>
        <v>#REF!</v>
      </c>
      <c r="M82" s="183" t="e">
        <f>Igazgatás!L107+Községgazd!L97+Vagyongazd!#REF!+Közút!L82+Sport!L84+Közművelődés!L123+Támogatás!L84</f>
        <v>#REF!</v>
      </c>
      <c r="N82" s="191">
        <f>Igazgatás!M107+Községgazd!P97+Vagyongazd!M82+Közút!M82+Sport!M84+Közművelődés!O123+Támogatás!S84</f>
        <v>0</v>
      </c>
      <c r="O82" s="185">
        <f>Igazgatás!N107+Községgazd!Q97+Vagyongazd!N82+Közút!N82+Sport!N84+Közművelődés!P123+Támogatás!T84</f>
        <v>0</v>
      </c>
      <c r="P82" s="186">
        <f>Igazgatás!O107+Községgazd!R97+Vagyongazd!O82+Közút!O82+Sport!O84+Közművelődés!Q123+Támogatás!U84</f>
        <v>0</v>
      </c>
      <c r="Q82" s="186">
        <f>Igazgatás!P107+Községgazd!S97+Vagyongazd!P82+Közút!P82+Sport!P84+Közművelődés!R123+Támogatás!V84</f>
        <v>0</v>
      </c>
      <c r="R82" s="185">
        <f>Igazgatás!Q107+Községgazd!T97+Vagyongazd!Q82+Közút!Q82+Sport!Q84+Közművelődés!S123+Támogatás!W84</f>
        <v>0</v>
      </c>
      <c r="S82" s="186">
        <f>Igazgatás!R107+Községgazd!U97+Vagyongazd!R82+Közút!R82+Sport!R84+Közművelődés!T123+Támogatás!X84</f>
        <v>0</v>
      </c>
      <c r="T82" s="186">
        <f>Igazgatás!S107+Községgazd!V97+Vagyongazd!S82+Közút!S82+Sport!S84+Közművelődés!U123+Támogatás!Y84</f>
        <v>0</v>
      </c>
      <c r="U82" s="187">
        <f>Igazgatás!T107+Községgazd!W97+Vagyongazd!T82+Közút!T82+Sport!T84+Közművelődés!V123+Támogatás!Z84</f>
        <v>0</v>
      </c>
      <c r="V82" s="340">
        <f>Igazgatás!U107+Községgazd!X97+Vagyongazd!U82+Közút!U82+Sport!U84+Közművelődés!W123+Támogatás!AA84</f>
        <v>0</v>
      </c>
      <c r="W82" s="186">
        <f>Igazgatás!V107+Községgazd!Y97+Vagyongazd!V82+Közút!V82+Sport!V84+Közművelődés!X123+Támogatás!AB84</f>
        <v>0</v>
      </c>
      <c r="X82" s="186">
        <f>Igazgatás!W107+Községgazd!Z97+Vagyongazd!W82+Közút!W82+Sport!W84+Közművelődés!Y123+Támogatás!AC84</f>
        <v>0</v>
      </c>
      <c r="Y82" s="187">
        <f>Igazgatás!X107+Községgazd!AA97+Vagyongazd!X82+Közút!X82+Sport!X84+Közművelődés!Z123+Támogatás!AD84</f>
        <v>0</v>
      </c>
      <c r="AB82" s="180"/>
    </row>
    <row r="83" spans="1:28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 t="e">
        <v>#REF!</v>
      </c>
      <c r="G83" s="162" t="e">
        <v>#REF!</v>
      </c>
      <c r="H83" s="162" t="e">
        <v>#REF!</v>
      </c>
      <c r="I83" s="160" t="e">
        <v>#REF!</v>
      </c>
      <c r="J83" s="160" t="e">
        <v>#REF!</v>
      </c>
      <c r="K83" s="162" t="e">
        <f>Igazgatás!J108+Községgazd!J98+Vagyongazd!#REF!+Közút!J83+Sport!J85+Közművelődés!J124+Támogatás!J85</f>
        <v>#REF!</v>
      </c>
      <c r="L83" s="162" t="e">
        <f>Igazgatás!K108+Községgazd!K98+Vagyongazd!#REF!+Közút!K83+Sport!K85+Közművelődés!K124+Támogatás!K85</f>
        <v>#REF!</v>
      </c>
      <c r="M83" s="162" t="e">
        <f>Igazgatás!L108+Községgazd!L98+Vagyongazd!#REF!+Közút!L83+Sport!L85+Közművelődés!L124+Támogatás!L85</f>
        <v>#REF!</v>
      </c>
      <c r="N83" s="102">
        <f>Igazgatás!M108+Községgazd!P98+Vagyongazd!M83+Közút!M83+Sport!M85+Közművelődés!O124+Támogatás!S85</f>
        <v>0</v>
      </c>
      <c r="O83" s="103">
        <f>Igazgatás!N108+Községgazd!Q98+Vagyongazd!N83+Közút!N83+Sport!N85+Közművelődés!P124+Támogatás!T85</f>
        <v>0</v>
      </c>
      <c r="P83" s="106">
        <f>Igazgatás!O108+Községgazd!R98+Vagyongazd!O83+Közút!O83+Sport!O85+Közművelődés!Q124+Támogatás!U85</f>
        <v>0</v>
      </c>
      <c r="Q83" s="106">
        <f>Igazgatás!P108+Községgazd!S98+Vagyongazd!P83+Közút!P83+Sport!P85+Közművelődés!R124+Támogatás!V85</f>
        <v>0</v>
      </c>
      <c r="R83" s="103">
        <f>Igazgatás!Q108+Községgazd!T98+Vagyongazd!Q83+Közút!Q83+Sport!Q85+Közművelődés!S124+Támogatás!W85</f>
        <v>0</v>
      </c>
      <c r="S83" s="106">
        <f>Igazgatás!R108+Községgazd!U98+Vagyongazd!R83+Közút!R83+Sport!R85+Közművelődés!T124+Támogatás!X85</f>
        <v>0</v>
      </c>
      <c r="T83" s="106">
        <f>Igazgatás!S108+Községgazd!V98+Vagyongazd!S83+Közút!S83+Sport!S85+Közművelődés!U124+Támogatás!Y85</f>
        <v>0</v>
      </c>
      <c r="U83" s="107">
        <f>Igazgatás!T108+Községgazd!W98+Vagyongazd!T83+Közút!T83+Sport!T85+Közművelődés!V124+Támogatás!Z85</f>
        <v>0</v>
      </c>
      <c r="V83" s="345">
        <f>Igazgatás!U108+Községgazd!X98+Vagyongazd!U83+Közút!U83+Sport!U85+Közművelődés!W124+Támogatás!AA85</f>
        <v>0</v>
      </c>
      <c r="W83" s="106">
        <f>Igazgatás!V108+Községgazd!Y98+Vagyongazd!V83+Közút!V83+Sport!V85+Közművelődés!X124+Támogatás!AB85</f>
        <v>0</v>
      </c>
      <c r="X83" s="106">
        <f>Igazgatás!W108+Községgazd!Z98+Vagyongazd!W83+Közút!W83+Sport!W85+Közművelődés!Y124+Támogatás!AC85</f>
        <v>0</v>
      </c>
      <c r="Y83" s="107">
        <f>Igazgatás!X108+Községgazd!AA98+Vagyongazd!X83+Közút!X83+Sport!X85+Közművelődés!Z124+Támogatás!AD85</f>
        <v>0</v>
      </c>
      <c r="AB83" s="180"/>
    </row>
    <row r="84" spans="1:28" s="41" customFormat="1" ht="15" hidden="1" customHeight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 t="e">
        <v>#REF!</v>
      </c>
      <c r="G84" s="162" t="e">
        <v>#REF!</v>
      </c>
      <c r="H84" s="162" t="e">
        <v>#REF!</v>
      </c>
      <c r="I84" s="160" t="e">
        <v>#REF!</v>
      </c>
      <c r="J84" s="160" t="e">
        <v>#REF!</v>
      </c>
      <c r="K84" s="162" t="e">
        <f>Igazgatás!J109+Községgazd!J99+Vagyongazd!#REF!+Közút!J84+Sport!J86+Közművelődés!J125+Támogatás!J86</f>
        <v>#REF!</v>
      </c>
      <c r="L84" s="162" t="e">
        <f>Igazgatás!K109+Községgazd!K99+Vagyongazd!#REF!+Közút!K84+Sport!K86+Közművelődés!K125+Támogatás!K86</f>
        <v>#REF!</v>
      </c>
      <c r="M84" s="162" t="e">
        <f>Igazgatás!L109+Községgazd!L99+Vagyongazd!#REF!+Közút!L84+Sport!L86+Közművelődés!L125+Támogatás!L86</f>
        <v>#REF!</v>
      </c>
      <c r="N84" s="102">
        <f>Igazgatás!M109+Községgazd!P99+Vagyongazd!M84+Közút!M84+Sport!M86+Közművelődés!O125+Támogatás!S86</f>
        <v>0</v>
      </c>
      <c r="O84" s="103">
        <f>Igazgatás!N109+Községgazd!Q99+Vagyongazd!N84+Közút!N84+Sport!N86+Közművelődés!P125+Támogatás!T86</f>
        <v>0</v>
      </c>
      <c r="P84" s="106">
        <f>Igazgatás!O109+Községgazd!R99+Vagyongazd!O84+Közút!O84+Sport!O86+Közművelődés!Q125+Támogatás!U86</f>
        <v>0</v>
      </c>
      <c r="Q84" s="106">
        <f>Igazgatás!P109+Községgazd!S99+Vagyongazd!P84+Közút!P84+Sport!P86+Közművelődés!R125+Támogatás!V86</f>
        <v>0</v>
      </c>
      <c r="R84" s="103">
        <f>Igazgatás!Q109+Községgazd!T99+Vagyongazd!Q84+Közút!Q84+Sport!Q86+Közművelődés!S125+Támogatás!W86</f>
        <v>0</v>
      </c>
      <c r="S84" s="106">
        <f>Igazgatás!R109+Községgazd!U99+Vagyongazd!R84+Közút!R84+Sport!R86+Közművelődés!T125+Támogatás!X86</f>
        <v>0</v>
      </c>
      <c r="T84" s="106">
        <f>Igazgatás!S109+Községgazd!V99+Vagyongazd!S84+Közút!S84+Sport!S86+Közművelődés!U125+Támogatás!Y86</f>
        <v>0</v>
      </c>
      <c r="U84" s="107">
        <f>Igazgatás!T109+Községgazd!W99+Vagyongazd!T84+Közút!T84+Sport!T86+Közművelődés!V125+Támogatás!Z86</f>
        <v>0</v>
      </c>
      <c r="V84" s="345">
        <f>Igazgatás!U109+Községgazd!X99+Vagyongazd!U84+Közút!U84+Sport!U86+Közművelődés!W125+Támogatás!AA86</f>
        <v>0</v>
      </c>
      <c r="W84" s="106">
        <f>Igazgatás!V109+Községgazd!Y99+Vagyongazd!V84+Közút!V84+Sport!V86+Közművelődés!X125+Támogatás!AB86</f>
        <v>0</v>
      </c>
      <c r="X84" s="106">
        <f>Igazgatás!W109+Községgazd!Z99+Vagyongazd!W84+Közút!W84+Sport!W86+Közművelődés!Y125+Támogatás!AC86</f>
        <v>0</v>
      </c>
      <c r="Y84" s="107">
        <f>Igazgatás!X109+Községgazd!AA99+Vagyongazd!X84+Közút!X84+Sport!X86+Közművelődés!Z125+Támogatás!AD86</f>
        <v>0</v>
      </c>
      <c r="AB84" s="180"/>
    </row>
    <row r="85" spans="1:28" ht="15" hidden="1" customHeight="1" x14ac:dyDescent="0.25">
      <c r="B85" s="54"/>
      <c r="C85" s="2"/>
      <c r="D85" s="624" t="s">
        <v>370</v>
      </c>
      <c r="E85" s="624"/>
      <c r="F85" s="159" t="e">
        <v>#REF!</v>
      </c>
      <c r="G85" s="159" t="e">
        <v>#REF!</v>
      </c>
      <c r="H85" s="159" t="e">
        <v>#REF!</v>
      </c>
      <c r="I85" s="159" t="e">
        <v>#REF!</v>
      </c>
      <c r="J85" s="159" t="e">
        <v>#REF!</v>
      </c>
      <c r="K85" s="159" t="e">
        <f>Igazgatás!J110+Községgazd!J100+Vagyongazd!#REF!+Közút!J85+Sport!J87+Közművelődés!J126+Támogatás!J87</f>
        <v>#REF!</v>
      </c>
      <c r="L85" s="159" t="e">
        <f>Igazgatás!K110+Községgazd!K100+Vagyongazd!#REF!+Közút!K85+Sport!K87+Közművelődés!K126+Támogatás!K87</f>
        <v>#REF!</v>
      </c>
      <c r="M85" s="159" t="e">
        <f>Igazgatás!L110+Községgazd!L100+Vagyongazd!#REF!+Közút!L85+Sport!L87+Közművelődés!L126+Támogatás!L87</f>
        <v>#REF!</v>
      </c>
      <c r="N85" s="72">
        <f>Igazgatás!M110+Községgazd!P100+Vagyongazd!M85+Közút!M85+Sport!M87+Közművelődés!O126+Támogatás!S87</f>
        <v>0</v>
      </c>
      <c r="O85" s="1">
        <f>Igazgatás!N110+Községgazd!Q100+Vagyongazd!N85+Közút!N85+Sport!N87+Közművelődés!P126+Támogatás!T87</f>
        <v>0</v>
      </c>
      <c r="P85" s="78">
        <f>Igazgatás!O110+Községgazd!R100+Vagyongazd!O85+Közút!O85+Sport!O87+Közművelődés!Q126+Támogatás!U87</f>
        <v>0</v>
      </c>
      <c r="Q85" s="78">
        <f>Igazgatás!P110+Községgazd!S100+Vagyongazd!P85+Közút!P85+Sport!P87+Közművelődés!R126+Támogatás!V87</f>
        <v>0</v>
      </c>
      <c r="R85" s="1">
        <f>Igazgatás!Q110+Községgazd!T100+Vagyongazd!Q85+Közút!Q85+Sport!Q87+Közművelődés!S126+Támogatás!W87</f>
        <v>0</v>
      </c>
      <c r="S85" s="78">
        <f>Igazgatás!R110+Községgazd!U100+Vagyongazd!R85+Közút!R85+Sport!R87+Közművelődés!T126+Támogatás!X87</f>
        <v>0</v>
      </c>
      <c r="T85" s="78">
        <f>Igazgatás!S110+Községgazd!V100+Vagyongazd!S85+Közút!S85+Sport!S87+Közművelődés!U126+Támogatás!Y87</f>
        <v>0</v>
      </c>
      <c r="U85" s="44">
        <f>Igazgatás!T110+Községgazd!W100+Vagyongazd!T85+Közút!T85+Sport!T87+Közművelődés!V126+Támogatás!Z87</f>
        <v>0</v>
      </c>
      <c r="V85" s="343">
        <f>Igazgatás!U110+Községgazd!X100+Vagyongazd!U85+Közút!U85+Sport!U87+Közművelődés!W126+Támogatás!AA87</f>
        <v>0</v>
      </c>
      <c r="W85" s="78">
        <f>Igazgatás!V110+Községgazd!Y100+Vagyongazd!V85+Közút!V85+Sport!V87+Közművelődés!X126+Támogatás!AB87</f>
        <v>0</v>
      </c>
      <c r="X85" s="78">
        <f>Igazgatás!W110+Községgazd!Z100+Vagyongazd!W85+Közút!W85+Sport!W87+Közművelődés!Y126+Támogatás!AC87</f>
        <v>0</v>
      </c>
      <c r="Y85" s="44">
        <f>Igazgatás!X110+Községgazd!AA100+Vagyongazd!X85+Közút!X85+Sport!X87+Közművelődés!Z126+Támogatás!AD87</f>
        <v>0</v>
      </c>
      <c r="AB85" s="180"/>
    </row>
    <row r="86" spans="1:28" ht="15" hidden="1" customHeight="1" x14ac:dyDescent="0.25">
      <c r="B86" s="54"/>
      <c r="C86" s="2"/>
      <c r="D86" s="624" t="s">
        <v>506</v>
      </c>
      <c r="E86" s="624"/>
      <c r="F86" s="159" t="e">
        <v>#REF!</v>
      </c>
      <c r="G86" s="159" t="e">
        <v>#REF!</v>
      </c>
      <c r="H86" s="159" t="e">
        <v>#REF!</v>
      </c>
      <c r="I86" s="159" t="e">
        <v>#REF!</v>
      </c>
      <c r="J86" s="159" t="e">
        <v>#REF!</v>
      </c>
      <c r="K86" s="159" t="e">
        <f>Igazgatás!J111+Községgazd!J101+Vagyongazd!#REF!+Közút!J86+Sport!J88+Közművelődés!J127+Támogatás!J88</f>
        <v>#REF!</v>
      </c>
      <c r="L86" s="159" t="e">
        <f>Igazgatás!K111+Községgazd!K101+Vagyongazd!#REF!+Közút!K86+Sport!K88+Közművelődés!K127+Támogatás!K88</f>
        <v>#REF!</v>
      </c>
      <c r="M86" s="159" t="e">
        <f>Igazgatás!L111+Községgazd!L101+Vagyongazd!#REF!+Közút!L86+Sport!L88+Közművelődés!L127+Támogatás!L88</f>
        <v>#REF!</v>
      </c>
      <c r="N86" s="72">
        <f>Igazgatás!M111+Községgazd!P101+Vagyongazd!M86+Közút!M86+Sport!M88+Közművelődés!O127+Támogatás!S88</f>
        <v>0</v>
      </c>
      <c r="O86" s="1">
        <f>Igazgatás!N111+Községgazd!Q101+Vagyongazd!N86+Közút!N86+Sport!N88+Közművelődés!P127+Támogatás!T88</f>
        <v>0</v>
      </c>
      <c r="P86" s="78">
        <f>Igazgatás!O111+Községgazd!R101+Vagyongazd!O86+Közút!O86+Sport!O88+Közművelődés!Q127+Támogatás!U88</f>
        <v>0</v>
      </c>
      <c r="Q86" s="78">
        <f>Igazgatás!P111+Községgazd!S101+Vagyongazd!P86+Közút!P86+Sport!P88+Közművelődés!R127+Támogatás!V88</f>
        <v>0</v>
      </c>
      <c r="R86" s="1">
        <f>Igazgatás!Q111+Községgazd!T101+Vagyongazd!Q86+Közút!Q86+Sport!Q88+Közművelődés!S127+Támogatás!W88</f>
        <v>0</v>
      </c>
      <c r="S86" s="78">
        <f>Igazgatás!R111+Községgazd!U101+Vagyongazd!R86+Közút!R86+Sport!R88+Közművelődés!T127+Támogatás!X88</f>
        <v>0</v>
      </c>
      <c r="T86" s="78">
        <f>Igazgatás!S111+Községgazd!V101+Vagyongazd!S86+Közút!S86+Sport!S88+Közművelődés!U127+Támogatás!Y88</f>
        <v>0</v>
      </c>
      <c r="U86" s="44">
        <f>Igazgatás!T111+Községgazd!W101+Vagyongazd!T86+Közút!T86+Sport!T88+Közművelődés!V127+Támogatás!Z88</f>
        <v>0</v>
      </c>
      <c r="V86" s="343">
        <f>Igazgatás!U111+Községgazd!X101+Vagyongazd!U86+Közút!U86+Sport!U88+Közművelődés!W127+Támogatás!AA88</f>
        <v>0</v>
      </c>
      <c r="W86" s="78">
        <f>Igazgatás!V111+Községgazd!Y101+Vagyongazd!V86+Közút!V86+Sport!V88+Közművelődés!X127+Támogatás!AB88</f>
        <v>0</v>
      </c>
      <c r="X86" s="78">
        <f>Igazgatás!W111+Községgazd!Z101+Vagyongazd!W86+Közút!W86+Sport!W88+Közművelődés!Y127+Támogatás!AC88</f>
        <v>0</v>
      </c>
      <c r="Y86" s="44">
        <f>Igazgatás!X111+Községgazd!AA101+Vagyongazd!X86+Közút!X86+Sport!X88+Közművelődés!Z127+Támogatás!AD88</f>
        <v>0</v>
      </c>
      <c r="AB86" s="180"/>
    </row>
    <row r="87" spans="1:28" ht="15" hidden="1" customHeight="1" x14ac:dyDescent="0.25">
      <c r="B87" s="54"/>
      <c r="C87" s="2"/>
      <c r="D87" s="624" t="s">
        <v>507</v>
      </c>
      <c r="E87" s="624"/>
      <c r="F87" s="159" t="e">
        <v>#REF!</v>
      </c>
      <c r="G87" s="159" t="e">
        <v>#REF!</v>
      </c>
      <c r="H87" s="159" t="e">
        <v>#REF!</v>
      </c>
      <c r="I87" s="159" t="e">
        <v>#REF!</v>
      </c>
      <c r="J87" s="159" t="e">
        <v>#REF!</v>
      </c>
      <c r="K87" s="159" t="e">
        <f>Igazgatás!J112+Községgazd!J102+Vagyongazd!#REF!+Közút!J87+Sport!J89+Közművelődés!J128+Támogatás!J89</f>
        <v>#REF!</v>
      </c>
      <c r="L87" s="159" t="e">
        <f>Igazgatás!K112+Községgazd!K102+Vagyongazd!#REF!+Közút!K87+Sport!K89+Közművelődés!K128+Támogatás!K89</f>
        <v>#REF!</v>
      </c>
      <c r="M87" s="159" t="e">
        <f>Igazgatás!L112+Községgazd!L102+Vagyongazd!#REF!+Közút!L87+Sport!L89+Közművelődés!L128+Támogatás!L89</f>
        <v>#REF!</v>
      </c>
      <c r="N87" s="72">
        <f>Igazgatás!M112+Községgazd!P102+Vagyongazd!M87+Közút!M87+Sport!M89+Közművelődés!O128+Támogatás!S89</f>
        <v>0</v>
      </c>
      <c r="O87" s="1">
        <f>Igazgatás!N112+Községgazd!Q102+Vagyongazd!N87+Közút!N87+Sport!N89+Közművelődés!P128+Támogatás!T89</f>
        <v>0</v>
      </c>
      <c r="P87" s="78">
        <f>Igazgatás!O112+Községgazd!R102+Vagyongazd!O87+Közút!O87+Sport!O89+Közművelődés!Q128+Támogatás!U89</f>
        <v>0</v>
      </c>
      <c r="Q87" s="78">
        <f>Igazgatás!P112+Községgazd!S102+Vagyongazd!P87+Közút!P87+Sport!P89+Közművelődés!R128+Támogatás!V89</f>
        <v>0</v>
      </c>
      <c r="R87" s="1">
        <f>Igazgatás!Q112+Községgazd!T102+Vagyongazd!Q87+Közút!Q87+Sport!Q89+Közművelődés!S128+Támogatás!W89</f>
        <v>0</v>
      </c>
      <c r="S87" s="78">
        <f>Igazgatás!R112+Községgazd!U102+Vagyongazd!R87+Közút!R87+Sport!R89+Közművelődés!T128+Támogatás!X89</f>
        <v>0</v>
      </c>
      <c r="T87" s="78">
        <f>Igazgatás!S112+Községgazd!V102+Vagyongazd!S87+Közút!S87+Sport!S89+Közművelődés!U128+Támogatás!Y89</f>
        <v>0</v>
      </c>
      <c r="U87" s="44">
        <f>Igazgatás!T112+Községgazd!W102+Vagyongazd!T87+Közút!T87+Sport!T89+Közművelődés!V128+Támogatás!Z89</f>
        <v>0</v>
      </c>
      <c r="V87" s="343">
        <f>Igazgatás!U112+Községgazd!X102+Vagyongazd!U87+Közút!U87+Sport!U89+Közművelődés!W128+Támogatás!AA89</f>
        <v>0</v>
      </c>
      <c r="W87" s="78">
        <f>Igazgatás!V112+Községgazd!Y102+Vagyongazd!V87+Közút!V87+Sport!V89+Közművelődés!X128+Támogatás!AB89</f>
        <v>0</v>
      </c>
      <c r="X87" s="78">
        <f>Igazgatás!W112+Községgazd!Z102+Vagyongazd!W87+Közút!W87+Sport!W89+Közművelődés!Y128+Támogatás!AC89</f>
        <v>0</v>
      </c>
      <c r="Y87" s="44">
        <f>Igazgatás!X112+Községgazd!AA102+Vagyongazd!X87+Közút!X87+Sport!X89+Közművelődés!Z128+Támogatás!AD89</f>
        <v>0</v>
      </c>
      <c r="AB87" s="180"/>
    </row>
    <row r="88" spans="1:28" ht="15" hidden="1" customHeight="1" x14ac:dyDescent="0.25">
      <c r="B88" s="54"/>
      <c r="C88" s="2"/>
      <c r="D88" s="624" t="s">
        <v>508</v>
      </c>
      <c r="E88" s="624"/>
      <c r="F88" s="159" t="e">
        <v>#REF!</v>
      </c>
      <c r="G88" s="159" t="e">
        <v>#REF!</v>
      </c>
      <c r="H88" s="159" t="e">
        <v>#REF!</v>
      </c>
      <c r="I88" s="159" t="e">
        <v>#REF!</v>
      </c>
      <c r="J88" s="159" t="e">
        <v>#REF!</v>
      </c>
      <c r="K88" s="159" t="e">
        <f>Igazgatás!J113+Községgazd!J103+Vagyongazd!#REF!+Közút!J88+Sport!J90+Közművelődés!J129+Támogatás!J90</f>
        <v>#REF!</v>
      </c>
      <c r="L88" s="159" t="e">
        <f>Igazgatás!K113+Községgazd!K103+Vagyongazd!#REF!+Közút!K88+Sport!K90+Közművelődés!K129+Támogatás!K90</f>
        <v>#REF!</v>
      </c>
      <c r="M88" s="159" t="e">
        <f>Igazgatás!L113+Községgazd!L103+Vagyongazd!#REF!+Közút!L88+Sport!L90+Közművelődés!L129+Támogatás!L90</f>
        <v>#REF!</v>
      </c>
      <c r="N88" s="72">
        <f>Igazgatás!M113+Községgazd!P103+Vagyongazd!M88+Közút!M88+Sport!M90+Közművelődés!O129+Támogatás!S90</f>
        <v>0</v>
      </c>
      <c r="O88" s="1">
        <f>Igazgatás!N113+Községgazd!Q103+Vagyongazd!N88+Közút!N88+Sport!N90+Közművelődés!P129+Támogatás!T90</f>
        <v>0</v>
      </c>
      <c r="P88" s="78">
        <f>Igazgatás!O113+Községgazd!R103+Vagyongazd!O88+Közút!O88+Sport!O90+Közművelődés!Q129+Támogatás!U90</f>
        <v>0</v>
      </c>
      <c r="Q88" s="78">
        <f>Igazgatás!P113+Községgazd!S103+Vagyongazd!P88+Közút!P88+Sport!P90+Közművelődés!R129+Támogatás!V90</f>
        <v>0</v>
      </c>
      <c r="R88" s="1">
        <f>Igazgatás!Q113+Községgazd!T103+Vagyongazd!Q88+Közút!Q88+Sport!Q90+Közművelődés!S129+Támogatás!W90</f>
        <v>0</v>
      </c>
      <c r="S88" s="78">
        <f>Igazgatás!R113+Községgazd!U103+Vagyongazd!R88+Közút!R88+Sport!R90+Közművelődés!T129+Támogatás!X90</f>
        <v>0</v>
      </c>
      <c r="T88" s="78">
        <f>Igazgatás!S113+Községgazd!V103+Vagyongazd!S88+Közút!S88+Sport!S90+Közművelődés!U129+Támogatás!Y90</f>
        <v>0</v>
      </c>
      <c r="U88" s="44">
        <f>Igazgatás!T113+Községgazd!W103+Vagyongazd!T88+Közút!T88+Sport!T90+Közművelődés!V129+Támogatás!Z90</f>
        <v>0</v>
      </c>
      <c r="V88" s="343">
        <f>Igazgatás!U113+Községgazd!X103+Vagyongazd!U88+Közút!U88+Sport!U90+Közművelődés!W129+Támogatás!AA90</f>
        <v>0</v>
      </c>
      <c r="W88" s="78">
        <f>Igazgatás!V113+Községgazd!Y103+Vagyongazd!V88+Közút!V88+Sport!V90+Közművelődés!X129+Támogatás!AB90</f>
        <v>0</v>
      </c>
      <c r="X88" s="78">
        <f>Igazgatás!W113+Községgazd!Z103+Vagyongazd!W88+Közút!W88+Sport!W90+Közművelődés!Y129+Támogatás!AC90</f>
        <v>0</v>
      </c>
      <c r="Y88" s="44">
        <f>Igazgatás!X113+Községgazd!AA103+Vagyongazd!X88+Közút!X88+Sport!X90+Közművelődés!Z129+Támogatás!AD90</f>
        <v>0</v>
      </c>
      <c r="AB88" s="180"/>
    </row>
    <row r="89" spans="1:28" ht="15" hidden="1" customHeight="1" x14ac:dyDescent="0.25">
      <c r="B89" s="54"/>
      <c r="C89" s="2"/>
      <c r="D89" s="624" t="s">
        <v>509</v>
      </c>
      <c r="E89" s="624"/>
      <c r="F89" s="159" t="e">
        <v>#REF!</v>
      </c>
      <c r="G89" s="159" t="e">
        <v>#REF!</v>
      </c>
      <c r="H89" s="159" t="e">
        <v>#REF!</v>
      </c>
      <c r="I89" s="159" t="e">
        <v>#REF!</v>
      </c>
      <c r="J89" s="159" t="e">
        <v>#REF!</v>
      </c>
      <c r="K89" s="159" t="e">
        <f>Igazgatás!J114+Községgazd!J104+Vagyongazd!#REF!+Közút!J89+Sport!J91+Közművelődés!J130+Támogatás!J91</f>
        <v>#REF!</v>
      </c>
      <c r="L89" s="159" t="e">
        <f>Igazgatás!K114+Községgazd!K104+Vagyongazd!#REF!+Közút!K89+Sport!K91+Közművelődés!K130+Támogatás!K91</f>
        <v>#REF!</v>
      </c>
      <c r="M89" s="159" t="e">
        <f>Igazgatás!L114+Községgazd!L104+Vagyongazd!#REF!+Közút!L89+Sport!L91+Közművelődés!L130+Támogatás!L91</f>
        <v>#REF!</v>
      </c>
      <c r="N89" s="72">
        <f>Igazgatás!M114+Községgazd!P104+Vagyongazd!M89+Közút!M89+Sport!M91+Közművelődés!O130+Támogatás!S91</f>
        <v>0</v>
      </c>
      <c r="O89" s="1">
        <f>Igazgatás!N114+Községgazd!Q104+Vagyongazd!N89+Közút!N89+Sport!N91+Közművelődés!P130+Támogatás!T91</f>
        <v>0</v>
      </c>
      <c r="P89" s="78">
        <f>Igazgatás!O114+Községgazd!R104+Vagyongazd!O89+Közút!O89+Sport!O91+Közművelődés!Q130+Támogatás!U91</f>
        <v>0</v>
      </c>
      <c r="Q89" s="78">
        <f>Igazgatás!P114+Községgazd!S104+Vagyongazd!P89+Közút!P89+Sport!P91+Közművelődés!R130+Támogatás!V91</f>
        <v>0</v>
      </c>
      <c r="R89" s="1">
        <f>Igazgatás!Q114+Községgazd!T104+Vagyongazd!Q89+Közút!Q89+Sport!Q91+Közművelődés!S130+Támogatás!W91</f>
        <v>0</v>
      </c>
      <c r="S89" s="78">
        <f>Igazgatás!R114+Községgazd!U104+Vagyongazd!R89+Közút!R89+Sport!R91+Közművelődés!T130+Támogatás!X91</f>
        <v>0</v>
      </c>
      <c r="T89" s="78">
        <f>Igazgatás!S114+Községgazd!V104+Vagyongazd!S89+Közút!S89+Sport!S91+Közművelődés!U130+Támogatás!Y91</f>
        <v>0</v>
      </c>
      <c r="U89" s="44">
        <f>Igazgatás!T114+Községgazd!W104+Vagyongazd!T89+Közút!T89+Sport!T91+Közművelődés!V130+Támogatás!Z91</f>
        <v>0</v>
      </c>
      <c r="V89" s="343">
        <f>Igazgatás!U114+Községgazd!X104+Vagyongazd!U89+Közút!U89+Sport!U91+Közművelődés!W130+Támogatás!AA91</f>
        <v>0</v>
      </c>
      <c r="W89" s="78">
        <f>Igazgatás!V114+Községgazd!Y104+Vagyongazd!V89+Közút!V89+Sport!V91+Közművelődés!X130+Támogatás!AB91</f>
        <v>0</v>
      </c>
      <c r="X89" s="78">
        <f>Igazgatás!W114+Községgazd!Z104+Vagyongazd!W89+Közút!W89+Sport!W91+Közművelődés!Y130+Támogatás!AC91</f>
        <v>0</v>
      </c>
      <c r="Y89" s="44">
        <f>Igazgatás!X114+Községgazd!AA104+Vagyongazd!X89+Közút!X89+Sport!X91+Közművelődés!Z130+Támogatás!AD91</f>
        <v>0</v>
      </c>
      <c r="AB89" s="180"/>
    </row>
    <row r="90" spans="1:28" ht="15" hidden="1" customHeight="1" x14ac:dyDescent="0.25">
      <c r="B90" s="54"/>
      <c r="C90" s="2"/>
      <c r="D90" s="624" t="s">
        <v>510</v>
      </c>
      <c r="E90" s="624"/>
      <c r="F90" s="159" t="e">
        <v>#REF!</v>
      </c>
      <c r="G90" s="159" t="e">
        <v>#REF!</v>
      </c>
      <c r="H90" s="159" t="e">
        <v>#REF!</v>
      </c>
      <c r="I90" s="159" t="e">
        <v>#REF!</v>
      </c>
      <c r="J90" s="159" t="e">
        <v>#REF!</v>
      </c>
      <c r="K90" s="159" t="e">
        <f>Igazgatás!J115+Községgazd!J105+Vagyongazd!#REF!+Közút!J90+Sport!J92+Közművelődés!J131+Támogatás!J92</f>
        <v>#REF!</v>
      </c>
      <c r="L90" s="159" t="e">
        <f>Igazgatás!K115+Községgazd!K105+Vagyongazd!#REF!+Közút!K90+Sport!K92+Közművelődés!K131+Támogatás!K92</f>
        <v>#REF!</v>
      </c>
      <c r="M90" s="159" t="e">
        <f>Igazgatás!L115+Községgazd!L105+Vagyongazd!#REF!+Közút!L90+Sport!L92+Közművelődés!L131+Támogatás!L92</f>
        <v>#REF!</v>
      </c>
      <c r="N90" s="72">
        <f>Igazgatás!M115+Községgazd!P105+Vagyongazd!M90+Közút!M90+Sport!M92+Közművelődés!O131+Támogatás!S92</f>
        <v>0</v>
      </c>
      <c r="O90" s="1">
        <f>Igazgatás!N115+Községgazd!Q105+Vagyongazd!N90+Közút!N90+Sport!N92+Közművelődés!P131+Támogatás!T92</f>
        <v>0</v>
      </c>
      <c r="P90" s="78">
        <f>Igazgatás!O115+Községgazd!R105+Vagyongazd!O90+Közút!O90+Sport!O92+Közművelődés!Q131+Támogatás!U92</f>
        <v>0</v>
      </c>
      <c r="Q90" s="78">
        <f>Igazgatás!P115+Községgazd!S105+Vagyongazd!P90+Közút!P90+Sport!P92+Közművelődés!R131+Támogatás!V92</f>
        <v>0</v>
      </c>
      <c r="R90" s="1">
        <f>Igazgatás!Q115+Községgazd!T105+Vagyongazd!Q90+Közút!Q90+Sport!Q92+Közművelődés!S131+Támogatás!W92</f>
        <v>0</v>
      </c>
      <c r="S90" s="78">
        <f>Igazgatás!R115+Községgazd!U105+Vagyongazd!R90+Közút!R90+Sport!R92+Közművelődés!T131+Támogatás!X92</f>
        <v>0</v>
      </c>
      <c r="T90" s="78">
        <f>Igazgatás!S115+Községgazd!V105+Vagyongazd!S90+Közút!S90+Sport!S92+Közművelődés!U131+Támogatás!Y92</f>
        <v>0</v>
      </c>
      <c r="U90" s="44">
        <f>Igazgatás!T115+Községgazd!W105+Vagyongazd!T90+Közút!T90+Sport!T92+Közművelődés!V131+Támogatás!Z92</f>
        <v>0</v>
      </c>
      <c r="V90" s="343">
        <f>Igazgatás!U115+Községgazd!X105+Vagyongazd!U90+Közút!U90+Sport!U92+Közművelődés!W131+Támogatás!AA92</f>
        <v>0</v>
      </c>
      <c r="W90" s="78">
        <f>Igazgatás!V115+Községgazd!Y105+Vagyongazd!V90+Közút!V90+Sport!V92+Közművelődés!X131+Támogatás!AB92</f>
        <v>0</v>
      </c>
      <c r="X90" s="78">
        <f>Igazgatás!W115+Községgazd!Z105+Vagyongazd!W90+Közút!W90+Sport!W92+Közművelődés!Y131+Támogatás!AC92</f>
        <v>0</v>
      </c>
      <c r="Y90" s="44">
        <f>Igazgatás!X115+Községgazd!AA105+Vagyongazd!X90+Közút!X90+Sport!X92+Közművelődés!Z131+Támogatás!AD92</f>
        <v>0</v>
      </c>
      <c r="AB90" s="180"/>
    </row>
    <row r="91" spans="1:28" ht="25.5" hidden="1" customHeight="1" x14ac:dyDescent="0.25">
      <c r="B91" s="54"/>
      <c r="C91" s="2"/>
      <c r="D91" s="625" t="s">
        <v>511</v>
      </c>
      <c r="E91" s="625"/>
      <c r="F91" s="159" t="e">
        <v>#REF!</v>
      </c>
      <c r="G91" s="159" t="e">
        <v>#REF!</v>
      </c>
      <c r="H91" s="159" t="e">
        <v>#REF!</v>
      </c>
      <c r="I91" s="159" t="e">
        <v>#REF!</v>
      </c>
      <c r="J91" s="159" t="e">
        <v>#REF!</v>
      </c>
      <c r="K91" s="159" t="e">
        <f>Igazgatás!J116+Községgazd!J106+Vagyongazd!#REF!+Közút!J91+Sport!J93+Közművelődés!J132+Támogatás!J93</f>
        <v>#REF!</v>
      </c>
      <c r="L91" s="159" t="e">
        <f>Igazgatás!K116+Községgazd!K106+Vagyongazd!#REF!+Közút!K91+Sport!K93+Közművelődés!K132+Támogatás!K93</f>
        <v>#REF!</v>
      </c>
      <c r="M91" s="159" t="e">
        <f>Igazgatás!L116+Községgazd!L106+Vagyongazd!#REF!+Közút!L91+Sport!L93+Közművelődés!L132+Támogatás!L93</f>
        <v>#REF!</v>
      </c>
      <c r="N91" s="72">
        <f>Igazgatás!M116+Községgazd!P106+Vagyongazd!M91+Közút!M91+Sport!M93+Közművelődés!O132+Támogatás!S93</f>
        <v>0</v>
      </c>
      <c r="O91" s="1">
        <f>Igazgatás!N116+Községgazd!Q106+Vagyongazd!N91+Közút!N91+Sport!N93+Közművelődés!P132+Támogatás!T93</f>
        <v>0</v>
      </c>
      <c r="P91" s="78">
        <f>Igazgatás!O116+Községgazd!R106+Vagyongazd!O91+Közút!O91+Sport!O93+Közművelődés!Q132+Támogatás!U93</f>
        <v>0</v>
      </c>
      <c r="Q91" s="78">
        <f>Igazgatás!P116+Községgazd!S106+Vagyongazd!P91+Közút!P91+Sport!P93+Közművelődés!R132+Támogatás!V93</f>
        <v>0</v>
      </c>
      <c r="R91" s="1">
        <f>Igazgatás!Q116+Községgazd!T106+Vagyongazd!Q91+Közút!Q91+Sport!Q93+Közművelődés!S132+Támogatás!W93</f>
        <v>0</v>
      </c>
      <c r="S91" s="78">
        <f>Igazgatás!R116+Községgazd!U106+Vagyongazd!R91+Közút!R91+Sport!R93+Közművelődés!T132+Támogatás!X93</f>
        <v>0</v>
      </c>
      <c r="T91" s="78">
        <f>Igazgatás!S116+Községgazd!V106+Vagyongazd!S91+Közút!S91+Sport!S93+Közművelődés!U132+Támogatás!Y93</f>
        <v>0</v>
      </c>
      <c r="U91" s="44">
        <f>Igazgatás!T116+Községgazd!W106+Vagyongazd!T91+Közút!T91+Sport!T93+Közművelődés!V132+Támogatás!Z93</f>
        <v>0</v>
      </c>
      <c r="V91" s="343">
        <f>Igazgatás!U116+Községgazd!X106+Vagyongazd!U91+Közút!U91+Sport!U93+Közművelődés!W132+Támogatás!AA93</f>
        <v>0</v>
      </c>
      <c r="W91" s="78">
        <f>Igazgatás!V116+Községgazd!Y106+Vagyongazd!V91+Közút!V91+Sport!V93+Közművelődés!X132+Támogatás!AB93</f>
        <v>0</v>
      </c>
      <c r="X91" s="78">
        <f>Igazgatás!W116+Községgazd!Z106+Vagyongazd!W91+Közút!W91+Sport!W93+Közművelődés!Y132+Támogatás!AC93</f>
        <v>0</v>
      </c>
      <c r="Y91" s="44">
        <f>Igazgatás!X116+Községgazd!AA106+Vagyongazd!X91+Közút!X91+Sport!X93+Közművelődés!Z132+Támogatás!AD93</f>
        <v>0</v>
      </c>
      <c r="AB91" s="180"/>
    </row>
    <row r="92" spans="1:28" ht="15" hidden="1" customHeight="1" x14ac:dyDescent="0.25">
      <c r="B92" s="54"/>
      <c r="C92" s="2"/>
      <c r="D92" s="624" t="s">
        <v>804</v>
      </c>
      <c r="E92" s="624"/>
      <c r="F92" s="159" t="e">
        <v>#REF!</v>
      </c>
      <c r="G92" s="159" t="e">
        <v>#REF!</v>
      </c>
      <c r="H92" s="159" t="e">
        <v>#REF!</v>
      </c>
      <c r="I92" s="159" t="e">
        <v>#REF!</v>
      </c>
      <c r="J92" s="159" t="e">
        <v>#REF!</v>
      </c>
      <c r="K92" s="159" t="e">
        <f>Igazgatás!J117+Községgazd!J107+Vagyongazd!#REF!+Közút!J92+Sport!J94+Közművelődés!J133+Támogatás!J94</f>
        <v>#REF!</v>
      </c>
      <c r="L92" s="159" t="e">
        <f>Igazgatás!K117+Községgazd!K107+Vagyongazd!#REF!+Közút!K92+Sport!K94+Közművelődés!K133+Támogatás!K94</f>
        <v>#REF!</v>
      </c>
      <c r="M92" s="159" t="e">
        <f>Igazgatás!L117+Községgazd!L107+Vagyongazd!#REF!+Közút!L92+Sport!L94+Közművelődés!L133+Támogatás!L94</f>
        <v>#REF!</v>
      </c>
      <c r="N92" s="72">
        <f>Igazgatás!M117+Községgazd!P107+Vagyongazd!M92+Közút!M92+Sport!M94+Közművelődés!O133+Támogatás!S94</f>
        <v>0</v>
      </c>
      <c r="O92" s="1">
        <f>Igazgatás!N117+Községgazd!Q107+Vagyongazd!N92+Közút!N92+Sport!N94+Közművelődés!P133+Támogatás!T94</f>
        <v>0</v>
      </c>
      <c r="P92" s="78">
        <f>Igazgatás!O117+Községgazd!R107+Vagyongazd!O92+Közút!O92+Sport!O94+Közművelődés!Q133+Támogatás!U94</f>
        <v>0</v>
      </c>
      <c r="Q92" s="78">
        <f>Igazgatás!P117+Községgazd!S107+Vagyongazd!P92+Közút!P92+Sport!P94+Közművelődés!R133+Támogatás!V94</f>
        <v>0</v>
      </c>
      <c r="R92" s="1">
        <f>Igazgatás!Q117+Községgazd!T107+Vagyongazd!Q92+Közút!Q92+Sport!Q94+Közművelődés!S133+Támogatás!W94</f>
        <v>0</v>
      </c>
      <c r="S92" s="78">
        <f>Igazgatás!R117+Községgazd!U107+Vagyongazd!R92+Közút!R92+Sport!R94+Közművelődés!T133+Támogatás!X94</f>
        <v>0</v>
      </c>
      <c r="T92" s="78">
        <f>Igazgatás!S117+Községgazd!V107+Vagyongazd!S92+Közút!S92+Sport!S94+Közművelődés!U133+Támogatás!Y94</f>
        <v>0</v>
      </c>
      <c r="U92" s="44">
        <f>Igazgatás!T117+Községgazd!W107+Vagyongazd!T92+Közút!T92+Sport!T94+Közművelődés!V133+Támogatás!Z94</f>
        <v>0</v>
      </c>
      <c r="V92" s="343">
        <f>Igazgatás!U117+Községgazd!X107+Vagyongazd!U92+Közút!U92+Sport!U94+Közművelődés!W133+Támogatás!AA94</f>
        <v>0</v>
      </c>
      <c r="W92" s="78">
        <f>Igazgatás!V117+Községgazd!Y107+Vagyongazd!V92+Közút!V92+Sport!V94+Közművelődés!X133+Támogatás!AB94</f>
        <v>0</v>
      </c>
      <c r="X92" s="78">
        <f>Igazgatás!W117+Községgazd!Z107+Vagyongazd!W92+Közút!W92+Sport!W94+Közművelődés!Y133+Támogatás!AC94</f>
        <v>0</v>
      </c>
      <c r="Y92" s="44">
        <f>Igazgatás!X117+Községgazd!AA107+Vagyongazd!X92+Közút!X92+Sport!X94+Közművelődés!Z133+Támogatás!AD94</f>
        <v>0</v>
      </c>
      <c r="AB92" s="180"/>
    </row>
    <row r="93" spans="1:28" ht="25.5" hidden="1" customHeight="1" x14ac:dyDescent="0.25">
      <c r="B93" s="54"/>
      <c r="C93" s="2"/>
      <c r="D93" s="625" t="s">
        <v>512</v>
      </c>
      <c r="E93" s="625"/>
      <c r="F93" s="159" t="e">
        <v>#REF!</v>
      </c>
      <c r="G93" s="159" t="e">
        <v>#REF!</v>
      </c>
      <c r="H93" s="159" t="e">
        <v>#REF!</v>
      </c>
      <c r="I93" s="159" t="e">
        <v>#REF!</v>
      </c>
      <c r="J93" s="159" t="e">
        <v>#REF!</v>
      </c>
      <c r="K93" s="159" t="e">
        <f>Igazgatás!J118+Községgazd!J108+Vagyongazd!#REF!+Közút!J93+Sport!J95+Közművelődés!J134+Támogatás!J95</f>
        <v>#REF!</v>
      </c>
      <c r="L93" s="159" t="e">
        <f>Igazgatás!K118+Községgazd!K108+Vagyongazd!#REF!+Közút!K93+Sport!K95+Közművelődés!K134+Támogatás!K95</f>
        <v>#REF!</v>
      </c>
      <c r="M93" s="159" t="e">
        <f>Igazgatás!L118+Községgazd!L108+Vagyongazd!#REF!+Közút!L93+Sport!L95+Közművelődés!L134+Támogatás!L95</f>
        <v>#REF!</v>
      </c>
      <c r="N93" s="72">
        <f>Igazgatás!M118+Községgazd!P108+Vagyongazd!M93+Közút!M93+Sport!M95+Közművelődés!O134+Támogatás!S95</f>
        <v>0</v>
      </c>
      <c r="O93" s="1">
        <f>Igazgatás!N118+Községgazd!Q108+Vagyongazd!N93+Közút!N93+Sport!N95+Közművelődés!P134+Támogatás!T95</f>
        <v>0</v>
      </c>
      <c r="P93" s="78">
        <f>Igazgatás!O118+Községgazd!R108+Vagyongazd!O93+Közút!O93+Sport!O95+Közművelődés!Q134+Támogatás!U95</f>
        <v>0</v>
      </c>
      <c r="Q93" s="78">
        <f>Igazgatás!P118+Községgazd!S108+Vagyongazd!P93+Közút!P93+Sport!P95+Közművelődés!R134+Támogatás!V95</f>
        <v>0</v>
      </c>
      <c r="R93" s="1">
        <f>Igazgatás!Q118+Községgazd!T108+Vagyongazd!Q93+Közút!Q93+Sport!Q95+Közművelődés!S134+Támogatás!W95</f>
        <v>0</v>
      </c>
      <c r="S93" s="78">
        <f>Igazgatás!R118+Községgazd!U108+Vagyongazd!R93+Közút!R93+Sport!R95+Közművelődés!T134+Támogatás!X95</f>
        <v>0</v>
      </c>
      <c r="T93" s="78">
        <f>Igazgatás!S118+Községgazd!V108+Vagyongazd!S93+Közút!S93+Sport!S95+Közművelődés!U134+Támogatás!Y95</f>
        <v>0</v>
      </c>
      <c r="U93" s="44">
        <f>Igazgatás!T118+Községgazd!W108+Vagyongazd!T93+Közút!T93+Sport!T95+Közművelődés!V134+Támogatás!Z95</f>
        <v>0</v>
      </c>
      <c r="V93" s="343">
        <f>Igazgatás!U118+Községgazd!X108+Vagyongazd!U93+Közút!U93+Sport!U95+Közművelődés!W134+Támogatás!AA95</f>
        <v>0</v>
      </c>
      <c r="W93" s="78">
        <f>Igazgatás!V118+Községgazd!Y108+Vagyongazd!V93+Közút!V93+Sport!V95+Közművelődés!X134+Támogatás!AB95</f>
        <v>0</v>
      </c>
      <c r="X93" s="78">
        <f>Igazgatás!W118+Községgazd!Z108+Vagyongazd!W93+Közút!W93+Sport!W95+Közművelődés!Y134+Támogatás!AC95</f>
        <v>0</v>
      </c>
      <c r="Y93" s="44">
        <f>Igazgatás!X118+Községgazd!AA108+Vagyongazd!X93+Közút!X93+Sport!X95+Közművelődés!Z134+Támogatás!AD95</f>
        <v>0</v>
      </c>
      <c r="AB93" s="180"/>
    </row>
    <row r="94" spans="1:28" ht="25.5" hidden="1" customHeight="1" x14ac:dyDescent="0.25">
      <c r="B94" s="54"/>
      <c r="C94" s="2"/>
      <c r="D94" s="625" t="s">
        <v>513</v>
      </c>
      <c r="E94" s="625"/>
      <c r="F94" s="159" t="e">
        <v>#REF!</v>
      </c>
      <c r="G94" s="159" t="e">
        <v>#REF!</v>
      </c>
      <c r="H94" s="159" t="e">
        <v>#REF!</v>
      </c>
      <c r="I94" s="159" t="e">
        <v>#REF!</v>
      </c>
      <c r="J94" s="159" t="e">
        <v>#REF!</v>
      </c>
      <c r="K94" s="159" t="e">
        <f>Igazgatás!J119+Községgazd!J109+Vagyongazd!#REF!+Közút!J94+Sport!J96+Közművelődés!J135+Támogatás!J96</f>
        <v>#REF!</v>
      </c>
      <c r="L94" s="159" t="e">
        <f>Igazgatás!K119+Községgazd!K109+Vagyongazd!#REF!+Közút!K94+Sport!K96+Közművelődés!K135+Támogatás!K96</f>
        <v>#REF!</v>
      </c>
      <c r="M94" s="159" t="e">
        <f>Igazgatás!L119+Községgazd!L109+Vagyongazd!#REF!+Közút!L94+Sport!L96+Közművelődés!L135+Támogatás!L96</f>
        <v>#REF!</v>
      </c>
      <c r="N94" s="72">
        <f>Igazgatás!M119+Községgazd!P109+Vagyongazd!M94+Közút!M94+Sport!M96+Közművelődés!O135+Támogatás!S96</f>
        <v>0</v>
      </c>
      <c r="O94" s="1">
        <f>Igazgatás!N119+Községgazd!Q109+Vagyongazd!N94+Közút!N94+Sport!N96+Közművelődés!P135+Támogatás!T96</f>
        <v>0</v>
      </c>
      <c r="P94" s="78">
        <f>Igazgatás!O119+Községgazd!R109+Vagyongazd!O94+Közút!O94+Sport!O96+Közművelődés!Q135+Támogatás!U96</f>
        <v>0</v>
      </c>
      <c r="Q94" s="78">
        <f>Igazgatás!P119+Községgazd!S109+Vagyongazd!P94+Közút!P94+Sport!P96+Közművelődés!R135+Támogatás!V96</f>
        <v>0</v>
      </c>
      <c r="R94" s="1">
        <f>Igazgatás!Q119+Községgazd!T109+Vagyongazd!Q94+Közút!Q94+Sport!Q96+Közművelődés!S135+Támogatás!W96</f>
        <v>0</v>
      </c>
      <c r="S94" s="78">
        <f>Igazgatás!R119+Községgazd!U109+Vagyongazd!R94+Közút!R94+Sport!R96+Közművelődés!T135+Támogatás!X96</f>
        <v>0</v>
      </c>
      <c r="T94" s="78">
        <f>Igazgatás!S119+Községgazd!V109+Vagyongazd!S94+Közút!S94+Sport!S96+Közművelődés!U135+Támogatás!Y96</f>
        <v>0</v>
      </c>
      <c r="U94" s="44">
        <f>Igazgatás!T119+Községgazd!W109+Vagyongazd!T94+Közút!T94+Sport!T96+Közművelődés!V135+Támogatás!Z96</f>
        <v>0</v>
      </c>
      <c r="V94" s="343">
        <f>Igazgatás!U119+Községgazd!X109+Vagyongazd!U94+Közút!U94+Sport!U96+Közművelődés!W135+Támogatás!AA96</f>
        <v>0</v>
      </c>
      <c r="W94" s="78">
        <f>Igazgatás!V119+Községgazd!Y109+Vagyongazd!V94+Közút!V94+Sport!V96+Közművelődés!X135+Támogatás!AB96</f>
        <v>0</v>
      </c>
      <c r="X94" s="78">
        <f>Igazgatás!W119+Községgazd!Z109+Vagyongazd!W94+Közút!W94+Sport!W96+Közművelődés!Y135+Támogatás!AC96</f>
        <v>0</v>
      </c>
      <c r="Y94" s="44">
        <f>Igazgatás!X119+Községgazd!AA109+Vagyongazd!X94+Közút!X94+Sport!X96+Közművelődés!Z135+Támogatás!AD96</f>
        <v>0</v>
      </c>
      <c r="AB94" s="180"/>
    </row>
    <row r="95" spans="1:28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 t="e">
        <v>#REF!</v>
      </c>
      <c r="G95" s="162" t="e">
        <v>#REF!</v>
      </c>
      <c r="H95" s="162" t="e">
        <v>#REF!</v>
      </c>
      <c r="I95" s="160" t="e">
        <v>#REF!</v>
      </c>
      <c r="J95" s="160" t="e">
        <v>#REF!</v>
      </c>
      <c r="K95" s="162" t="e">
        <f>Igazgatás!J120+Községgazd!J110+Vagyongazd!#REF!+Közút!J95+Sport!J97+Közművelődés!J136+Támogatás!J97</f>
        <v>#REF!</v>
      </c>
      <c r="L95" s="162" t="e">
        <f>Igazgatás!K120+Községgazd!K110+Vagyongazd!#REF!+Közút!K95+Sport!K97+Közművelődés!K136+Támogatás!K97</f>
        <v>#REF!</v>
      </c>
      <c r="M95" s="162" t="e">
        <f>Igazgatás!L120+Községgazd!L110+Vagyongazd!#REF!+Közút!L95+Sport!L97+Közművelődés!L136+Támogatás!L97</f>
        <v>#REF!</v>
      </c>
      <c r="N95" s="102">
        <f>Igazgatás!M120+Községgazd!P110+Vagyongazd!M95+Közút!M95+Sport!M97+Közművelődés!O136+Támogatás!S97</f>
        <v>0</v>
      </c>
      <c r="O95" s="103">
        <f>Igazgatás!N120+Községgazd!Q110+Vagyongazd!N95+Közút!N95+Sport!N97+Közművelődés!P136+Támogatás!T97</f>
        <v>0</v>
      </c>
      <c r="P95" s="106">
        <f>Igazgatás!O120+Községgazd!R110+Vagyongazd!O95+Közút!O95+Sport!O97+Közművelődés!Q136+Támogatás!U97</f>
        <v>0</v>
      </c>
      <c r="Q95" s="106">
        <f>Igazgatás!P120+Községgazd!S110+Vagyongazd!P95+Közút!P95+Sport!P97+Közművelődés!R136+Támogatás!V97</f>
        <v>0</v>
      </c>
      <c r="R95" s="103">
        <f>Igazgatás!Q120+Községgazd!T110+Vagyongazd!Q95+Közút!Q95+Sport!Q97+Közművelődés!S136+Támogatás!W97</f>
        <v>0</v>
      </c>
      <c r="S95" s="106">
        <f>Igazgatás!R120+Községgazd!U110+Vagyongazd!R95+Közút!R95+Sport!R97+Közművelődés!T136+Támogatás!X97</f>
        <v>0</v>
      </c>
      <c r="T95" s="106">
        <f>Igazgatás!S120+Községgazd!V110+Vagyongazd!S95+Közút!S95+Sport!S97+Közművelődés!U136+Támogatás!Y97</f>
        <v>0</v>
      </c>
      <c r="U95" s="107">
        <f>Igazgatás!T120+Községgazd!W110+Vagyongazd!T95+Közút!T95+Sport!T97+Közművelődés!V136+Támogatás!Z97</f>
        <v>0</v>
      </c>
      <c r="V95" s="345">
        <f>Igazgatás!U120+Községgazd!X110+Vagyongazd!U95+Közút!U95+Sport!U97+Közművelődés!W136+Támogatás!AA97</f>
        <v>0</v>
      </c>
      <c r="W95" s="106">
        <f>Igazgatás!V120+Községgazd!Y110+Vagyongazd!V95+Közút!V95+Sport!V97+Közművelődés!X136+Támogatás!AB97</f>
        <v>0</v>
      </c>
      <c r="X95" s="106">
        <f>Igazgatás!W120+Községgazd!Z110+Vagyongazd!W95+Közút!W95+Sport!W97+Közművelődés!Y136+Támogatás!AC97</f>
        <v>0</v>
      </c>
      <c r="Y95" s="107">
        <f>Igazgatás!X120+Községgazd!AA110+Vagyongazd!X95+Közút!X95+Sport!X97+Közművelődés!Z136+Támogatás!AD97</f>
        <v>0</v>
      </c>
      <c r="AB95" s="180"/>
    </row>
    <row r="96" spans="1:28" ht="15" hidden="1" customHeight="1" x14ac:dyDescent="0.25">
      <c r="B96" s="54"/>
      <c r="C96" s="2"/>
      <c r="D96" s="624" t="s">
        <v>369</v>
      </c>
      <c r="E96" s="624"/>
      <c r="F96" s="159" t="e">
        <v>#REF!</v>
      </c>
      <c r="G96" s="159" t="e">
        <v>#REF!</v>
      </c>
      <c r="H96" s="159" t="e">
        <v>#REF!</v>
      </c>
      <c r="I96" s="159" t="e">
        <v>#REF!</v>
      </c>
      <c r="J96" s="159" t="e">
        <v>#REF!</v>
      </c>
      <c r="K96" s="159" t="e">
        <f>Igazgatás!J121+Községgazd!J111+Vagyongazd!#REF!+Közút!J96+Sport!J98+Közművelődés!J137+Támogatás!J98</f>
        <v>#REF!</v>
      </c>
      <c r="L96" s="159" t="e">
        <f>Igazgatás!K121+Községgazd!K111+Vagyongazd!#REF!+Közút!K96+Sport!K98+Közművelődés!K137+Támogatás!K98</f>
        <v>#REF!</v>
      </c>
      <c r="M96" s="159" t="e">
        <f>Igazgatás!L121+Községgazd!L111+Vagyongazd!#REF!+Közút!L96+Sport!L98+Közművelődés!L137+Támogatás!L98</f>
        <v>#REF!</v>
      </c>
      <c r="N96" s="72">
        <f>Igazgatás!M121+Községgazd!P111+Vagyongazd!M96+Közút!M96+Sport!M98+Közművelődés!O137+Támogatás!S98</f>
        <v>0</v>
      </c>
      <c r="O96" s="1">
        <f>Igazgatás!N121+Községgazd!Q111+Vagyongazd!N96+Közút!N96+Sport!N98+Közművelődés!P137+Támogatás!T98</f>
        <v>0</v>
      </c>
      <c r="P96" s="78">
        <f>Igazgatás!O121+Községgazd!R111+Vagyongazd!O96+Közút!O96+Sport!O98+Közművelődés!Q137+Támogatás!U98</f>
        <v>0</v>
      </c>
      <c r="Q96" s="78">
        <f>Igazgatás!P121+Községgazd!S111+Vagyongazd!P96+Közút!P96+Sport!P98+Közművelődés!R137+Támogatás!V98</f>
        <v>0</v>
      </c>
      <c r="R96" s="1">
        <f>Igazgatás!Q121+Községgazd!T111+Vagyongazd!Q96+Közút!Q96+Sport!Q98+Közművelődés!S137+Támogatás!W98</f>
        <v>0</v>
      </c>
      <c r="S96" s="78">
        <f>Igazgatás!R121+Községgazd!U111+Vagyongazd!R96+Közút!R96+Sport!R98+Közművelődés!T137+Támogatás!X98</f>
        <v>0</v>
      </c>
      <c r="T96" s="78">
        <f>Igazgatás!S121+Községgazd!V111+Vagyongazd!S96+Közút!S96+Sport!S98+Közművelődés!U137+Támogatás!Y98</f>
        <v>0</v>
      </c>
      <c r="U96" s="44">
        <f>Igazgatás!T121+Községgazd!W111+Vagyongazd!T96+Közút!T96+Sport!T98+Közművelődés!V137+Támogatás!Z98</f>
        <v>0</v>
      </c>
      <c r="V96" s="343">
        <f>Igazgatás!U121+Községgazd!X111+Vagyongazd!U96+Közút!U96+Sport!U98+Közművelődés!W137+Támogatás!AA98</f>
        <v>0</v>
      </c>
      <c r="W96" s="78">
        <f>Igazgatás!V121+Községgazd!Y111+Vagyongazd!V96+Közút!V96+Sport!V98+Közművelődés!X137+Támogatás!AB98</f>
        <v>0</v>
      </c>
      <c r="X96" s="78">
        <f>Igazgatás!W121+Községgazd!Z111+Vagyongazd!W96+Közút!W96+Sport!W98+Közművelődés!Y137+Támogatás!AC98</f>
        <v>0</v>
      </c>
      <c r="Y96" s="44">
        <f>Igazgatás!X121+Községgazd!AA111+Vagyongazd!X96+Közút!X96+Sport!X98+Közművelődés!Z137+Támogatás!AD98</f>
        <v>0</v>
      </c>
      <c r="AB96" s="180"/>
    </row>
    <row r="97" spans="1:28" ht="15" hidden="1" customHeight="1" x14ac:dyDescent="0.25">
      <c r="B97" s="54"/>
      <c r="C97" s="2"/>
      <c r="D97" s="624" t="s">
        <v>514</v>
      </c>
      <c r="E97" s="624"/>
      <c r="F97" s="159" t="e">
        <v>#REF!</v>
      </c>
      <c r="G97" s="159" t="e">
        <v>#REF!</v>
      </c>
      <c r="H97" s="159" t="e">
        <v>#REF!</v>
      </c>
      <c r="I97" s="159" t="e">
        <v>#REF!</v>
      </c>
      <c r="J97" s="159" t="e">
        <v>#REF!</v>
      </c>
      <c r="K97" s="159" t="e">
        <f>Igazgatás!J122+Községgazd!J112+Vagyongazd!#REF!+Közút!J97+Sport!J99+Közművelődés!J138+Támogatás!J99</f>
        <v>#REF!</v>
      </c>
      <c r="L97" s="159" t="e">
        <f>Igazgatás!K122+Községgazd!K112+Vagyongazd!#REF!+Közút!K97+Sport!K99+Közművelődés!K138+Támogatás!K99</f>
        <v>#REF!</v>
      </c>
      <c r="M97" s="159" t="e">
        <f>Igazgatás!L122+Községgazd!L112+Vagyongazd!#REF!+Közút!L97+Sport!L99+Közművelődés!L138+Támogatás!L99</f>
        <v>#REF!</v>
      </c>
      <c r="N97" s="72">
        <f>Igazgatás!M122+Községgazd!P112+Vagyongazd!M97+Közút!M97+Sport!M99+Közművelődés!O138+Támogatás!S99</f>
        <v>0</v>
      </c>
      <c r="O97" s="1">
        <f>Igazgatás!N122+Községgazd!Q112+Vagyongazd!N97+Közút!N97+Sport!N99+Közművelődés!P138+Támogatás!T99</f>
        <v>0</v>
      </c>
      <c r="P97" s="78">
        <f>Igazgatás!O122+Községgazd!R112+Vagyongazd!O97+Közút!O97+Sport!O99+Közművelődés!Q138+Támogatás!U99</f>
        <v>0</v>
      </c>
      <c r="Q97" s="78">
        <f>Igazgatás!P122+Községgazd!S112+Vagyongazd!P97+Közút!P97+Sport!P99+Közművelődés!R138+Támogatás!V99</f>
        <v>0</v>
      </c>
      <c r="R97" s="1">
        <f>Igazgatás!Q122+Községgazd!T112+Vagyongazd!Q97+Közút!Q97+Sport!Q99+Közművelődés!S138+Támogatás!W99</f>
        <v>0</v>
      </c>
      <c r="S97" s="78">
        <f>Igazgatás!R122+Községgazd!U112+Vagyongazd!R97+Közút!R97+Sport!R99+Közművelődés!T138+Támogatás!X99</f>
        <v>0</v>
      </c>
      <c r="T97" s="78">
        <f>Igazgatás!S122+Községgazd!V112+Vagyongazd!S97+Közút!S97+Sport!S99+Közművelődés!U138+Támogatás!Y99</f>
        <v>0</v>
      </c>
      <c r="U97" s="44">
        <f>Igazgatás!T122+Községgazd!W112+Vagyongazd!T97+Közút!T97+Sport!T99+Közművelődés!V138+Támogatás!Z99</f>
        <v>0</v>
      </c>
      <c r="V97" s="343">
        <f>Igazgatás!U122+Községgazd!X112+Vagyongazd!U97+Közút!U97+Sport!U99+Közművelődés!W138+Támogatás!AA99</f>
        <v>0</v>
      </c>
      <c r="W97" s="78">
        <f>Igazgatás!V122+Községgazd!Y112+Vagyongazd!V97+Közút!V97+Sport!V99+Közművelődés!X138+Támogatás!AB99</f>
        <v>0</v>
      </c>
      <c r="X97" s="78">
        <f>Igazgatás!W122+Községgazd!Z112+Vagyongazd!W97+Közút!W97+Sport!W99+Közművelődés!Y138+Támogatás!AC99</f>
        <v>0</v>
      </c>
      <c r="Y97" s="44">
        <f>Igazgatás!X122+Községgazd!AA112+Vagyongazd!X97+Közút!X97+Sport!X99+Közművelődés!Z138+Támogatás!AD99</f>
        <v>0</v>
      </c>
      <c r="AB97" s="180"/>
    </row>
    <row r="98" spans="1:28" ht="15" hidden="1" customHeight="1" x14ac:dyDescent="0.25">
      <c r="B98" s="54"/>
      <c r="C98" s="2"/>
      <c r="D98" s="624" t="s">
        <v>516</v>
      </c>
      <c r="E98" s="624"/>
      <c r="F98" s="159" t="e">
        <v>#REF!</v>
      </c>
      <c r="G98" s="159" t="e">
        <v>#REF!</v>
      </c>
      <c r="H98" s="159" t="e">
        <v>#REF!</v>
      </c>
      <c r="I98" s="159" t="e">
        <v>#REF!</v>
      </c>
      <c r="J98" s="159" t="e">
        <v>#REF!</v>
      </c>
      <c r="K98" s="159" t="e">
        <f>Igazgatás!J123+Községgazd!J113+Vagyongazd!#REF!+Közút!J98+Sport!J100+Közművelődés!J139+Támogatás!J100</f>
        <v>#REF!</v>
      </c>
      <c r="L98" s="159" t="e">
        <f>Igazgatás!K123+Községgazd!K113+Vagyongazd!#REF!+Közút!K98+Sport!K100+Közművelődés!K139+Támogatás!K100</f>
        <v>#REF!</v>
      </c>
      <c r="M98" s="159" t="e">
        <f>Igazgatás!L123+Községgazd!L113+Vagyongazd!#REF!+Közút!L98+Sport!L100+Közművelődés!L139+Támogatás!L100</f>
        <v>#REF!</v>
      </c>
      <c r="N98" s="72">
        <f>Igazgatás!M123+Községgazd!P113+Vagyongazd!M98+Közút!M98+Sport!M100+Közművelődés!O139+Támogatás!S100</f>
        <v>0</v>
      </c>
      <c r="O98" s="1">
        <f>Igazgatás!N123+Községgazd!Q113+Vagyongazd!N98+Közút!N98+Sport!N100+Közművelődés!P139+Támogatás!T100</f>
        <v>0</v>
      </c>
      <c r="P98" s="78">
        <f>Igazgatás!O123+Községgazd!R113+Vagyongazd!O98+Közút!O98+Sport!O100+Közművelődés!Q139+Támogatás!U100</f>
        <v>0</v>
      </c>
      <c r="Q98" s="78">
        <f>Igazgatás!P123+Községgazd!S113+Vagyongazd!P98+Közút!P98+Sport!P100+Közművelődés!R139+Támogatás!V100</f>
        <v>0</v>
      </c>
      <c r="R98" s="1">
        <f>Igazgatás!Q123+Községgazd!T113+Vagyongazd!Q98+Közút!Q98+Sport!Q100+Közművelődés!S139+Támogatás!W100</f>
        <v>0</v>
      </c>
      <c r="S98" s="78">
        <f>Igazgatás!R123+Községgazd!U113+Vagyongazd!R98+Közút!R98+Sport!R100+Közművelődés!T139+Támogatás!X100</f>
        <v>0</v>
      </c>
      <c r="T98" s="78">
        <f>Igazgatás!S123+Községgazd!V113+Vagyongazd!S98+Közút!S98+Sport!S100+Közművelődés!U139+Támogatás!Y100</f>
        <v>0</v>
      </c>
      <c r="U98" s="44">
        <f>Igazgatás!T123+Községgazd!W113+Vagyongazd!T98+Közút!T98+Sport!T100+Közművelődés!V139+Támogatás!Z100</f>
        <v>0</v>
      </c>
      <c r="V98" s="343">
        <f>Igazgatás!U123+Községgazd!X113+Vagyongazd!U98+Közút!U98+Sport!U100+Közművelődés!W139+Támogatás!AA100</f>
        <v>0</v>
      </c>
      <c r="W98" s="78">
        <f>Igazgatás!V123+Községgazd!Y113+Vagyongazd!V98+Közút!V98+Sport!V100+Közművelődés!X139+Támogatás!AB100</f>
        <v>0</v>
      </c>
      <c r="X98" s="78">
        <f>Igazgatás!W123+Községgazd!Z113+Vagyongazd!W98+Közút!W98+Sport!W100+Közművelődés!Y139+Támogatás!AC100</f>
        <v>0</v>
      </c>
      <c r="Y98" s="44">
        <f>Igazgatás!X123+Községgazd!AA113+Vagyongazd!X98+Közút!X98+Sport!X100+Közművelődés!Z139+Támogatás!AD100</f>
        <v>0</v>
      </c>
      <c r="AB98" s="180"/>
    </row>
    <row r="99" spans="1:28" ht="15" hidden="1" customHeight="1" x14ac:dyDescent="0.25">
      <c r="B99" s="54"/>
      <c r="C99" s="2"/>
      <c r="D99" s="624" t="s">
        <v>807</v>
      </c>
      <c r="E99" s="624"/>
      <c r="F99" s="159" t="e">
        <v>#REF!</v>
      </c>
      <c r="G99" s="159" t="e">
        <v>#REF!</v>
      </c>
      <c r="H99" s="159" t="e">
        <v>#REF!</v>
      </c>
      <c r="I99" s="159" t="e">
        <v>#REF!</v>
      </c>
      <c r="J99" s="159" t="e">
        <v>#REF!</v>
      </c>
      <c r="K99" s="159" t="e">
        <f>Igazgatás!J124+Községgazd!J114+Vagyongazd!#REF!+Közút!J99+Sport!J101+Közművelődés!J140+Támogatás!J101</f>
        <v>#REF!</v>
      </c>
      <c r="L99" s="159" t="e">
        <f>Igazgatás!K124+Községgazd!K114+Vagyongazd!#REF!+Közút!K99+Sport!K101+Közművelődés!K140+Támogatás!K101</f>
        <v>#REF!</v>
      </c>
      <c r="M99" s="159" t="e">
        <f>Igazgatás!L124+Községgazd!L114+Vagyongazd!#REF!+Közút!L99+Sport!L101+Közművelődés!L140+Támogatás!L101</f>
        <v>#REF!</v>
      </c>
      <c r="N99" s="72">
        <f>Igazgatás!M124+Községgazd!P114+Vagyongazd!M99+Közút!M99+Sport!M101+Közművelődés!O140+Támogatás!S101</f>
        <v>0</v>
      </c>
      <c r="O99" s="1">
        <f>Igazgatás!N124+Községgazd!Q114+Vagyongazd!N99+Közút!N99+Sport!N101+Közművelődés!P140+Támogatás!T101</f>
        <v>0</v>
      </c>
      <c r="P99" s="78">
        <f>Igazgatás!O124+Községgazd!R114+Vagyongazd!O99+Közút!O99+Sport!O101+Közművelődés!Q140+Támogatás!U101</f>
        <v>0</v>
      </c>
      <c r="Q99" s="78">
        <f>Igazgatás!P124+Községgazd!S114+Vagyongazd!P99+Közút!P99+Sport!P101+Közművelődés!R140+Támogatás!V101</f>
        <v>0</v>
      </c>
      <c r="R99" s="1">
        <f>Igazgatás!Q124+Községgazd!T114+Vagyongazd!Q99+Közút!Q99+Sport!Q101+Közművelődés!S140+Támogatás!W101</f>
        <v>0</v>
      </c>
      <c r="S99" s="78">
        <f>Igazgatás!R124+Községgazd!U114+Vagyongazd!R99+Közút!R99+Sport!R101+Közművelődés!T140+Támogatás!X101</f>
        <v>0</v>
      </c>
      <c r="T99" s="78">
        <f>Igazgatás!S124+Községgazd!V114+Vagyongazd!S99+Közút!S99+Sport!S101+Közművelődés!U140+Támogatás!Y101</f>
        <v>0</v>
      </c>
      <c r="U99" s="44">
        <f>Igazgatás!T124+Községgazd!W114+Vagyongazd!T99+Közút!T99+Sport!T101+Közművelődés!V140+Támogatás!Z101</f>
        <v>0</v>
      </c>
      <c r="V99" s="343">
        <f>Igazgatás!U124+Községgazd!X114+Vagyongazd!U99+Közút!U99+Sport!U101+Közművelődés!W140+Támogatás!AA101</f>
        <v>0</v>
      </c>
      <c r="W99" s="78">
        <f>Igazgatás!V124+Községgazd!Y114+Vagyongazd!V99+Közút!V99+Sport!V101+Közművelődés!X140+Támogatás!AB101</f>
        <v>0</v>
      </c>
      <c r="X99" s="78">
        <f>Igazgatás!W124+Községgazd!Z114+Vagyongazd!W99+Közút!W99+Sport!W101+Közművelődés!Y140+Támogatás!AC101</f>
        <v>0</v>
      </c>
      <c r="Y99" s="44">
        <f>Igazgatás!X124+Községgazd!AA114+Vagyongazd!X99+Közút!X99+Sport!X101+Közművelődés!Z140+Támogatás!AD101</f>
        <v>0</v>
      </c>
      <c r="AB99" s="180"/>
    </row>
    <row r="100" spans="1:28" ht="15" hidden="1" customHeight="1" x14ac:dyDescent="0.25">
      <c r="B100" s="54"/>
      <c r="C100" s="2"/>
      <c r="D100" s="624" t="s">
        <v>521</v>
      </c>
      <c r="E100" s="624"/>
      <c r="F100" s="159" t="e">
        <v>#REF!</v>
      </c>
      <c r="G100" s="159" t="e">
        <v>#REF!</v>
      </c>
      <c r="H100" s="159" t="e">
        <v>#REF!</v>
      </c>
      <c r="I100" s="159" t="e">
        <v>#REF!</v>
      </c>
      <c r="J100" s="159" t="e">
        <v>#REF!</v>
      </c>
      <c r="K100" s="159" t="e">
        <f>Igazgatás!J125+Községgazd!J115+Vagyongazd!#REF!+Közút!J100+Sport!J102+Közművelődés!J141+Támogatás!J102</f>
        <v>#REF!</v>
      </c>
      <c r="L100" s="159" t="e">
        <f>Igazgatás!K125+Községgazd!K115+Vagyongazd!#REF!+Közút!K100+Sport!K102+Közművelődés!K141+Támogatás!K102</f>
        <v>#REF!</v>
      </c>
      <c r="M100" s="159" t="e">
        <f>Igazgatás!L125+Községgazd!L115+Vagyongazd!#REF!+Közút!L100+Sport!L102+Közművelődés!L141+Támogatás!L102</f>
        <v>#REF!</v>
      </c>
      <c r="N100" s="72">
        <f>Igazgatás!M125+Községgazd!P115+Vagyongazd!M100+Közút!M100+Sport!M102+Közművelődés!O141+Támogatás!S102</f>
        <v>0</v>
      </c>
      <c r="O100" s="1">
        <f>Igazgatás!N125+Községgazd!Q115+Vagyongazd!N100+Közút!N100+Sport!N102+Közművelődés!P141+Támogatás!T102</f>
        <v>0</v>
      </c>
      <c r="P100" s="78">
        <f>Igazgatás!O125+Községgazd!R115+Vagyongazd!O100+Közút!O100+Sport!O102+Közművelődés!Q141+Támogatás!U102</f>
        <v>0</v>
      </c>
      <c r="Q100" s="78">
        <f>Igazgatás!P125+Községgazd!S115+Vagyongazd!P100+Közút!P100+Sport!P102+Közművelődés!R141+Támogatás!V102</f>
        <v>0</v>
      </c>
      <c r="R100" s="1">
        <f>Igazgatás!Q125+Községgazd!T115+Vagyongazd!Q100+Közút!Q100+Sport!Q102+Közművelődés!S141+Támogatás!W102</f>
        <v>0</v>
      </c>
      <c r="S100" s="78">
        <f>Igazgatás!R125+Községgazd!U115+Vagyongazd!R100+Közút!R100+Sport!R102+Közművelődés!T141+Támogatás!X102</f>
        <v>0</v>
      </c>
      <c r="T100" s="78">
        <f>Igazgatás!S125+Községgazd!V115+Vagyongazd!S100+Közút!S100+Sport!S102+Közművelődés!U141+Támogatás!Y102</f>
        <v>0</v>
      </c>
      <c r="U100" s="44">
        <f>Igazgatás!T125+Községgazd!W115+Vagyongazd!T100+Közút!T100+Sport!T102+Közművelődés!V141+Támogatás!Z102</f>
        <v>0</v>
      </c>
      <c r="V100" s="343">
        <f>Igazgatás!U125+Községgazd!X115+Vagyongazd!U100+Közút!U100+Sport!U102+Közművelődés!W141+Támogatás!AA102</f>
        <v>0</v>
      </c>
      <c r="W100" s="78">
        <f>Igazgatás!V125+Községgazd!Y115+Vagyongazd!V100+Közút!V100+Sport!V102+Közművelődés!X141+Támogatás!AB102</f>
        <v>0</v>
      </c>
      <c r="X100" s="78">
        <f>Igazgatás!W125+Községgazd!Z115+Vagyongazd!W100+Közút!W100+Sport!W102+Közművelődés!Y141+Támogatás!AC102</f>
        <v>0</v>
      </c>
      <c r="Y100" s="44">
        <f>Igazgatás!X125+Községgazd!AA115+Vagyongazd!X100+Közút!X100+Sport!X102+Közművelődés!Z141+Támogatás!AD102</f>
        <v>0</v>
      </c>
      <c r="AB100" s="180"/>
    </row>
    <row r="101" spans="1:28" ht="15" hidden="1" customHeight="1" x14ac:dyDescent="0.25">
      <c r="B101" s="54"/>
      <c r="C101" s="2"/>
      <c r="D101" s="624" t="s">
        <v>519</v>
      </c>
      <c r="E101" s="624"/>
      <c r="F101" s="159" t="e">
        <v>#REF!</v>
      </c>
      <c r="G101" s="159" t="e">
        <v>#REF!</v>
      </c>
      <c r="H101" s="159" t="e">
        <v>#REF!</v>
      </c>
      <c r="I101" s="159" t="e">
        <v>#REF!</v>
      </c>
      <c r="J101" s="159" t="e">
        <v>#REF!</v>
      </c>
      <c r="K101" s="159" t="e">
        <f>Igazgatás!J126+Községgazd!J116+Vagyongazd!#REF!+Közút!J101+Sport!J103+Közművelődés!J142+Támogatás!J103</f>
        <v>#REF!</v>
      </c>
      <c r="L101" s="159" t="e">
        <f>Igazgatás!K126+Községgazd!K116+Vagyongazd!#REF!+Közút!K101+Sport!K103+Közművelődés!K142+Támogatás!K103</f>
        <v>#REF!</v>
      </c>
      <c r="M101" s="159" t="e">
        <f>Igazgatás!L126+Községgazd!L116+Vagyongazd!#REF!+Közút!L101+Sport!L103+Közművelődés!L142+Támogatás!L103</f>
        <v>#REF!</v>
      </c>
      <c r="N101" s="72">
        <f>Igazgatás!M126+Községgazd!P116+Vagyongazd!M101+Közút!M101+Sport!M103+Közművelődés!O142+Támogatás!S103</f>
        <v>0</v>
      </c>
      <c r="O101" s="1">
        <f>Igazgatás!N126+Községgazd!Q116+Vagyongazd!N101+Közút!N101+Sport!N103+Közművelődés!P142+Támogatás!T103</f>
        <v>0</v>
      </c>
      <c r="P101" s="78">
        <f>Igazgatás!O126+Községgazd!R116+Vagyongazd!O101+Közút!O101+Sport!O103+Közművelődés!Q142+Támogatás!U103</f>
        <v>0</v>
      </c>
      <c r="Q101" s="78">
        <f>Igazgatás!P126+Községgazd!S116+Vagyongazd!P101+Közút!P101+Sport!P103+Közművelődés!R142+Támogatás!V103</f>
        <v>0</v>
      </c>
      <c r="R101" s="1">
        <f>Igazgatás!Q126+Községgazd!T116+Vagyongazd!Q101+Közút!Q101+Sport!Q103+Közművelődés!S142+Támogatás!W103</f>
        <v>0</v>
      </c>
      <c r="S101" s="78">
        <f>Igazgatás!R126+Községgazd!U116+Vagyongazd!R101+Közút!R101+Sport!R103+Közművelődés!T142+Támogatás!X103</f>
        <v>0</v>
      </c>
      <c r="T101" s="78">
        <f>Igazgatás!S126+Községgazd!V116+Vagyongazd!S101+Közút!S101+Sport!S103+Közművelődés!U142+Támogatás!Y103</f>
        <v>0</v>
      </c>
      <c r="U101" s="44">
        <f>Igazgatás!T126+Községgazd!W116+Vagyongazd!T101+Közút!T101+Sport!T103+Közművelődés!V142+Támogatás!Z103</f>
        <v>0</v>
      </c>
      <c r="V101" s="343">
        <f>Igazgatás!U126+Községgazd!X116+Vagyongazd!U101+Közút!U101+Sport!U103+Közművelődés!W142+Támogatás!AA103</f>
        <v>0</v>
      </c>
      <c r="W101" s="78">
        <f>Igazgatás!V126+Községgazd!Y116+Vagyongazd!V101+Közút!V101+Sport!V103+Közművelődés!X142+Támogatás!AB103</f>
        <v>0</v>
      </c>
      <c r="X101" s="78">
        <f>Igazgatás!W126+Községgazd!Z116+Vagyongazd!W101+Közút!W101+Sport!W103+Közművelődés!Y142+Támogatás!AC103</f>
        <v>0</v>
      </c>
      <c r="Y101" s="44">
        <f>Igazgatás!X126+Községgazd!AA116+Vagyongazd!X101+Közút!X101+Sport!X103+Közművelődés!Z142+Támogatás!AD103</f>
        <v>0</v>
      </c>
      <c r="AB101" s="180"/>
    </row>
    <row r="102" spans="1:28" ht="25.5" hidden="1" customHeight="1" x14ac:dyDescent="0.25">
      <c r="B102" s="54"/>
      <c r="C102" s="2"/>
      <c r="D102" s="625" t="s">
        <v>523</v>
      </c>
      <c r="E102" s="625"/>
      <c r="F102" s="159" t="e">
        <v>#REF!</v>
      </c>
      <c r="G102" s="159" t="e">
        <v>#REF!</v>
      </c>
      <c r="H102" s="159" t="e">
        <v>#REF!</v>
      </c>
      <c r="I102" s="159" t="e">
        <v>#REF!</v>
      </c>
      <c r="J102" s="159" t="e">
        <v>#REF!</v>
      </c>
      <c r="K102" s="159" t="e">
        <f>Igazgatás!J127+Községgazd!J117+Vagyongazd!#REF!+Közút!J102+Sport!J104+Közművelődés!J143+Támogatás!J104</f>
        <v>#REF!</v>
      </c>
      <c r="L102" s="159" t="e">
        <f>Igazgatás!K127+Községgazd!K117+Vagyongazd!#REF!+Közút!K102+Sport!K104+Közművelődés!K143+Támogatás!K104</f>
        <v>#REF!</v>
      </c>
      <c r="M102" s="159" t="e">
        <f>Igazgatás!L127+Községgazd!L117+Vagyongazd!#REF!+Közút!L102+Sport!L104+Közművelődés!L143+Támogatás!L104</f>
        <v>#REF!</v>
      </c>
      <c r="N102" s="72">
        <f>Igazgatás!M127+Községgazd!P117+Vagyongazd!M102+Közút!M102+Sport!M104+Közművelődés!O143+Támogatás!S104</f>
        <v>0</v>
      </c>
      <c r="O102" s="1">
        <f>Igazgatás!N127+Községgazd!Q117+Vagyongazd!N102+Közút!N102+Sport!N104+Közművelődés!P143+Támogatás!T104</f>
        <v>0</v>
      </c>
      <c r="P102" s="78">
        <f>Igazgatás!O127+Községgazd!R117+Vagyongazd!O102+Közút!O102+Sport!O104+Közművelődés!Q143+Támogatás!U104</f>
        <v>0</v>
      </c>
      <c r="Q102" s="78">
        <f>Igazgatás!P127+Községgazd!S117+Vagyongazd!P102+Közút!P102+Sport!P104+Közművelődés!R143+Támogatás!V104</f>
        <v>0</v>
      </c>
      <c r="R102" s="1">
        <f>Igazgatás!Q127+Községgazd!T117+Vagyongazd!Q102+Közút!Q102+Sport!Q104+Közművelődés!S143+Támogatás!W104</f>
        <v>0</v>
      </c>
      <c r="S102" s="78">
        <f>Igazgatás!R127+Községgazd!U117+Vagyongazd!R102+Közút!R102+Sport!R104+Közművelődés!T143+Támogatás!X104</f>
        <v>0</v>
      </c>
      <c r="T102" s="78">
        <f>Igazgatás!S127+Községgazd!V117+Vagyongazd!S102+Közút!S102+Sport!S104+Közművelődés!U143+Támogatás!Y104</f>
        <v>0</v>
      </c>
      <c r="U102" s="44">
        <f>Igazgatás!T127+Községgazd!W117+Vagyongazd!T102+Közút!T102+Sport!T104+Közművelődés!V143+Támogatás!Z104</f>
        <v>0</v>
      </c>
      <c r="V102" s="343">
        <f>Igazgatás!U127+Községgazd!X117+Vagyongazd!U102+Közút!U102+Sport!U104+Közművelődés!W143+Támogatás!AA104</f>
        <v>0</v>
      </c>
      <c r="W102" s="78">
        <f>Igazgatás!V127+Községgazd!Y117+Vagyongazd!V102+Közút!V102+Sport!V104+Közművelődés!X143+Támogatás!AB104</f>
        <v>0</v>
      </c>
      <c r="X102" s="78">
        <f>Igazgatás!W127+Községgazd!Z117+Vagyongazd!W102+Közút!W102+Sport!W104+Közművelődés!Y143+Támogatás!AC104</f>
        <v>0</v>
      </c>
      <c r="Y102" s="44">
        <f>Igazgatás!X127+Községgazd!AA117+Vagyongazd!X102+Közút!X102+Sport!X104+Közművelődés!Z143+Támogatás!AD104</f>
        <v>0</v>
      </c>
      <c r="AB102" s="180"/>
    </row>
    <row r="103" spans="1:28" ht="15" hidden="1" customHeight="1" x14ac:dyDescent="0.25">
      <c r="B103" s="54"/>
      <c r="C103" s="2"/>
      <c r="D103" s="624" t="s">
        <v>806</v>
      </c>
      <c r="E103" s="624"/>
      <c r="F103" s="159" t="e">
        <v>#REF!</v>
      </c>
      <c r="G103" s="159" t="e">
        <v>#REF!</v>
      </c>
      <c r="H103" s="159" t="e">
        <v>#REF!</v>
      </c>
      <c r="I103" s="159" t="e">
        <v>#REF!</v>
      </c>
      <c r="J103" s="159" t="e">
        <v>#REF!</v>
      </c>
      <c r="K103" s="159" t="e">
        <f>Igazgatás!J128+Községgazd!J118+Vagyongazd!#REF!+Közút!J103+Sport!J105+Közművelődés!J144+Támogatás!J105</f>
        <v>#REF!</v>
      </c>
      <c r="L103" s="159" t="e">
        <f>Igazgatás!K128+Községgazd!K118+Vagyongazd!#REF!+Közút!K103+Sport!K105+Közművelődés!K144+Támogatás!K105</f>
        <v>#REF!</v>
      </c>
      <c r="M103" s="159" t="e">
        <f>Igazgatás!L128+Községgazd!L118+Vagyongazd!#REF!+Közút!L103+Sport!L105+Közművelődés!L144+Támogatás!L105</f>
        <v>#REF!</v>
      </c>
      <c r="N103" s="72">
        <f>Igazgatás!M128+Községgazd!P118+Vagyongazd!M103+Közút!M103+Sport!M105+Közművelődés!O144+Támogatás!S105</f>
        <v>0</v>
      </c>
      <c r="O103" s="1">
        <f>Igazgatás!N128+Községgazd!Q118+Vagyongazd!N103+Közút!N103+Sport!N105+Közművelődés!P144+Támogatás!T105</f>
        <v>0</v>
      </c>
      <c r="P103" s="78">
        <f>Igazgatás!O128+Községgazd!R118+Vagyongazd!O103+Közút!O103+Sport!O105+Közművelődés!Q144+Támogatás!U105</f>
        <v>0</v>
      </c>
      <c r="Q103" s="78">
        <f>Igazgatás!P128+Községgazd!S118+Vagyongazd!P103+Közút!P103+Sport!P105+Közművelődés!R144+Támogatás!V105</f>
        <v>0</v>
      </c>
      <c r="R103" s="1">
        <f>Igazgatás!Q128+Községgazd!T118+Vagyongazd!Q103+Közút!Q103+Sport!Q105+Közművelődés!S144+Támogatás!W105</f>
        <v>0</v>
      </c>
      <c r="S103" s="78">
        <f>Igazgatás!R128+Községgazd!U118+Vagyongazd!R103+Közút!R103+Sport!R105+Közművelődés!T144+Támogatás!X105</f>
        <v>0</v>
      </c>
      <c r="T103" s="78">
        <f>Igazgatás!S128+Községgazd!V118+Vagyongazd!S103+Közút!S103+Sport!S105+Közművelődés!U144+Támogatás!Y105</f>
        <v>0</v>
      </c>
      <c r="U103" s="44">
        <f>Igazgatás!T128+Községgazd!W118+Vagyongazd!T103+Közút!T103+Sport!T105+Közművelődés!V144+Támogatás!Z105</f>
        <v>0</v>
      </c>
      <c r="V103" s="343">
        <f>Igazgatás!U128+Községgazd!X118+Vagyongazd!U103+Közút!U103+Sport!U105+Közművelődés!W144+Támogatás!AA105</f>
        <v>0</v>
      </c>
      <c r="W103" s="78">
        <f>Igazgatás!V128+Községgazd!Y118+Vagyongazd!V103+Közút!V103+Sport!V105+Közművelődés!X144+Támogatás!AB105</f>
        <v>0</v>
      </c>
      <c r="X103" s="78">
        <f>Igazgatás!W128+Községgazd!Z118+Vagyongazd!W103+Közút!W103+Sport!W105+Közművelődés!Y144+Támogatás!AC105</f>
        <v>0</v>
      </c>
      <c r="Y103" s="44">
        <f>Igazgatás!X128+Községgazd!AA118+Vagyongazd!X103+Közút!X103+Sport!X105+Közművelődés!Z144+Támogatás!AD105</f>
        <v>0</v>
      </c>
      <c r="AB103" s="180"/>
    </row>
    <row r="104" spans="1:28" ht="25.5" hidden="1" customHeight="1" x14ac:dyDescent="0.25">
      <c r="B104" s="54"/>
      <c r="C104" s="2"/>
      <c r="D104" s="625" t="s">
        <v>526</v>
      </c>
      <c r="E104" s="625"/>
      <c r="F104" s="159" t="e">
        <v>#REF!</v>
      </c>
      <c r="G104" s="159" t="e">
        <v>#REF!</v>
      </c>
      <c r="H104" s="159" t="e">
        <v>#REF!</v>
      </c>
      <c r="I104" s="159" t="e">
        <v>#REF!</v>
      </c>
      <c r="J104" s="159" t="e">
        <v>#REF!</v>
      </c>
      <c r="K104" s="159" t="e">
        <f>Igazgatás!J129+Községgazd!J119+Vagyongazd!#REF!+Közút!J104+Sport!J106+Közművelődés!J145+Támogatás!J106</f>
        <v>#REF!</v>
      </c>
      <c r="L104" s="159" t="e">
        <f>Igazgatás!K129+Községgazd!K119+Vagyongazd!#REF!+Közút!K104+Sport!K106+Közművelődés!K145+Támogatás!K106</f>
        <v>#REF!</v>
      </c>
      <c r="M104" s="159" t="e">
        <f>Igazgatás!L129+Községgazd!L119+Vagyongazd!#REF!+Közút!L104+Sport!L106+Közművelődés!L145+Támogatás!L106</f>
        <v>#REF!</v>
      </c>
      <c r="N104" s="72">
        <f>Igazgatás!M129+Községgazd!P119+Vagyongazd!M104+Közút!M104+Sport!M106+Közművelődés!O145+Támogatás!S106</f>
        <v>0</v>
      </c>
      <c r="O104" s="1">
        <f>Igazgatás!N129+Községgazd!Q119+Vagyongazd!N104+Közút!N104+Sport!N106+Közművelődés!P145+Támogatás!T106</f>
        <v>0</v>
      </c>
      <c r="P104" s="78">
        <f>Igazgatás!O129+Községgazd!R119+Vagyongazd!O104+Közút!O104+Sport!O106+Közművelődés!Q145+Támogatás!U106</f>
        <v>0</v>
      </c>
      <c r="Q104" s="78">
        <f>Igazgatás!P129+Községgazd!S119+Vagyongazd!P104+Közút!P104+Sport!P106+Közművelődés!R145+Támogatás!V106</f>
        <v>0</v>
      </c>
      <c r="R104" s="1">
        <f>Igazgatás!Q129+Községgazd!T119+Vagyongazd!Q104+Közút!Q104+Sport!Q106+Közművelődés!S145+Támogatás!W106</f>
        <v>0</v>
      </c>
      <c r="S104" s="78">
        <f>Igazgatás!R129+Községgazd!U119+Vagyongazd!R104+Közút!R104+Sport!R106+Közművelődés!T145+Támogatás!X106</f>
        <v>0</v>
      </c>
      <c r="T104" s="78">
        <f>Igazgatás!S129+Községgazd!V119+Vagyongazd!S104+Közút!S104+Sport!S106+Közművelődés!U145+Támogatás!Y106</f>
        <v>0</v>
      </c>
      <c r="U104" s="44">
        <f>Igazgatás!T129+Községgazd!W119+Vagyongazd!T104+Közút!T104+Sport!T106+Közművelődés!V145+Támogatás!Z106</f>
        <v>0</v>
      </c>
      <c r="V104" s="343">
        <f>Igazgatás!U129+Községgazd!X119+Vagyongazd!U104+Közút!U104+Sport!U106+Közművelődés!W145+Támogatás!AA106</f>
        <v>0</v>
      </c>
      <c r="W104" s="78">
        <f>Igazgatás!V129+Községgazd!Y119+Vagyongazd!V104+Közút!V104+Sport!V106+Közművelődés!X145+Támogatás!AB106</f>
        <v>0</v>
      </c>
      <c r="X104" s="78">
        <f>Igazgatás!W129+Községgazd!Z119+Vagyongazd!W104+Közút!W104+Sport!W106+Közművelődés!Y145+Támogatás!AC106</f>
        <v>0</v>
      </c>
      <c r="Y104" s="44">
        <f>Igazgatás!X129+Községgazd!AA119+Vagyongazd!X104+Közút!X104+Sport!X106+Közművelődés!Z145+Támogatás!AD106</f>
        <v>0</v>
      </c>
      <c r="AB104" s="180"/>
    </row>
    <row r="105" spans="1:28" ht="25.5" hidden="1" customHeight="1" x14ac:dyDescent="0.25">
      <c r="B105" s="54"/>
      <c r="C105" s="2"/>
      <c r="D105" s="625" t="s">
        <v>528</v>
      </c>
      <c r="E105" s="625"/>
      <c r="F105" s="159" t="e">
        <v>#REF!</v>
      </c>
      <c r="G105" s="159" t="e">
        <v>#REF!</v>
      </c>
      <c r="H105" s="159" t="e">
        <v>#REF!</v>
      </c>
      <c r="I105" s="159" t="e">
        <v>#REF!</v>
      </c>
      <c r="J105" s="159" t="e">
        <v>#REF!</v>
      </c>
      <c r="K105" s="159" t="e">
        <f>Igazgatás!J130+Községgazd!J120+Vagyongazd!#REF!+Közút!J105+Sport!J107+Közművelődés!J146+Támogatás!J107</f>
        <v>#REF!</v>
      </c>
      <c r="L105" s="159" t="e">
        <f>Igazgatás!K130+Községgazd!K120+Vagyongazd!#REF!+Közút!K105+Sport!K107+Közművelődés!K146+Támogatás!K107</f>
        <v>#REF!</v>
      </c>
      <c r="M105" s="159" t="e">
        <f>Igazgatás!L130+Községgazd!L120+Vagyongazd!#REF!+Közút!L105+Sport!L107+Közművelődés!L146+Támogatás!L107</f>
        <v>#REF!</v>
      </c>
      <c r="N105" s="72">
        <f>Igazgatás!M130+Községgazd!P120+Vagyongazd!M105+Közút!M105+Sport!M107+Közművelődés!O146+Támogatás!S107</f>
        <v>0</v>
      </c>
      <c r="O105" s="1">
        <f>Igazgatás!N130+Községgazd!Q120+Vagyongazd!N105+Közút!N105+Sport!N107+Közművelődés!P146+Támogatás!T107</f>
        <v>0</v>
      </c>
      <c r="P105" s="78">
        <f>Igazgatás!O130+Községgazd!R120+Vagyongazd!O105+Közút!O105+Sport!O107+Közművelődés!Q146+Támogatás!U107</f>
        <v>0</v>
      </c>
      <c r="Q105" s="78">
        <f>Igazgatás!P130+Községgazd!S120+Vagyongazd!P105+Közút!P105+Sport!P107+Közművelődés!R146+Támogatás!V107</f>
        <v>0</v>
      </c>
      <c r="R105" s="1">
        <f>Igazgatás!Q130+Községgazd!T120+Vagyongazd!Q105+Közút!Q105+Sport!Q107+Közművelődés!S146+Támogatás!W107</f>
        <v>0</v>
      </c>
      <c r="S105" s="78">
        <f>Igazgatás!R130+Községgazd!U120+Vagyongazd!R105+Közút!R105+Sport!R107+Közművelődés!T146+Támogatás!X107</f>
        <v>0</v>
      </c>
      <c r="T105" s="78">
        <f>Igazgatás!S130+Községgazd!V120+Vagyongazd!S105+Közút!S105+Sport!S107+Közművelődés!U146+Támogatás!Y107</f>
        <v>0</v>
      </c>
      <c r="U105" s="44">
        <f>Igazgatás!T130+Községgazd!W120+Vagyongazd!T105+Közút!T105+Sport!T107+Közművelődés!V146+Támogatás!Z107</f>
        <v>0</v>
      </c>
      <c r="V105" s="343">
        <f>Igazgatás!U130+Községgazd!X120+Vagyongazd!U105+Közút!U105+Sport!U107+Közművelődés!W146+Támogatás!AA107</f>
        <v>0</v>
      </c>
      <c r="W105" s="78">
        <f>Igazgatás!V130+Községgazd!Y120+Vagyongazd!V105+Közút!V105+Sport!V107+Közművelődés!X146+Támogatás!AB107</f>
        <v>0</v>
      </c>
      <c r="X105" s="78">
        <f>Igazgatás!W130+Községgazd!Z120+Vagyongazd!W105+Közút!W105+Sport!W107+Közművelődés!Y146+Támogatás!AC107</f>
        <v>0</v>
      </c>
      <c r="Y105" s="44">
        <f>Igazgatás!X130+Községgazd!AA120+Vagyongazd!X105+Közút!X105+Sport!X107+Közművelődés!Z146+Támogatás!AD107</f>
        <v>0</v>
      </c>
      <c r="AB105" s="180"/>
    </row>
    <row r="106" spans="1:28" s="41" customFormat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2617468</v>
      </c>
      <c r="G106" s="162">
        <v>2618218</v>
      </c>
      <c r="H106" s="162">
        <v>2719216</v>
      </c>
      <c r="I106" s="160">
        <v>2719216</v>
      </c>
      <c r="J106" s="160">
        <f>J107+J113+J114</f>
        <v>3256854</v>
      </c>
      <c r="K106" s="162">
        <f>Igazgatás!J131+Községgazd!J121+Közút!J106+Sport!J108+Közművelődés!J147+Támogatás!J108</f>
        <v>3256854</v>
      </c>
      <c r="L106" s="162">
        <f>Igazgatás!K131+Községgazd!K121+Közút!K106+Sport!K108+Közművelődés!K147+Támogatás!K108</f>
        <v>0</v>
      </c>
      <c r="M106" s="162">
        <f>Igazgatás!L131+Községgazd!L121+Közút!L106+Sport!L108+Közművelődés!L147+Támogatás!L108</f>
        <v>3256854</v>
      </c>
      <c r="N106" s="102">
        <f>Igazgatás!M131+Községgazd!P121+Vagyongazd!M106+Közút!M106+Sport!M108+Közművelődés!O147+Támogatás!S108</f>
        <v>256039</v>
      </c>
      <c r="O106" s="103">
        <f>Igazgatás!N131+Községgazd!Q121+Vagyongazd!N106+Közút!N106+Sport!N108+Közművelődés!P147+Támogatás!T108</f>
        <v>10750</v>
      </c>
      <c r="P106" s="106">
        <f>Igazgatás!O131+Községgazd!R121+Vagyongazd!O106+Közút!O106+Sport!O108+Közművelődés!Q147+Támogatás!U108</f>
        <v>0</v>
      </c>
      <c r="Q106" s="106">
        <f>Igazgatás!P131+Községgazd!S121+Vagyongazd!P106+Közút!P106+Sport!P108+Közművelődés!R147+Támogatás!V108</f>
        <v>10998</v>
      </c>
      <c r="R106" s="103">
        <f>Igazgatás!Q131+Községgazd!T121+Vagyongazd!Q106+Közút!Q106+Sport!Q108+Közművelődés!S147+Támogatás!W108</f>
        <v>0</v>
      </c>
      <c r="S106" s="106">
        <f>Igazgatás!R131+Községgazd!U121+Vagyongazd!R106+Közút!R106+Sport!R108+Közművelődés!T147+Támogatás!X108</f>
        <v>0</v>
      </c>
      <c r="T106" s="106">
        <f>Igazgatás!S131+Községgazd!V121+Vagyongazd!S106+Közút!S106+Sport!S108+Közművelődés!U147+Támogatás!Y108</f>
        <v>25800</v>
      </c>
      <c r="U106" s="107">
        <f>Igazgatás!T131+Községgazd!W121+Vagyongazd!T106+Közút!T106+Sport!T108+Közművelődés!V147+Támogatás!Z108</f>
        <v>50000</v>
      </c>
      <c r="V106" s="345">
        <f>Igazgatás!U131+Községgazd!X121+Vagyongazd!U106+Közút!U106+Sport!U108+Közművelődés!W147+Támogatás!AA108</f>
        <v>1648312</v>
      </c>
      <c r="W106" s="106">
        <f>Igazgatás!V131+Községgazd!Y121+Vagyongazd!V106+Közút!V106+Sport!V108+Közművelődés!X147+Támogatás!AB108</f>
        <v>441877</v>
      </c>
      <c r="X106" s="106">
        <f>Igazgatás!W131+Községgazd!Z121+Vagyongazd!W106+Közút!W106+Sport!W108+Közművelődés!Y147+Támogatás!AC108</f>
        <v>406039</v>
      </c>
      <c r="Y106" s="107">
        <f>Igazgatás!X131+Községgazd!AA121+Vagyongazd!X106+Közút!X106+Sport!X108+Közművelődés!Z147+Támogatás!AD108</f>
        <v>407039</v>
      </c>
      <c r="AB106" s="180"/>
    </row>
    <row r="107" spans="1:28" ht="15" customHeight="1" x14ac:dyDescent="0.25">
      <c r="B107" s="54"/>
      <c r="C107" s="2"/>
      <c r="D107" s="624" t="s">
        <v>368</v>
      </c>
      <c r="E107" s="624"/>
      <c r="F107" s="159">
        <f>Támogatás!F109</f>
        <v>0</v>
      </c>
      <c r="G107" s="159">
        <f>Támogatás!G109</f>
        <v>0</v>
      </c>
      <c r="H107" s="159">
        <f>Támogatás!H109</f>
        <v>100000</v>
      </c>
      <c r="I107" s="159">
        <f>Támogatás!I109</f>
        <v>100000</v>
      </c>
      <c r="J107" s="159">
        <f>Támogatás!J109</f>
        <v>100000</v>
      </c>
      <c r="K107" s="159">
        <f>Igazgatás!J132+Községgazd!J122+Közút!J107+Sport!J109+Közművelődés!J148+Támogatás!J109</f>
        <v>100000</v>
      </c>
      <c r="L107" s="159">
        <f>Igazgatás!K132+Községgazd!K122+Közút!K107+Sport!K109+Közművelődés!K148+Támogatás!K109</f>
        <v>0</v>
      </c>
      <c r="M107" s="159">
        <f>Igazgatás!L132+Községgazd!L122+Közút!L107+Sport!L109+Közművelődés!L148+Támogatás!L109</f>
        <v>100000</v>
      </c>
      <c r="N107" s="72">
        <f>Igazgatás!M132+Községgazd!P122+Vagyongazd!M107+Közút!M107+Sport!M109+Közművelődés!O148+Támogatás!S109</f>
        <v>50000</v>
      </c>
      <c r="O107" s="1">
        <f>Igazgatás!N132+Községgazd!Q122+Vagyongazd!N107+Közút!N107+Sport!N109+Közművelődés!P148+Támogatás!T109</f>
        <v>0</v>
      </c>
      <c r="P107" s="78">
        <f>Igazgatás!O132+Községgazd!R122+Vagyongazd!O107+Közút!O107+Sport!O109+Közművelődés!Q148+Támogatás!U109</f>
        <v>0</v>
      </c>
      <c r="Q107" s="78">
        <f>Igazgatás!P132+Községgazd!S122+Vagyongazd!P107+Közút!P107+Sport!P109+Közművelődés!R148+Támogatás!V109</f>
        <v>0</v>
      </c>
      <c r="R107" s="1">
        <f>Igazgatás!Q132+Községgazd!T122+Vagyongazd!Q107+Közút!Q107+Sport!Q109+Közművelődés!S148+Támogatás!W109</f>
        <v>0</v>
      </c>
      <c r="S107" s="78">
        <f>Igazgatás!R132+Községgazd!U122+Vagyongazd!R107+Közút!R107+Sport!R109+Közművelődés!T148+Támogatás!X109</f>
        <v>0</v>
      </c>
      <c r="T107" s="78">
        <f>Igazgatás!S132+Községgazd!V122+Vagyongazd!S107+Közút!S107+Sport!S109+Közművelődés!U148+Támogatás!Y109</f>
        <v>0</v>
      </c>
      <c r="U107" s="44">
        <f>Igazgatás!T132+Községgazd!W122+Vagyongazd!T107+Közút!T107+Sport!T109+Közművelődés!V148+Támogatás!Z109</f>
        <v>50000</v>
      </c>
      <c r="V107" s="343">
        <f>Igazgatás!U132+Községgazd!X122+Vagyongazd!U107+Közút!U107+Sport!U109+Közművelődés!W148+Támogatás!AA109</f>
        <v>0</v>
      </c>
      <c r="W107" s="78">
        <f>Igazgatás!V132+Községgazd!Y122+Vagyongazd!V107+Közút!V107+Sport!V109+Közművelődés!X148+Támogatás!AB109</f>
        <v>0</v>
      </c>
      <c r="X107" s="78">
        <f>Igazgatás!W132+Községgazd!Z122+Vagyongazd!W107+Közút!W107+Sport!W109+Közművelődés!Y148+Támogatás!AC109</f>
        <v>0</v>
      </c>
      <c r="Y107" s="44">
        <f>Igazgatás!X132+Községgazd!AA122+Vagyongazd!X107+Közút!X107+Sport!X109+Közművelődés!Z148+Támogatás!AD109</f>
        <v>0</v>
      </c>
      <c r="AB107" s="180"/>
    </row>
    <row r="108" spans="1:28" ht="15" hidden="1" customHeight="1" x14ac:dyDescent="0.25">
      <c r="B108" s="54"/>
      <c r="C108" s="2"/>
      <c r="D108" s="624" t="s">
        <v>515</v>
      </c>
      <c r="E108" s="624"/>
      <c r="F108" s="159" t="e">
        <v>#REF!</v>
      </c>
      <c r="G108" s="159" t="e">
        <v>#REF!</v>
      </c>
      <c r="H108" s="159" t="e">
        <v>#REF!</v>
      </c>
      <c r="I108" s="159" t="e">
        <v>#REF!</v>
      </c>
      <c r="J108" s="159" t="e">
        <v>#REF!</v>
      </c>
      <c r="K108" s="159" t="e">
        <f>Igazgatás!J133+Községgazd!J123+Vagyongazd!#REF!+Közút!J108+Sport!J110+Közművelődés!J149+Támogatás!J110</f>
        <v>#REF!</v>
      </c>
      <c r="L108" s="159" t="e">
        <f>Igazgatás!K133+Községgazd!K123+Vagyongazd!#REF!+Közút!K108+Sport!K110+Közművelődés!K149+Támogatás!K110</f>
        <v>#REF!</v>
      </c>
      <c r="M108" s="159" t="e">
        <f>Igazgatás!L133+Községgazd!L123+Vagyongazd!#REF!+Közút!L108+Sport!L110+Közművelődés!L149+Támogatás!L110</f>
        <v>#REF!</v>
      </c>
      <c r="N108" s="72">
        <f>Igazgatás!M133+Községgazd!P123+Vagyongazd!M108+Közút!M108+Sport!M110+Közművelődés!O149+Támogatás!S110</f>
        <v>0</v>
      </c>
      <c r="O108" s="1">
        <f>Igazgatás!N133+Községgazd!Q123+Vagyongazd!N108+Közút!N108+Sport!N110+Közművelődés!P149+Támogatás!T110</f>
        <v>0</v>
      </c>
      <c r="P108" s="78">
        <f>Igazgatás!O133+Községgazd!R123+Vagyongazd!O108+Közút!O108+Sport!O110+Közművelődés!Q149+Támogatás!U110</f>
        <v>0</v>
      </c>
      <c r="Q108" s="78">
        <f>Igazgatás!P133+Községgazd!S123+Vagyongazd!P108+Közút!P108+Sport!P110+Közművelődés!R149+Támogatás!V110</f>
        <v>0</v>
      </c>
      <c r="R108" s="1">
        <f>Igazgatás!Q133+Községgazd!T123+Vagyongazd!Q108+Közút!Q108+Sport!Q110+Közművelődés!S149+Támogatás!W110</f>
        <v>0</v>
      </c>
      <c r="S108" s="78">
        <f>Igazgatás!R133+Községgazd!U123+Vagyongazd!R108+Közút!R108+Sport!R110+Közművelődés!T149+Támogatás!X110</f>
        <v>0</v>
      </c>
      <c r="T108" s="78">
        <f>Igazgatás!S133+Községgazd!V123+Vagyongazd!S108+Közút!S108+Sport!S110+Közművelődés!U149+Támogatás!Y110</f>
        <v>0</v>
      </c>
      <c r="U108" s="44">
        <f>Igazgatás!T133+Községgazd!W123+Vagyongazd!T108+Közút!T108+Sport!T110+Közművelődés!V149+Támogatás!Z110</f>
        <v>0</v>
      </c>
      <c r="V108" s="343">
        <f>Igazgatás!U133+Községgazd!X123+Vagyongazd!U108+Közút!U108+Sport!U110+Közművelődés!W149+Támogatás!AA110</f>
        <v>0</v>
      </c>
      <c r="W108" s="78">
        <f>Igazgatás!V133+Községgazd!Y123+Vagyongazd!V108+Közút!V108+Sport!V110+Közművelődés!X149+Támogatás!AB110</f>
        <v>0</v>
      </c>
      <c r="X108" s="78">
        <f>Igazgatás!W133+Községgazd!Z123+Vagyongazd!W108+Közút!W108+Sport!W110+Közművelődés!Y149+Támogatás!AC110</f>
        <v>0</v>
      </c>
      <c r="Y108" s="44">
        <f>Igazgatás!X133+Községgazd!AA123+Vagyongazd!X108+Közút!X108+Sport!X110+Közművelődés!Z149+Támogatás!AD110</f>
        <v>0</v>
      </c>
      <c r="AB108" s="180"/>
    </row>
    <row r="109" spans="1:28" ht="15" hidden="1" customHeight="1" x14ac:dyDescent="0.25">
      <c r="B109" s="54"/>
      <c r="C109" s="2"/>
      <c r="D109" s="624" t="s">
        <v>517</v>
      </c>
      <c r="E109" s="624"/>
      <c r="F109" s="159" t="e">
        <v>#REF!</v>
      </c>
      <c r="G109" s="159" t="e">
        <v>#REF!</v>
      </c>
      <c r="H109" s="159" t="e">
        <v>#REF!</v>
      </c>
      <c r="I109" s="159" t="e">
        <v>#REF!</v>
      </c>
      <c r="J109" s="159" t="e">
        <v>#REF!</v>
      </c>
      <c r="K109" s="159" t="e">
        <f>Igazgatás!J134+Községgazd!J124+Vagyongazd!#REF!+Közút!J109+Sport!J111+Közművelődés!J150+Támogatás!J111</f>
        <v>#REF!</v>
      </c>
      <c r="L109" s="159" t="e">
        <f>Igazgatás!K134+Községgazd!K124+Vagyongazd!#REF!+Közút!K109+Sport!K111+Közművelődés!K150+Támogatás!K111</f>
        <v>#REF!</v>
      </c>
      <c r="M109" s="159" t="e">
        <f>Igazgatás!L134+Községgazd!L124+Vagyongazd!#REF!+Közút!L109+Sport!L111+Közművelődés!L150+Támogatás!L111</f>
        <v>#REF!</v>
      </c>
      <c r="N109" s="72">
        <f>Igazgatás!M134+Községgazd!P124+Vagyongazd!M109+Közút!M109+Sport!M111+Közművelődés!O150+Támogatás!S111</f>
        <v>0</v>
      </c>
      <c r="O109" s="1">
        <f>Igazgatás!N134+Községgazd!Q124+Vagyongazd!N109+Közút!N109+Sport!N111+Közművelődés!P150+Támogatás!T111</f>
        <v>0</v>
      </c>
      <c r="P109" s="78">
        <f>Igazgatás!O134+Községgazd!R124+Vagyongazd!O109+Közút!O109+Sport!O111+Közművelődés!Q150+Támogatás!U111</f>
        <v>0</v>
      </c>
      <c r="Q109" s="78">
        <f>Igazgatás!P134+Községgazd!S124+Vagyongazd!P109+Közút!P109+Sport!P111+Közművelődés!R150+Támogatás!V111</f>
        <v>0</v>
      </c>
      <c r="R109" s="1">
        <f>Igazgatás!Q134+Községgazd!T124+Vagyongazd!Q109+Közút!Q109+Sport!Q111+Közművelődés!S150+Támogatás!W111</f>
        <v>0</v>
      </c>
      <c r="S109" s="78">
        <f>Igazgatás!R134+Községgazd!U124+Vagyongazd!R109+Közút!R109+Sport!R111+Közművelődés!T150+Támogatás!X111</f>
        <v>0</v>
      </c>
      <c r="T109" s="78">
        <f>Igazgatás!S134+Községgazd!V124+Vagyongazd!S109+Közút!S109+Sport!S111+Közművelődés!U150+Támogatás!Y111</f>
        <v>0</v>
      </c>
      <c r="U109" s="44">
        <f>Igazgatás!T134+Községgazd!W124+Vagyongazd!T109+Közút!T109+Sport!T111+Közművelődés!V150+Támogatás!Z111</f>
        <v>0</v>
      </c>
      <c r="V109" s="343">
        <f>Igazgatás!U134+Községgazd!X124+Vagyongazd!U109+Közút!U109+Sport!U111+Közművelődés!W150+Támogatás!AA111</f>
        <v>0</v>
      </c>
      <c r="W109" s="78">
        <f>Igazgatás!V134+Községgazd!Y124+Vagyongazd!V109+Közút!V109+Sport!V111+Közművelődés!X150+Támogatás!AB111</f>
        <v>0</v>
      </c>
      <c r="X109" s="78">
        <f>Igazgatás!W134+Községgazd!Z124+Vagyongazd!W109+Közút!W109+Sport!W111+Közművelődés!Y150+Támogatás!AC111</f>
        <v>0</v>
      </c>
      <c r="Y109" s="44">
        <f>Igazgatás!X134+Községgazd!AA124+Vagyongazd!X109+Közút!X109+Sport!X111+Közművelődés!Z150+Támogatás!AD111</f>
        <v>0</v>
      </c>
      <c r="AB109" s="180"/>
    </row>
    <row r="110" spans="1:28" ht="15" hidden="1" customHeight="1" x14ac:dyDescent="0.25">
      <c r="B110" s="54"/>
      <c r="C110" s="2"/>
      <c r="D110" s="624" t="s">
        <v>518</v>
      </c>
      <c r="E110" s="624"/>
      <c r="F110" s="159" t="e">
        <v>#REF!</v>
      </c>
      <c r="G110" s="159" t="e">
        <v>#REF!</v>
      </c>
      <c r="H110" s="159" t="e">
        <v>#REF!</v>
      </c>
      <c r="I110" s="159" t="e">
        <v>#REF!</v>
      </c>
      <c r="J110" s="159" t="e">
        <v>#REF!</v>
      </c>
      <c r="K110" s="159" t="e">
        <f>Igazgatás!J135+Községgazd!J125+Vagyongazd!#REF!+Közút!J110+Sport!J112+Közművelődés!J151+Támogatás!J112</f>
        <v>#REF!</v>
      </c>
      <c r="L110" s="159" t="e">
        <f>Igazgatás!K135+Községgazd!K125+Vagyongazd!#REF!+Közút!K110+Sport!K112+Közművelődés!K151+Támogatás!K112</f>
        <v>#REF!</v>
      </c>
      <c r="M110" s="159" t="e">
        <f>Igazgatás!L135+Községgazd!L125+Vagyongazd!#REF!+Közút!L110+Sport!L112+Közművelődés!L151+Támogatás!L112</f>
        <v>#REF!</v>
      </c>
      <c r="N110" s="72">
        <f>Igazgatás!M135+Községgazd!P125+Vagyongazd!M110+Közút!M110+Sport!M112+Közművelődés!O151+Támogatás!S112</f>
        <v>0</v>
      </c>
      <c r="O110" s="1">
        <f>Igazgatás!N135+Községgazd!Q125+Vagyongazd!N110+Közút!N110+Sport!N112+Közművelődés!P151+Támogatás!T112</f>
        <v>0</v>
      </c>
      <c r="P110" s="78">
        <f>Igazgatás!O135+Községgazd!R125+Vagyongazd!O110+Közút!O110+Sport!O112+Közművelődés!Q151+Támogatás!U112</f>
        <v>0</v>
      </c>
      <c r="Q110" s="78">
        <f>Igazgatás!P135+Községgazd!S125+Vagyongazd!P110+Közút!P110+Sport!P112+Közművelődés!R151+Támogatás!V112</f>
        <v>0</v>
      </c>
      <c r="R110" s="1">
        <f>Igazgatás!Q135+Községgazd!T125+Vagyongazd!Q110+Közút!Q110+Sport!Q112+Közművelődés!S151+Támogatás!W112</f>
        <v>0</v>
      </c>
      <c r="S110" s="78">
        <f>Igazgatás!R135+Községgazd!U125+Vagyongazd!R110+Közút!R110+Sport!R112+Közművelődés!T151+Támogatás!X112</f>
        <v>0</v>
      </c>
      <c r="T110" s="78">
        <f>Igazgatás!S135+Községgazd!V125+Vagyongazd!S110+Közút!S110+Sport!S112+Közművelődés!U151+Támogatás!Y112</f>
        <v>0</v>
      </c>
      <c r="U110" s="44">
        <f>Igazgatás!T135+Községgazd!W125+Vagyongazd!T110+Közút!T110+Sport!T112+Közművelődés!V151+Támogatás!Z112</f>
        <v>0</v>
      </c>
      <c r="V110" s="343">
        <f>Igazgatás!U135+Községgazd!X125+Vagyongazd!U110+Közút!U110+Sport!U112+Közművelődés!W151+Támogatás!AA112</f>
        <v>0</v>
      </c>
      <c r="W110" s="78">
        <f>Igazgatás!V135+Községgazd!Y125+Vagyongazd!V110+Közút!V110+Sport!V112+Közművelődés!X151+Támogatás!AB112</f>
        <v>0</v>
      </c>
      <c r="X110" s="78">
        <f>Igazgatás!W135+Községgazd!Z125+Vagyongazd!W110+Közút!W110+Sport!W112+Közművelődés!Y151+Támogatás!AC112</f>
        <v>0</v>
      </c>
      <c r="Y110" s="44">
        <f>Igazgatás!X135+Községgazd!AA125+Vagyongazd!X110+Közút!X110+Sport!X112+Közművelődés!Z151+Támogatás!AD112</f>
        <v>0</v>
      </c>
      <c r="AB110" s="180"/>
    </row>
    <row r="111" spans="1:28" ht="15" hidden="1" customHeight="1" x14ac:dyDescent="0.25">
      <c r="B111" s="54"/>
      <c r="C111" s="2"/>
      <c r="D111" s="624" t="s">
        <v>522</v>
      </c>
      <c r="E111" s="624"/>
      <c r="F111" s="159" t="e">
        <v>#REF!</v>
      </c>
      <c r="G111" s="159" t="e">
        <v>#REF!</v>
      </c>
      <c r="H111" s="159" t="e">
        <v>#REF!</v>
      </c>
      <c r="I111" s="159" t="e">
        <v>#REF!</v>
      </c>
      <c r="J111" s="159" t="e">
        <v>#REF!</v>
      </c>
      <c r="K111" s="159" t="e">
        <f>Igazgatás!J136+Községgazd!J126+Vagyongazd!#REF!+Közút!J111+Sport!J113+Közművelődés!J152+Támogatás!J113</f>
        <v>#REF!</v>
      </c>
      <c r="L111" s="159" t="e">
        <f>Igazgatás!K136+Községgazd!K126+Vagyongazd!#REF!+Közút!K111+Sport!K113+Közművelődés!K152+Támogatás!K113</f>
        <v>#REF!</v>
      </c>
      <c r="M111" s="159" t="e">
        <f>Igazgatás!L136+Községgazd!L126+Vagyongazd!#REF!+Közút!L111+Sport!L113+Közművelődés!L152+Támogatás!L113</f>
        <v>#REF!</v>
      </c>
      <c r="N111" s="72">
        <f>Igazgatás!M136+Községgazd!P126+Vagyongazd!M111+Közút!M111+Sport!M113+Közművelődés!O152+Támogatás!S113</f>
        <v>0</v>
      </c>
      <c r="O111" s="1">
        <f>Igazgatás!N136+Községgazd!Q126+Vagyongazd!N111+Közút!N111+Sport!N113+Közművelődés!P152+Támogatás!T113</f>
        <v>0</v>
      </c>
      <c r="P111" s="78">
        <f>Igazgatás!O136+Községgazd!R126+Vagyongazd!O111+Közút!O111+Sport!O113+Közművelődés!Q152+Támogatás!U113</f>
        <v>0</v>
      </c>
      <c r="Q111" s="78">
        <f>Igazgatás!P136+Községgazd!S126+Vagyongazd!P111+Közút!P111+Sport!P113+Közművelődés!R152+Támogatás!V113</f>
        <v>0</v>
      </c>
      <c r="R111" s="1">
        <f>Igazgatás!Q136+Községgazd!T126+Vagyongazd!Q111+Közút!Q111+Sport!Q113+Közművelődés!S152+Támogatás!W113</f>
        <v>0</v>
      </c>
      <c r="S111" s="78">
        <f>Igazgatás!R136+Községgazd!U126+Vagyongazd!R111+Közút!R111+Sport!R113+Közművelődés!T152+Támogatás!X113</f>
        <v>0</v>
      </c>
      <c r="T111" s="78">
        <f>Igazgatás!S136+Községgazd!V126+Vagyongazd!S111+Közút!S111+Sport!S113+Közművelődés!U152+Támogatás!Y113</f>
        <v>0</v>
      </c>
      <c r="U111" s="44">
        <f>Igazgatás!T136+Községgazd!W126+Vagyongazd!T111+Közút!T111+Sport!T113+Közművelődés!V152+Támogatás!Z113</f>
        <v>0</v>
      </c>
      <c r="V111" s="343">
        <f>Igazgatás!U136+Községgazd!X126+Vagyongazd!U111+Közút!U111+Sport!U113+Közművelődés!W152+Támogatás!AA113</f>
        <v>0</v>
      </c>
      <c r="W111" s="78">
        <f>Igazgatás!V136+Községgazd!Y126+Vagyongazd!V111+Közút!V111+Sport!V113+Közművelődés!X152+Támogatás!AB113</f>
        <v>0</v>
      </c>
      <c r="X111" s="78">
        <f>Igazgatás!W136+Községgazd!Z126+Vagyongazd!W111+Közút!W111+Sport!W113+Közművelődés!Y152+Támogatás!AC113</f>
        <v>0</v>
      </c>
      <c r="Y111" s="44">
        <f>Igazgatás!X136+Községgazd!AA126+Vagyongazd!X111+Közút!X111+Sport!X113+Közművelődés!Z152+Támogatás!AD113</f>
        <v>0</v>
      </c>
      <c r="AB111" s="180"/>
    </row>
    <row r="112" spans="1:28" ht="15" hidden="1" customHeight="1" x14ac:dyDescent="0.25">
      <c r="B112" s="54"/>
      <c r="C112" s="2"/>
      <c r="D112" s="624" t="s">
        <v>520</v>
      </c>
      <c r="E112" s="624"/>
      <c r="F112" s="159" t="e">
        <v>#REF!</v>
      </c>
      <c r="G112" s="159" t="e">
        <v>#REF!</v>
      </c>
      <c r="H112" s="159" t="e">
        <v>#REF!</v>
      </c>
      <c r="I112" s="159" t="e">
        <v>#REF!</v>
      </c>
      <c r="J112" s="159" t="e">
        <v>#REF!</v>
      </c>
      <c r="K112" s="159" t="e">
        <f>Igazgatás!J137+Községgazd!J127+Vagyongazd!#REF!+Közút!J112+Sport!J114+Közművelődés!J153+Támogatás!J114</f>
        <v>#REF!</v>
      </c>
      <c r="L112" s="159" t="e">
        <f>Igazgatás!K137+Községgazd!K127+Vagyongazd!#REF!+Közút!K112+Sport!K114+Közművelődés!K153+Támogatás!K114</f>
        <v>#REF!</v>
      </c>
      <c r="M112" s="159" t="e">
        <f>Igazgatás!L137+Községgazd!L127+Vagyongazd!#REF!+Közút!L112+Sport!L114+Közművelődés!L153+Támogatás!L114</f>
        <v>#REF!</v>
      </c>
      <c r="N112" s="72">
        <f>Igazgatás!M137+Községgazd!P127+Vagyongazd!M112+Közút!M112+Sport!M114+Közművelődés!O153+Támogatás!S114</f>
        <v>0</v>
      </c>
      <c r="O112" s="1">
        <f>Igazgatás!N137+Községgazd!Q127+Vagyongazd!N112+Közút!N112+Sport!N114+Közművelődés!P153+Támogatás!T114</f>
        <v>0</v>
      </c>
      <c r="P112" s="78">
        <f>Igazgatás!O137+Községgazd!R127+Vagyongazd!O112+Közút!O112+Sport!O114+Közművelődés!Q153+Támogatás!U114</f>
        <v>0</v>
      </c>
      <c r="Q112" s="78">
        <f>Igazgatás!P137+Községgazd!S127+Vagyongazd!P112+Közút!P112+Sport!P114+Közművelődés!R153+Támogatás!V114</f>
        <v>0</v>
      </c>
      <c r="R112" s="1">
        <f>Igazgatás!Q137+Községgazd!T127+Vagyongazd!Q112+Közút!Q112+Sport!Q114+Közművelődés!S153+Támogatás!W114</f>
        <v>0</v>
      </c>
      <c r="S112" s="78">
        <f>Igazgatás!R137+Községgazd!U127+Vagyongazd!R112+Közút!R112+Sport!R114+Közművelődés!T153+Támogatás!X114</f>
        <v>0</v>
      </c>
      <c r="T112" s="78">
        <f>Igazgatás!S137+Községgazd!V127+Vagyongazd!S112+Közút!S112+Sport!S114+Közművelődés!U153+Támogatás!Y114</f>
        <v>0</v>
      </c>
      <c r="U112" s="44">
        <f>Igazgatás!T137+Községgazd!W127+Vagyongazd!T112+Közút!T112+Sport!T114+Közművelődés!V153+Támogatás!Z114</f>
        <v>0</v>
      </c>
      <c r="V112" s="343">
        <f>Igazgatás!U137+Községgazd!X127+Vagyongazd!U112+Közút!U112+Sport!U114+Közművelődés!W153+Támogatás!AA114</f>
        <v>0</v>
      </c>
      <c r="W112" s="78">
        <f>Igazgatás!V137+Községgazd!Y127+Vagyongazd!V112+Közút!V112+Sport!V114+Közművelődés!X153+Támogatás!AB114</f>
        <v>0</v>
      </c>
      <c r="X112" s="78">
        <f>Igazgatás!W137+Községgazd!Z127+Vagyongazd!W112+Közút!W112+Sport!W114+Közművelődés!Y153+Támogatás!AC114</f>
        <v>0</v>
      </c>
      <c r="Y112" s="44">
        <f>Igazgatás!X137+Községgazd!AA127+Vagyongazd!X112+Közút!X112+Sport!X114+Közművelődés!Z153+Támogatás!AD114</f>
        <v>0</v>
      </c>
      <c r="AB112" s="180"/>
    </row>
    <row r="113" spans="1:28" ht="25.5" customHeight="1" x14ac:dyDescent="0.25">
      <c r="B113" s="54"/>
      <c r="C113" s="2"/>
      <c r="D113" s="625" t="s">
        <v>524</v>
      </c>
      <c r="E113" s="625"/>
      <c r="F113" s="159">
        <v>2567468</v>
      </c>
      <c r="G113" s="159">
        <v>2567468</v>
      </c>
      <c r="H113" s="159">
        <v>2567468</v>
      </c>
      <c r="I113" s="159">
        <v>2567468</v>
      </c>
      <c r="J113" s="159">
        <v>3109306</v>
      </c>
      <c r="K113" s="159">
        <f>Igazgatás!J138+Községgazd!J128+Közút!J113+Sport!J115+Közművelődés!J154+Támogatás!J115</f>
        <v>3109306</v>
      </c>
      <c r="L113" s="159">
        <f>Igazgatás!K138+Községgazd!K128+Közút!K113+Sport!K115+Közművelődés!K154+Támogatás!K115</f>
        <v>0</v>
      </c>
      <c r="M113" s="159">
        <f>Igazgatás!L138+Községgazd!L128+Közút!L113+Sport!L115+Közművelődés!L154+Támogatás!L115</f>
        <v>3109306</v>
      </c>
      <c r="N113" s="72">
        <f>Igazgatás!M138+Községgazd!P128+Vagyongazd!M113+Közút!M113+Sport!M115+Közművelődés!O154+Támogatás!S115</f>
        <v>206039</v>
      </c>
      <c r="O113" s="1">
        <f>Igazgatás!N138+Községgazd!Q128+Vagyongazd!N113+Közút!N113+Sport!N115+Közművelődés!P154+Támogatás!T115</f>
        <v>0</v>
      </c>
      <c r="P113" s="78">
        <f>Igazgatás!O138+Községgazd!R128+Vagyongazd!O113+Közút!O113+Sport!O115+Közművelődés!Q154+Támogatás!U115</f>
        <v>0</v>
      </c>
      <c r="Q113" s="78">
        <f>Igazgatás!P138+Községgazd!S128+Vagyongazd!P113+Közút!P113+Sport!P115+Közművelődés!R154+Támogatás!V115</f>
        <v>0</v>
      </c>
      <c r="R113" s="1">
        <f>Igazgatás!Q138+Községgazd!T128+Vagyongazd!Q113+Közút!Q113+Sport!Q115+Közművelődés!S154+Támogatás!W115</f>
        <v>0</v>
      </c>
      <c r="S113" s="78">
        <f>Igazgatás!R138+Községgazd!U128+Vagyongazd!R113+Közút!R113+Sport!R115+Közművelődés!T154+Támogatás!X115</f>
        <v>0</v>
      </c>
      <c r="T113" s="78">
        <f>Igazgatás!S138+Községgazd!V128+Vagyongazd!S113+Közút!S113+Sport!S115+Közművelődés!U154+Támogatás!Y115</f>
        <v>0</v>
      </c>
      <c r="U113" s="44">
        <f>Igazgatás!T138+Községgazd!W128+Vagyongazd!T113+Közút!T113+Sport!T115+Közművelődés!V154+Támogatás!Z115</f>
        <v>0</v>
      </c>
      <c r="V113" s="343">
        <f>Igazgatás!U138+Községgazd!X128+Vagyongazd!U113+Közút!U113+Sport!U115+Közművelődés!W154+Támogatás!AA115</f>
        <v>1648312</v>
      </c>
      <c r="W113" s="78">
        <f>Igazgatás!V138+Községgazd!Y128+Vagyongazd!V113+Közút!V113+Sport!V115+Közművelődés!X154+Támogatás!AB115</f>
        <v>441877</v>
      </c>
      <c r="X113" s="78">
        <f>Igazgatás!W138+Községgazd!Z128+Vagyongazd!W113+Közút!W113+Sport!W115+Közművelődés!Y154+Támogatás!AC115</f>
        <v>406039</v>
      </c>
      <c r="Y113" s="44">
        <f>Igazgatás!X138+Községgazd!AA128+Vagyongazd!X113+Közút!X113+Sport!X115+Közművelődés!Z154+Támogatás!AD115</f>
        <v>407039</v>
      </c>
      <c r="AB113" s="180"/>
    </row>
    <row r="114" spans="1:28" x14ac:dyDescent="0.25">
      <c r="B114" s="54"/>
      <c r="C114" s="2"/>
      <c r="D114" s="624" t="s">
        <v>525</v>
      </c>
      <c r="E114" s="624"/>
      <c r="F114" s="159">
        <v>50000</v>
      </c>
      <c r="G114" s="159">
        <v>50750</v>
      </c>
      <c r="H114" s="159">
        <v>51748</v>
      </c>
      <c r="I114" s="159">
        <v>51748</v>
      </c>
      <c r="J114" s="159">
        <v>47548</v>
      </c>
      <c r="K114" s="159">
        <f>Igazgatás!J139+Községgazd!J129+Közút!J114+Sport!J116+Közművelődés!J155+Támogatás!J121</f>
        <v>47548</v>
      </c>
      <c r="L114" s="159">
        <f>Igazgatás!K139+Községgazd!K129+Közút!K114+Sport!K116+Közművelődés!K155+Támogatás!K121</f>
        <v>0</v>
      </c>
      <c r="M114" s="159">
        <f>Igazgatás!L139+Községgazd!L129+Közút!L114+Sport!L116+Közművelődés!L155+Támogatás!L121</f>
        <v>47548</v>
      </c>
      <c r="N114" s="72">
        <f>Igazgatás!M139+Községgazd!P129+Vagyongazd!M114+Közút!M114+Sport!M116+Közművelődés!O155+Támogatás!S121</f>
        <v>0</v>
      </c>
      <c r="O114" s="1">
        <f>Igazgatás!N139+Községgazd!Q129+Vagyongazd!N114+Közút!N114+Sport!N116+Közművelődés!P155+Támogatás!T121</f>
        <v>10750</v>
      </c>
      <c r="P114" s="78">
        <f>Igazgatás!O139+Községgazd!R129+Vagyongazd!O114+Közút!O114+Sport!O116+Közművelődés!Q155+Támogatás!U121</f>
        <v>0</v>
      </c>
      <c r="Q114" s="78">
        <f>Igazgatás!P139+Községgazd!S129+Vagyongazd!P114+Közút!P114+Sport!P116+Közművelődés!R155+Támogatás!V121</f>
        <v>10998</v>
      </c>
      <c r="R114" s="1">
        <f>Igazgatás!Q139+Községgazd!T129+Vagyongazd!Q114+Közút!Q114+Sport!Q116+Közművelődés!S155+Támogatás!W121</f>
        <v>0</v>
      </c>
      <c r="S114" s="78">
        <f>Igazgatás!R139+Községgazd!U129+Vagyongazd!R114+Közút!R114+Sport!R116+Közművelődés!T155+Támogatás!X121</f>
        <v>0</v>
      </c>
      <c r="T114" s="78">
        <f>Igazgatás!S139+Községgazd!V129+Vagyongazd!S114+Közút!S114+Sport!S116+Közművelődés!U155+Támogatás!Y121</f>
        <v>25800</v>
      </c>
      <c r="U114" s="44">
        <f>Igazgatás!T139+Községgazd!W129+Vagyongazd!T114+Közút!T114+Sport!T116+Közművelődés!V155+Támogatás!Z121</f>
        <v>0</v>
      </c>
      <c r="V114" s="343">
        <f>Igazgatás!U139+Községgazd!X129+Vagyongazd!U114+Közút!U114+Sport!U116+Közművelődés!W155+Támogatás!AA121</f>
        <v>0</v>
      </c>
      <c r="W114" s="78">
        <f>Igazgatás!V139+Községgazd!Y129+Vagyongazd!V114+Közút!V114+Sport!V116+Közművelődés!X155+Támogatás!AB121</f>
        <v>0</v>
      </c>
      <c r="X114" s="78">
        <f>Igazgatás!W139+Községgazd!Z129+Vagyongazd!W114+Közút!W114+Sport!W116+Közművelődés!Y155+Támogatás!AC121</f>
        <v>0</v>
      </c>
      <c r="Y114" s="44">
        <f>Igazgatás!X139+Községgazd!AA129+Vagyongazd!X114+Közút!X114+Sport!X116+Közművelődés!Z155+Támogatás!AD121</f>
        <v>0</v>
      </c>
      <c r="AB114" s="180"/>
    </row>
    <row r="115" spans="1:28" ht="25.5" hidden="1" customHeight="1" x14ac:dyDescent="0.25">
      <c r="B115" s="54"/>
      <c r="C115" s="2"/>
      <c r="D115" s="625" t="s">
        <v>527</v>
      </c>
      <c r="E115" s="625"/>
      <c r="F115" s="159" t="e">
        <v>#REF!</v>
      </c>
      <c r="G115" s="343" t="e">
        <v>#REF!</v>
      </c>
      <c r="H115" s="343" t="e">
        <v>#REF!</v>
      </c>
      <c r="I115" s="343" t="e">
        <v>#REF!</v>
      </c>
      <c r="J115" s="343" t="e">
        <v>#REF!</v>
      </c>
      <c r="K115" s="242" t="e">
        <f>Igazgatás!J140+Községgazd!J130+Vagyongazd!#REF!+Közút!J115+Sport!J117+Közművelődés!J156+Támogatás!J127</f>
        <v>#REF!</v>
      </c>
      <c r="L115" s="151" t="e">
        <f>Igazgatás!K140+Községgazd!K130+Vagyongazd!#REF!+Közút!K115+Sport!K117+Közművelődés!K156+Támogatás!K127</f>
        <v>#REF!</v>
      </c>
      <c r="M115" s="159" t="e">
        <f>Igazgatás!L140+Községgazd!L130+Vagyongazd!#REF!+Közút!L115+Sport!L117+Közművelődés!L156+Támogatás!L127</f>
        <v>#REF!</v>
      </c>
      <c r="N115" s="72">
        <f>Igazgatás!M140+Községgazd!P130+Vagyongazd!M115+Közút!M115+Sport!M117+Közművelődés!O156+Támogatás!S127</f>
        <v>0</v>
      </c>
      <c r="O115" s="1">
        <f>Igazgatás!N140+Községgazd!Q130+Vagyongazd!N115+Közút!N115+Sport!N117+Közművelődés!P156+Támogatás!T127</f>
        <v>0</v>
      </c>
      <c r="P115" s="78">
        <f>Igazgatás!O140+Községgazd!R130+Vagyongazd!O115+Közút!O115+Sport!O117+Közművelődés!Q156+Támogatás!U127</f>
        <v>0</v>
      </c>
      <c r="Q115" s="78">
        <f>Igazgatás!P140+Községgazd!S130+Vagyongazd!P115+Közút!P115+Sport!P117+Közművelődés!R156+Támogatás!V127</f>
        <v>0</v>
      </c>
      <c r="R115" s="1">
        <f>Igazgatás!Q140+Községgazd!T130+Vagyongazd!Q115+Közút!Q115+Sport!Q117+Közművelődés!S156+Támogatás!W127</f>
        <v>0</v>
      </c>
      <c r="S115" s="78">
        <f>Igazgatás!R140+Községgazd!U130+Vagyongazd!R115+Közút!R115+Sport!R117+Közművelődés!T156+Támogatás!X127</f>
        <v>0</v>
      </c>
      <c r="T115" s="78">
        <f>Igazgatás!S140+Községgazd!V130+Vagyongazd!S115+Közút!S115+Sport!S117+Közművelődés!U156+Támogatás!Y127</f>
        <v>0</v>
      </c>
      <c r="U115" s="44">
        <f>Igazgatás!T140+Községgazd!W130+Vagyongazd!T115+Közút!T115+Sport!T117+Közművelődés!V156+Támogatás!Z127</f>
        <v>0</v>
      </c>
      <c r="V115" s="343">
        <f>Igazgatás!U140+Községgazd!X130+Vagyongazd!U115+Közút!U115+Sport!U117+Közművelődés!W156+Támogatás!AA127</f>
        <v>0</v>
      </c>
      <c r="W115" s="78">
        <f>Igazgatás!V140+Községgazd!Y130+Vagyongazd!V115+Közút!V115+Sport!V117+Közművelődés!X156+Támogatás!AB127</f>
        <v>0</v>
      </c>
      <c r="X115" s="78">
        <f>Igazgatás!W140+Községgazd!Z130+Vagyongazd!W115+Közút!W115+Sport!W117+Közművelődés!Y156+Támogatás!AC127</f>
        <v>0</v>
      </c>
      <c r="Y115" s="44">
        <f>Igazgatás!X140+Községgazd!AA130+Vagyongazd!X115+Közút!X115+Sport!X117+Közművelődés!Z156+Támogatás!AD127</f>
        <v>0</v>
      </c>
      <c r="AB115" s="180"/>
    </row>
    <row r="116" spans="1:28" ht="25.5" hidden="1" customHeight="1" x14ac:dyDescent="0.25">
      <c r="B116" s="54"/>
      <c r="C116" s="2"/>
      <c r="D116" s="625" t="s">
        <v>529</v>
      </c>
      <c r="E116" s="625"/>
      <c r="F116" s="159" t="e">
        <v>#REF!</v>
      </c>
      <c r="G116" s="343" t="e">
        <v>#REF!</v>
      </c>
      <c r="H116" s="343" t="e">
        <v>#REF!</v>
      </c>
      <c r="I116" s="343" t="e">
        <v>#REF!</v>
      </c>
      <c r="J116" s="343" t="e">
        <v>#REF!</v>
      </c>
      <c r="K116" s="242" t="e">
        <f>Igazgatás!J141+Községgazd!J131+Vagyongazd!#REF!+Közút!J116+Sport!J118+Közművelődés!J157+Támogatás!J128</f>
        <v>#REF!</v>
      </c>
      <c r="L116" s="151" t="e">
        <f>Igazgatás!K141+Községgazd!K131+Vagyongazd!#REF!+Közút!K116+Sport!K118+Közművelődés!K157+Támogatás!K128</f>
        <v>#REF!</v>
      </c>
      <c r="M116" s="159" t="e">
        <f>Igazgatás!L141+Községgazd!L131+Vagyongazd!#REF!+Közút!L116+Sport!L118+Közművelődés!L157+Támogatás!L128</f>
        <v>#REF!</v>
      </c>
      <c r="N116" s="72">
        <f>Igazgatás!M141+Községgazd!P131+Vagyongazd!M116+Közút!M116+Sport!M118+Közművelődés!O157+Támogatás!S128</f>
        <v>0</v>
      </c>
      <c r="O116" s="1">
        <f>Igazgatás!N141+Községgazd!Q131+Vagyongazd!N116+Közút!N116+Sport!N118+Közművelődés!P157+Támogatás!T128</f>
        <v>0</v>
      </c>
      <c r="P116" s="78">
        <f>Igazgatás!O141+Községgazd!R131+Vagyongazd!O116+Közút!O116+Sport!O118+Közművelődés!Q157+Támogatás!U128</f>
        <v>0</v>
      </c>
      <c r="Q116" s="78">
        <f>Igazgatás!P141+Községgazd!S131+Vagyongazd!P116+Közút!P116+Sport!P118+Közművelődés!R157+Támogatás!V128</f>
        <v>0</v>
      </c>
      <c r="R116" s="1">
        <f>Igazgatás!Q141+Községgazd!T131+Vagyongazd!Q116+Közút!Q116+Sport!Q118+Közművelődés!S157+Támogatás!W128</f>
        <v>0</v>
      </c>
      <c r="S116" s="78">
        <f>Igazgatás!R141+Községgazd!U131+Vagyongazd!R116+Közút!R116+Sport!R118+Közművelődés!T157+Támogatás!X128</f>
        <v>0</v>
      </c>
      <c r="T116" s="78">
        <f>Igazgatás!S141+Községgazd!V131+Vagyongazd!S116+Közút!S116+Sport!S118+Közművelődés!U157+Támogatás!Y128</f>
        <v>0</v>
      </c>
      <c r="U116" s="44">
        <f>Igazgatás!T141+Községgazd!W131+Vagyongazd!T116+Közút!T116+Sport!T118+Közművelődés!V157+Támogatás!Z128</f>
        <v>0</v>
      </c>
      <c r="V116" s="343">
        <f>Igazgatás!U141+Községgazd!X131+Vagyongazd!U116+Közút!U116+Sport!U118+Közművelődés!W157+Támogatás!AA128</f>
        <v>0</v>
      </c>
      <c r="W116" s="78">
        <f>Igazgatás!V141+Községgazd!Y131+Vagyongazd!V116+Közút!V116+Sport!V118+Közművelődés!X157+Támogatás!AB128</f>
        <v>0</v>
      </c>
      <c r="X116" s="78">
        <f>Igazgatás!W141+Községgazd!Z131+Vagyongazd!W116+Közút!W116+Sport!W118+Közművelődés!Y157+Támogatás!AC128</f>
        <v>0</v>
      </c>
      <c r="Y116" s="44">
        <f>Igazgatás!X141+Községgazd!AA131+Vagyongazd!X116+Közút!X116+Sport!X118+Közművelődés!Z157+Támogatás!AD128</f>
        <v>0</v>
      </c>
      <c r="AB116" s="180"/>
    </row>
    <row r="117" spans="1:28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 t="e">
        <v>#REF!</v>
      </c>
      <c r="G117" s="345" t="e">
        <v>#REF!</v>
      </c>
      <c r="H117" s="345" t="e">
        <v>#REF!</v>
      </c>
      <c r="I117" s="342" t="e">
        <v>#REF!</v>
      </c>
      <c r="J117" s="342" t="e">
        <v>#REF!</v>
      </c>
      <c r="K117" s="241" t="e">
        <f>Igazgatás!J142+Községgazd!J132+Vagyongazd!#REF!+Közút!J117+Sport!J119+Közművelődés!J158+Támogatás!J129</f>
        <v>#REF!</v>
      </c>
      <c r="L117" s="150" t="e">
        <f>Igazgatás!K142+Községgazd!K132+Vagyongazd!#REF!+Közút!K117+Sport!K119+Közművelődés!K158+Támogatás!K129</f>
        <v>#REF!</v>
      </c>
      <c r="M117" s="162" t="e">
        <f>Igazgatás!L142+Községgazd!L132+Vagyongazd!#REF!+Közút!L117+Sport!L119+Közművelődés!L158+Támogatás!L129</f>
        <v>#REF!</v>
      </c>
      <c r="N117" s="102">
        <f>Igazgatás!M142+Községgazd!P132+Vagyongazd!M117+Közút!M117+Sport!M119+Közművelődés!O158+Támogatás!S129</f>
        <v>0</v>
      </c>
      <c r="O117" s="103">
        <f>Igazgatás!N142+Községgazd!Q132+Vagyongazd!N117+Közút!N117+Sport!N119+Közművelődés!P158+Támogatás!T129</f>
        <v>0</v>
      </c>
      <c r="P117" s="106">
        <f>Igazgatás!O142+Községgazd!R132+Vagyongazd!O117+Közút!O117+Sport!O119+Közművelődés!Q158+Támogatás!U129</f>
        <v>0</v>
      </c>
      <c r="Q117" s="106">
        <f>Igazgatás!P142+Községgazd!S132+Vagyongazd!P117+Közút!P117+Sport!P119+Közművelődés!R158+Támogatás!V129</f>
        <v>0</v>
      </c>
      <c r="R117" s="103">
        <f>Igazgatás!Q142+Községgazd!T132+Vagyongazd!Q117+Közút!Q117+Sport!Q119+Közművelődés!S158+Támogatás!W129</f>
        <v>0</v>
      </c>
      <c r="S117" s="106">
        <f>Igazgatás!R142+Községgazd!U132+Vagyongazd!R117+Közút!R117+Sport!R119+Közművelődés!T158+Támogatás!X129</f>
        <v>0</v>
      </c>
      <c r="T117" s="106">
        <f>Igazgatás!S142+Községgazd!V132+Vagyongazd!S117+Közút!S117+Sport!S119+Közművelődés!U158+Támogatás!Y129</f>
        <v>0</v>
      </c>
      <c r="U117" s="107">
        <f>Igazgatás!T142+Községgazd!W132+Vagyongazd!T117+Közút!T117+Sport!T119+Közművelődés!V158+Támogatás!Z129</f>
        <v>0</v>
      </c>
      <c r="V117" s="345">
        <f>Igazgatás!U142+Községgazd!X132+Vagyongazd!U117+Közút!U117+Sport!U119+Közművelődés!W158+Támogatás!AA129</f>
        <v>0</v>
      </c>
      <c r="W117" s="106">
        <f>Igazgatás!V142+Községgazd!Y132+Vagyongazd!V117+Közút!V117+Sport!V119+Közművelődés!X158+Támogatás!AB129</f>
        <v>0</v>
      </c>
      <c r="X117" s="106">
        <f>Igazgatás!W142+Községgazd!Z132+Vagyongazd!W117+Közút!W117+Sport!W119+Közművelődés!Y158+Támogatás!AC129</f>
        <v>0</v>
      </c>
      <c r="Y117" s="107">
        <f>Igazgatás!X142+Községgazd!AA132+Vagyongazd!X117+Közút!X117+Sport!X119+Közművelődés!Z158+Támogatás!AD129</f>
        <v>0</v>
      </c>
      <c r="AB117" s="180"/>
    </row>
    <row r="118" spans="1:28" ht="15" hidden="1" customHeight="1" x14ac:dyDescent="0.25">
      <c r="B118" s="54"/>
      <c r="C118" s="2"/>
      <c r="D118" s="624" t="s">
        <v>531</v>
      </c>
      <c r="E118" s="624"/>
      <c r="F118" s="159" t="e">
        <v>#REF!</v>
      </c>
      <c r="G118" s="343" t="e">
        <v>#REF!</v>
      </c>
      <c r="H118" s="343" t="e">
        <v>#REF!</v>
      </c>
      <c r="I118" s="343" t="e">
        <v>#REF!</v>
      </c>
      <c r="J118" s="343" t="e">
        <v>#REF!</v>
      </c>
      <c r="K118" s="232" t="e">
        <f>Igazgatás!J143+Községgazd!J133+Vagyongazd!#REF!+Közút!J118+Sport!J120+Közművelődés!J159+Támogatás!J130</f>
        <v>#REF!</v>
      </c>
      <c r="L118" s="141" t="e">
        <f>Igazgatás!K143+Községgazd!K133+Vagyongazd!#REF!+Közút!K118+Sport!K120+Közművelődés!K159+Támogatás!K130</f>
        <v>#REF!</v>
      </c>
      <c r="M118" s="159" t="e">
        <f>Igazgatás!L143+Községgazd!L133+Vagyongazd!#REF!+Közút!L118+Sport!L120+Közművelődés!L159+Támogatás!L130</f>
        <v>#REF!</v>
      </c>
      <c r="N118" s="72">
        <f>Igazgatás!M143+Községgazd!P133+Vagyongazd!M118+Közút!M118+Sport!M120+Közművelődés!O159+Támogatás!S130</f>
        <v>0</v>
      </c>
      <c r="O118" s="1">
        <f>Igazgatás!N143+Községgazd!Q133+Vagyongazd!N118+Közút!N118+Sport!N120+Közművelődés!P159+Támogatás!T130</f>
        <v>0</v>
      </c>
      <c r="P118" s="78">
        <f>Igazgatás!O143+Községgazd!R133+Vagyongazd!O118+Közút!O118+Sport!O120+Közművelődés!Q159+Támogatás!U130</f>
        <v>0</v>
      </c>
      <c r="Q118" s="78">
        <f>Igazgatás!P143+Községgazd!S133+Vagyongazd!P118+Közút!P118+Sport!P120+Közművelődés!R159+Támogatás!V130</f>
        <v>0</v>
      </c>
      <c r="R118" s="1">
        <f>Igazgatás!Q143+Községgazd!T133+Vagyongazd!Q118+Közút!Q118+Sport!Q120+Közművelődés!S159+Támogatás!W130</f>
        <v>0</v>
      </c>
      <c r="S118" s="78">
        <f>Igazgatás!R143+Községgazd!U133+Vagyongazd!R118+Közút!R118+Sport!R120+Közművelődés!T159+Támogatás!X130</f>
        <v>0</v>
      </c>
      <c r="T118" s="78">
        <f>Igazgatás!S143+Községgazd!V133+Vagyongazd!S118+Közút!S118+Sport!S120+Közművelődés!U159+Támogatás!Y130</f>
        <v>0</v>
      </c>
      <c r="U118" s="44">
        <f>Igazgatás!T143+Községgazd!W133+Vagyongazd!T118+Közút!T118+Sport!T120+Közművelődés!V159+Támogatás!Z130</f>
        <v>0</v>
      </c>
      <c r="V118" s="343">
        <f>Igazgatás!U143+Községgazd!X133+Vagyongazd!U118+Közút!U118+Sport!U120+Közművelődés!W159+Támogatás!AA130</f>
        <v>0</v>
      </c>
      <c r="W118" s="78">
        <f>Igazgatás!V143+Községgazd!Y133+Vagyongazd!V118+Közút!V118+Sport!V120+Közművelődés!X159+Támogatás!AB130</f>
        <v>0</v>
      </c>
      <c r="X118" s="78">
        <f>Igazgatás!W143+Községgazd!Z133+Vagyongazd!W118+Közút!W118+Sport!W120+Közművelődés!Y159+Támogatás!AC130</f>
        <v>0</v>
      </c>
      <c r="Y118" s="44">
        <f>Igazgatás!X143+Községgazd!AA133+Vagyongazd!X118+Közút!X118+Sport!X120+Közművelődés!Z159+Támogatás!AD130</f>
        <v>0</v>
      </c>
      <c r="AB118" s="180"/>
    </row>
    <row r="119" spans="1:28" ht="25.5" hidden="1" customHeight="1" x14ac:dyDescent="0.25">
      <c r="B119" s="54"/>
      <c r="C119" s="2"/>
      <c r="D119" s="625" t="s">
        <v>530</v>
      </c>
      <c r="E119" s="625"/>
      <c r="F119" s="159" t="e">
        <v>#REF!</v>
      </c>
      <c r="G119" s="343" t="e">
        <v>#REF!</v>
      </c>
      <c r="H119" s="343" t="e">
        <v>#REF!</v>
      </c>
      <c r="I119" s="343" t="e">
        <v>#REF!</v>
      </c>
      <c r="J119" s="343" t="e">
        <v>#REF!</v>
      </c>
      <c r="K119" s="242" t="e">
        <f>Igazgatás!J144+Községgazd!J134+Vagyongazd!#REF!+Közút!J119+Sport!J121+Közművelődés!J160+Támogatás!J131</f>
        <v>#REF!</v>
      </c>
      <c r="L119" s="151" t="e">
        <f>Igazgatás!K144+Községgazd!K134+Vagyongazd!#REF!+Közút!K119+Sport!K121+Közművelődés!K160+Támogatás!K131</f>
        <v>#REF!</v>
      </c>
      <c r="M119" s="159" t="e">
        <f>Igazgatás!L144+Községgazd!L134+Vagyongazd!#REF!+Közút!L119+Sport!L121+Közművelődés!L160+Támogatás!L131</f>
        <v>#REF!</v>
      </c>
      <c r="N119" s="72">
        <f>Igazgatás!M144+Községgazd!P134+Vagyongazd!M119+Közút!M119+Sport!M121+Közművelődés!O160+Támogatás!S131</f>
        <v>0</v>
      </c>
      <c r="O119" s="1">
        <f>Igazgatás!N144+Községgazd!Q134+Vagyongazd!N119+Közút!N119+Sport!N121+Közművelődés!P160+Támogatás!T131</f>
        <v>0</v>
      </c>
      <c r="P119" s="78">
        <f>Igazgatás!O144+Községgazd!R134+Vagyongazd!O119+Közút!O119+Sport!O121+Közművelődés!Q160+Támogatás!U131</f>
        <v>0</v>
      </c>
      <c r="Q119" s="78">
        <f>Igazgatás!P144+Községgazd!S134+Vagyongazd!P119+Közút!P119+Sport!P121+Közművelődés!R160+Támogatás!V131</f>
        <v>0</v>
      </c>
      <c r="R119" s="1">
        <f>Igazgatás!Q144+Községgazd!T134+Vagyongazd!Q119+Közút!Q119+Sport!Q121+Közművelődés!S160+Támogatás!W131</f>
        <v>0</v>
      </c>
      <c r="S119" s="78">
        <f>Igazgatás!R144+Községgazd!U134+Vagyongazd!R119+Közút!R119+Sport!R121+Közművelődés!T160+Támogatás!X131</f>
        <v>0</v>
      </c>
      <c r="T119" s="78">
        <f>Igazgatás!S144+Községgazd!V134+Vagyongazd!S119+Közút!S119+Sport!S121+Közművelődés!U160+Támogatás!Y131</f>
        <v>0</v>
      </c>
      <c r="U119" s="44">
        <f>Igazgatás!T144+Községgazd!W134+Vagyongazd!T119+Közút!T119+Sport!T121+Közművelődés!V160+Támogatás!Z131</f>
        <v>0</v>
      </c>
      <c r="V119" s="343">
        <f>Igazgatás!U144+Községgazd!X134+Vagyongazd!U119+Közút!U119+Sport!U121+Közművelődés!W160+Támogatás!AA131</f>
        <v>0</v>
      </c>
      <c r="W119" s="78">
        <f>Igazgatás!V144+Községgazd!Y134+Vagyongazd!V119+Közút!V119+Sport!V121+Közművelődés!X160+Támogatás!AB131</f>
        <v>0</v>
      </c>
      <c r="X119" s="78">
        <f>Igazgatás!W144+Községgazd!Z134+Vagyongazd!W119+Közút!W119+Sport!W121+Közművelődés!Y160+Támogatás!AC131</f>
        <v>0</v>
      </c>
      <c r="Y119" s="44">
        <f>Igazgatás!X144+Községgazd!AA134+Vagyongazd!X119+Közút!X119+Sport!X121+Közművelődés!Z160+Támogatás!AD131</f>
        <v>0</v>
      </c>
      <c r="AB119" s="180"/>
    </row>
    <row r="120" spans="1:28" s="41" customFormat="1" ht="15" hidden="1" customHeight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 t="e">
        <v>#REF!</v>
      </c>
      <c r="G120" s="345" t="e">
        <v>#REF!</v>
      </c>
      <c r="H120" s="345" t="e">
        <v>#REF!</v>
      </c>
      <c r="I120" s="342" t="e">
        <v>#REF!</v>
      </c>
      <c r="J120" s="342" t="e">
        <v>#REF!</v>
      </c>
      <c r="K120" s="241" t="e">
        <f>Igazgatás!J145+Községgazd!J135+Vagyongazd!#REF!+Közút!J120+Sport!J122+Közművelődés!J161+Támogatás!J132</f>
        <v>#REF!</v>
      </c>
      <c r="L120" s="150" t="e">
        <f>Igazgatás!K145+Községgazd!K135+Vagyongazd!#REF!+Közút!K120+Sport!K122+Közművelődés!K161+Támogatás!K132</f>
        <v>#REF!</v>
      </c>
      <c r="M120" s="162" t="e">
        <f>Igazgatás!L145+Községgazd!L135+Vagyongazd!#REF!+Közút!L120+Sport!L122+Közművelődés!L161+Támogatás!L132</f>
        <v>#REF!</v>
      </c>
      <c r="N120" s="102">
        <f>Igazgatás!M145+Községgazd!P135+Vagyongazd!M120+Közút!M120+Sport!M122+Közművelődés!O161+Támogatás!S132</f>
        <v>0</v>
      </c>
      <c r="O120" s="103">
        <f>Igazgatás!N145+Községgazd!Q135+Vagyongazd!N120+Közút!N120+Sport!N122+Közművelődés!P161+Támogatás!T132</f>
        <v>0</v>
      </c>
      <c r="P120" s="106">
        <f>Igazgatás!O145+Községgazd!R135+Vagyongazd!O120+Közút!O120+Sport!O122+Közművelődés!Q161+Támogatás!U132</f>
        <v>0</v>
      </c>
      <c r="Q120" s="106">
        <f>Igazgatás!P145+Községgazd!S135+Vagyongazd!P120+Közút!P120+Sport!P122+Közművelődés!R161+Támogatás!V132</f>
        <v>0</v>
      </c>
      <c r="R120" s="103">
        <f>Igazgatás!Q145+Községgazd!T135+Vagyongazd!Q120+Közút!Q120+Sport!Q122+Közművelődés!S161+Támogatás!W132</f>
        <v>0</v>
      </c>
      <c r="S120" s="106">
        <f>Igazgatás!R145+Községgazd!U135+Vagyongazd!R120+Közút!R120+Sport!R122+Közművelődés!T161+Támogatás!X132</f>
        <v>0</v>
      </c>
      <c r="T120" s="106">
        <f>Igazgatás!S145+Községgazd!V135+Vagyongazd!S120+Közút!S120+Sport!S122+Közművelődés!U161+Támogatás!Y132</f>
        <v>0</v>
      </c>
      <c r="U120" s="107">
        <f>Igazgatás!T145+Községgazd!W135+Vagyongazd!T120+Közút!T120+Sport!T122+Közművelődés!V161+Támogatás!Z132</f>
        <v>0</v>
      </c>
      <c r="V120" s="345">
        <f>Igazgatás!U145+Községgazd!X135+Vagyongazd!U120+Közút!U120+Sport!U122+Közművelődés!W161+Támogatás!AA132</f>
        <v>0</v>
      </c>
      <c r="W120" s="106">
        <f>Igazgatás!V145+Községgazd!Y135+Vagyongazd!V120+Közút!V120+Sport!V122+Közművelődés!X161+Támogatás!AB132</f>
        <v>0</v>
      </c>
      <c r="X120" s="106">
        <f>Igazgatás!W145+Községgazd!Z135+Vagyongazd!W120+Közút!W120+Sport!W122+Közművelődés!Y161+Támogatás!AC132</f>
        <v>0</v>
      </c>
      <c r="Y120" s="107">
        <f>Igazgatás!X145+Községgazd!AA135+Vagyongazd!X120+Közút!X120+Sport!X122+Közművelődés!Z161+Támogatás!AD132</f>
        <v>0</v>
      </c>
      <c r="AB120" s="180"/>
    </row>
    <row r="121" spans="1:28" ht="15" hidden="1" customHeight="1" x14ac:dyDescent="0.25">
      <c r="B121" s="54"/>
      <c r="C121" s="2"/>
      <c r="D121" s="624" t="s">
        <v>354</v>
      </c>
      <c r="E121" s="624"/>
      <c r="F121" s="159" t="e">
        <v>#REF!</v>
      </c>
      <c r="G121" s="343" t="e">
        <v>#REF!</v>
      </c>
      <c r="H121" s="343" t="e">
        <v>#REF!</v>
      </c>
      <c r="I121" s="343" t="e">
        <v>#REF!</v>
      </c>
      <c r="J121" s="343" t="e">
        <v>#REF!</v>
      </c>
      <c r="K121" s="232" t="e">
        <f>Igazgatás!J146+Községgazd!J136+Vagyongazd!#REF!+Közút!J121+Sport!J123+Közművelődés!J162+Támogatás!J133</f>
        <v>#REF!</v>
      </c>
      <c r="L121" s="141" t="e">
        <f>Igazgatás!K146+Községgazd!K136+Vagyongazd!#REF!+Közút!K121+Sport!K123+Közművelődés!K162+Támogatás!K133</f>
        <v>#REF!</v>
      </c>
      <c r="M121" s="159" t="e">
        <f>Igazgatás!L146+Községgazd!L136+Vagyongazd!#REF!+Közút!L121+Sport!L123+Közművelődés!L162+Támogatás!L133</f>
        <v>#REF!</v>
      </c>
      <c r="N121" s="72">
        <f>Igazgatás!M146+Községgazd!P136+Vagyongazd!M121+Közút!M121+Sport!M123+Közművelődés!O162+Támogatás!S133</f>
        <v>0</v>
      </c>
      <c r="O121" s="1">
        <f>Igazgatás!N146+Községgazd!Q136+Vagyongazd!N121+Közút!N121+Sport!N123+Közművelődés!P162+Támogatás!T133</f>
        <v>0</v>
      </c>
      <c r="P121" s="78">
        <f>Igazgatás!O146+Községgazd!R136+Vagyongazd!O121+Közút!O121+Sport!O123+Közművelődés!Q162+Támogatás!U133</f>
        <v>0</v>
      </c>
      <c r="Q121" s="78">
        <f>Igazgatás!P146+Községgazd!S136+Vagyongazd!P121+Közút!P121+Sport!P123+Közművelődés!R162+Támogatás!V133</f>
        <v>0</v>
      </c>
      <c r="R121" s="1">
        <f>Igazgatás!Q146+Községgazd!T136+Vagyongazd!Q121+Közút!Q121+Sport!Q123+Közművelődés!S162+Támogatás!W133</f>
        <v>0</v>
      </c>
      <c r="S121" s="78">
        <f>Igazgatás!R146+Községgazd!U136+Vagyongazd!R121+Közút!R121+Sport!R123+Közművelődés!T162+Támogatás!X133</f>
        <v>0</v>
      </c>
      <c r="T121" s="78">
        <f>Igazgatás!S146+Községgazd!V136+Vagyongazd!S121+Közút!S121+Sport!S123+Közművelődés!U162+Támogatás!Y133</f>
        <v>0</v>
      </c>
      <c r="U121" s="44">
        <f>Igazgatás!T146+Községgazd!W136+Vagyongazd!T121+Közút!T121+Sport!T123+Közművelődés!V162+Támogatás!Z133</f>
        <v>0</v>
      </c>
      <c r="V121" s="343">
        <f>Igazgatás!U146+Községgazd!X136+Vagyongazd!U121+Közút!U121+Sport!U123+Közművelődés!W162+Támogatás!AA133</f>
        <v>0</v>
      </c>
      <c r="W121" s="78">
        <f>Igazgatás!V146+Községgazd!Y136+Vagyongazd!V121+Közút!V121+Sport!V123+Közművelődés!X162+Támogatás!AB133</f>
        <v>0</v>
      </c>
      <c r="X121" s="78">
        <f>Igazgatás!W146+Községgazd!Z136+Vagyongazd!W121+Közút!W121+Sport!W123+Közművelődés!Y162+Támogatás!AC133</f>
        <v>0</v>
      </c>
      <c r="Y121" s="44">
        <f>Igazgatás!X146+Községgazd!AA136+Vagyongazd!X121+Közút!X121+Sport!X123+Közművelődés!Z162+Támogatás!AD133</f>
        <v>0</v>
      </c>
      <c r="AB121" s="180"/>
    </row>
    <row r="122" spans="1:28" ht="15" hidden="1" customHeight="1" x14ac:dyDescent="0.25">
      <c r="B122" s="54"/>
      <c r="C122" s="2"/>
      <c r="D122" s="624" t="s">
        <v>357</v>
      </c>
      <c r="E122" s="624"/>
      <c r="F122" s="159" t="e">
        <v>#REF!</v>
      </c>
      <c r="G122" s="343" t="e">
        <v>#REF!</v>
      </c>
      <c r="H122" s="343" t="e">
        <v>#REF!</v>
      </c>
      <c r="I122" s="343" t="e">
        <v>#REF!</v>
      </c>
      <c r="J122" s="343" t="e">
        <v>#REF!</v>
      </c>
      <c r="K122" s="232" t="e">
        <f>Igazgatás!J147+Községgazd!J137+Vagyongazd!#REF!+Közút!J122+Sport!J124+Közművelődés!J163+Támogatás!J134</f>
        <v>#REF!</v>
      </c>
      <c r="L122" s="141" t="e">
        <f>Igazgatás!K147+Községgazd!K137+Vagyongazd!#REF!+Közút!K122+Sport!K124+Közművelődés!K163+Támogatás!K134</f>
        <v>#REF!</v>
      </c>
      <c r="M122" s="159" t="e">
        <f>Igazgatás!L147+Községgazd!L137+Vagyongazd!#REF!+Közút!L122+Sport!L124+Közművelődés!L163+Támogatás!L134</f>
        <v>#REF!</v>
      </c>
      <c r="N122" s="72">
        <f>Igazgatás!M147+Községgazd!P137+Vagyongazd!M122+Közút!M122+Sport!M124+Közművelődés!O163+Támogatás!S134</f>
        <v>0</v>
      </c>
      <c r="O122" s="1">
        <f>Igazgatás!N147+Községgazd!Q137+Vagyongazd!N122+Közút!N122+Sport!N124+Közművelődés!P163+Támogatás!T134</f>
        <v>0</v>
      </c>
      <c r="P122" s="78">
        <f>Igazgatás!O147+Községgazd!R137+Vagyongazd!O122+Közút!O122+Sport!O124+Közművelődés!Q163+Támogatás!U134</f>
        <v>0</v>
      </c>
      <c r="Q122" s="78">
        <f>Igazgatás!P147+Községgazd!S137+Vagyongazd!P122+Közút!P122+Sport!P124+Közművelődés!R163+Támogatás!V134</f>
        <v>0</v>
      </c>
      <c r="R122" s="1">
        <f>Igazgatás!Q147+Községgazd!T137+Vagyongazd!Q122+Közút!Q122+Sport!Q124+Közművelődés!S163+Támogatás!W134</f>
        <v>0</v>
      </c>
      <c r="S122" s="78">
        <f>Igazgatás!R147+Községgazd!U137+Vagyongazd!R122+Közút!R122+Sport!R124+Közművelődés!T163+Támogatás!X134</f>
        <v>0</v>
      </c>
      <c r="T122" s="78">
        <f>Igazgatás!S147+Községgazd!V137+Vagyongazd!S122+Közút!S122+Sport!S124+Közművelődés!U163+Támogatás!Y134</f>
        <v>0</v>
      </c>
      <c r="U122" s="44">
        <f>Igazgatás!T147+Községgazd!W137+Vagyongazd!T122+Közút!T122+Sport!T124+Közművelődés!V163+Támogatás!Z134</f>
        <v>0</v>
      </c>
      <c r="V122" s="343">
        <f>Igazgatás!U147+Községgazd!X137+Vagyongazd!U122+Közút!U122+Sport!U124+Közművelődés!W163+Támogatás!AA134</f>
        <v>0</v>
      </c>
      <c r="W122" s="78">
        <f>Igazgatás!V147+Községgazd!Y137+Vagyongazd!V122+Közút!V122+Sport!V124+Közművelődés!X163+Támogatás!AB134</f>
        <v>0</v>
      </c>
      <c r="X122" s="78">
        <f>Igazgatás!W147+Községgazd!Z137+Vagyongazd!W122+Közút!W122+Sport!W124+Közművelődés!Y163+Támogatás!AC134</f>
        <v>0</v>
      </c>
      <c r="Y122" s="44">
        <f>Igazgatás!X147+Községgazd!AA137+Vagyongazd!X122+Közút!X122+Sport!X124+Közművelődés!Z163+Támogatás!AD134</f>
        <v>0</v>
      </c>
      <c r="AB122" s="180"/>
    </row>
    <row r="123" spans="1:28" ht="15" hidden="1" customHeight="1" x14ac:dyDescent="0.25">
      <c r="B123" s="54"/>
      <c r="C123" s="2"/>
      <c r="D123" s="624" t="s">
        <v>358</v>
      </c>
      <c r="E123" s="624"/>
      <c r="F123" s="159" t="e">
        <v>#REF!</v>
      </c>
      <c r="G123" s="343" t="e">
        <v>#REF!</v>
      </c>
      <c r="H123" s="343" t="e">
        <v>#REF!</v>
      </c>
      <c r="I123" s="343" t="e">
        <v>#REF!</v>
      </c>
      <c r="J123" s="343" t="e">
        <v>#REF!</v>
      </c>
      <c r="K123" s="232" t="e">
        <f>Igazgatás!J148+Községgazd!J138+Vagyongazd!#REF!+Közút!J123+Sport!J125+Közművelődés!J164+Támogatás!J135</f>
        <v>#REF!</v>
      </c>
      <c r="L123" s="141" t="e">
        <f>Igazgatás!K148+Községgazd!K138+Vagyongazd!#REF!+Közút!K123+Sport!K125+Közművelődés!K164+Támogatás!K135</f>
        <v>#REF!</v>
      </c>
      <c r="M123" s="159" t="e">
        <f>Igazgatás!L148+Községgazd!L138+Vagyongazd!#REF!+Közút!L123+Sport!L125+Közművelődés!L164+Támogatás!L135</f>
        <v>#REF!</v>
      </c>
      <c r="N123" s="72">
        <f>Igazgatás!M148+Községgazd!P138+Vagyongazd!M123+Közút!M123+Sport!M125+Közművelődés!O164+Támogatás!S135</f>
        <v>0</v>
      </c>
      <c r="O123" s="1">
        <f>Igazgatás!N148+Községgazd!Q138+Vagyongazd!N123+Közút!N123+Sport!N125+Közművelődés!P164+Támogatás!T135</f>
        <v>0</v>
      </c>
      <c r="P123" s="78">
        <f>Igazgatás!O148+Községgazd!R138+Vagyongazd!O123+Közút!O123+Sport!O125+Közművelődés!Q164+Támogatás!U135</f>
        <v>0</v>
      </c>
      <c r="Q123" s="78">
        <f>Igazgatás!P148+Községgazd!S138+Vagyongazd!P123+Közút!P123+Sport!P125+Közművelődés!R164+Támogatás!V135</f>
        <v>0</v>
      </c>
      <c r="R123" s="1">
        <f>Igazgatás!Q148+Községgazd!T138+Vagyongazd!Q123+Közút!Q123+Sport!Q125+Közművelődés!S164+Támogatás!W135</f>
        <v>0</v>
      </c>
      <c r="S123" s="78">
        <f>Igazgatás!R148+Községgazd!U138+Vagyongazd!R123+Közút!R123+Sport!R125+Közművelődés!T164+Támogatás!X135</f>
        <v>0</v>
      </c>
      <c r="T123" s="78">
        <f>Igazgatás!S148+Községgazd!V138+Vagyongazd!S123+Közút!S123+Sport!S125+Közművelődés!U164+Támogatás!Y135</f>
        <v>0</v>
      </c>
      <c r="U123" s="44">
        <f>Igazgatás!T148+Községgazd!W138+Vagyongazd!T123+Közút!T123+Sport!T125+Közművelődés!V164+Támogatás!Z135</f>
        <v>0</v>
      </c>
      <c r="V123" s="343">
        <f>Igazgatás!U148+Községgazd!X138+Vagyongazd!U123+Közút!U123+Sport!U125+Közművelődés!W164+Támogatás!AA135</f>
        <v>0</v>
      </c>
      <c r="W123" s="78">
        <f>Igazgatás!V148+Községgazd!Y138+Vagyongazd!V123+Közút!V123+Sport!V125+Közművelődés!X164+Támogatás!AB135</f>
        <v>0</v>
      </c>
      <c r="X123" s="78">
        <f>Igazgatás!W148+Községgazd!Z138+Vagyongazd!W123+Közút!W123+Sport!W125+Közművelődés!Y164+Támogatás!AC135</f>
        <v>0</v>
      </c>
      <c r="Y123" s="44">
        <f>Igazgatás!X148+Községgazd!AA138+Vagyongazd!X123+Közút!X123+Sport!X125+Közművelődés!Z164+Támogatás!AD135</f>
        <v>0</v>
      </c>
      <c r="AB123" s="180"/>
    </row>
    <row r="124" spans="1:28" ht="15" hidden="1" customHeight="1" x14ac:dyDescent="0.25">
      <c r="B124" s="54"/>
      <c r="C124" s="2"/>
      <c r="D124" s="624" t="s">
        <v>355</v>
      </c>
      <c r="E124" s="624"/>
      <c r="F124" s="159" t="e">
        <v>#REF!</v>
      </c>
      <c r="G124" s="343" t="e">
        <v>#REF!</v>
      </c>
      <c r="H124" s="343" t="e">
        <v>#REF!</v>
      </c>
      <c r="I124" s="343" t="e">
        <v>#REF!</v>
      </c>
      <c r="J124" s="343" t="e">
        <v>#REF!</v>
      </c>
      <c r="K124" s="232" t="e">
        <f>Igazgatás!J149+Községgazd!J139+Vagyongazd!#REF!+Közút!J124+Sport!J126+Közművelődés!J165+Támogatás!J136</f>
        <v>#REF!</v>
      </c>
      <c r="L124" s="141" t="e">
        <f>Igazgatás!K149+Községgazd!K139+Vagyongazd!#REF!+Közút!K124+Sport!K126+Közművelődés!K165+Támogatás!K136</f>
        <v>#REF!</v>
      </c>
      <c r="M124" s="159" t="e">
        <f>Igazgatás!L149+Községgazd!L139+Vagyongazd!#REF!+Közút!L124+Sport!L126+Közművelődés!L165+Támogatás!L136</f>
        <v>#REF!</v>
      </c>
      <c r="N124" s="72">
        <f>Igazgatás!M149+Községgazd!P139+Vagyongazd!M124+Közút!M124+Sport!M126+Közművelődés!O165+Támogatás!S136</f>
        <v>0</v>
      </c>
      <c r="O124" s="1">
        <f>Igazgatás!N149+Községgazd!Q139+Vagyongazd!N124+Közút!N124+Sport!N126+Közművelődés!P165+Támogatás!T136</f>
        <v>0</v>
      </c>
      <c r="P124" s="78">
        <f>Igazgatás!O149+Községgazd!R139+Vagyongazd!O124+Közút!O124+Sport!O126+Közművelődés!Q165+Támogatás!U136</f>
        <v>0</v>
      </c>
      <c r="Q124" s="78">
        <f>Igazgatás!P149+Községgazd!S139+Vagyongazd!P124+Közút!P124+Sport!P126+Közművelődés!R165+Támogatás!V136</f>
        <v>0</v>
      </c>
      <c r="R124" s="1">
        <f>Igazgatás!Q149+Községgazd!T139+Vagyongazd!Q124+Közút!Q124+Sport!Q126+Közművelődés!S165+Támogatás!W136</f>
        <v>0</v>
      </c>
      <c r="S124" s="78">
        <f>Igazgatás!R149+Községgazd!U139+Vagyongazd!R124+Közút!R124+Sport!R126+Közművelődés!T165+Támogatás!X136</f>
        <v>0</v>
      </c>
      <c r="T124" s="78">
        <f>Igazgatás!S149+Községgazd!V139+Vagyongazd!S124+Közút!S124+Sport!S126+Közművelődés!U165+Támogatás!Y136</f>
        <v>0</v>
      </c>
      <c r="U124" s="44">
        <f>Igazgatás!T149+Községgazd!W139+Vagyongazd!T124+Közút!T124+Sport!T126+Közművelődés!V165+Támogatás!Z136</f>
        <v>0</v>
      </c>
      <c r="V124" s="343">
        <f>Igazgatás!U149+Községgazd!X139+Vagyongazd!U124+Közút!U124+Sport!U126+Közművelődés!W165+Támogatás!AA136</f>
        <v>0</v>
      </c>
      <c r="W124" s="78">
        <f>Igazgatás!V149+Községgazd!Y139+Vagyongazd!V124+Közút!V124+Sport!V126+Közművelődés!X165+Támogatás!AB136</f>
        <v>0</v>
      </c>
      <c r="X124" s="78">
        <f>Igazgatás!W149+Községgazd!Z139+Vagyongazd!W124+Közút!W124+Sport!W126+Közművelődés!Y165+Támogatás!AC136</f>
        <v>0</v>
      </c>
      <c r="Y124" s="44">
        <f>Igazgatás!X149+Községgazd!AA139+Vagyongazd!X124+Közút!X124+Sport!X126+Közművelődés!Z165+Támogatás!AD136</f>
        <v>0</v>
      </c>
      <c r="AB124" s="180"/>
    </row>
    <row r="125" spans="1:28" ht="15" hidden="1" customHeight="1" x14ac:dyDescent="0.25">
      <c r="B125" s="54"/>
      <c r="C125" s="2"/>
      <c r="D125" s="624" t="s">
        <v>810</v>
      </c>
      <c r="E125" s="624"/>
      <c r="F125" s="159" t="e">
        <v>#REF!</v>
      </c>
      <c r="G125" s="343" t="e">
        <v>#REF!</v>
      </c>
      <c r="H125" s="343" t="e">
        <v>#REF!</v>
      </c>
      <c r="I125" s="343" t="e">
        <v>#REF!</v>
      </c>
      <c r="J125" s="343" t="e">
        <v>#REF!</v>
      </c>
      <c r="K125" s="232" t="e">
        <f>Igazgatás!J150+Községgazd!J140+Vagyongazd!#REF!+Közút!J125+Sport!J127+Közművelődés!J166+Támogatás!J137</f>
        <v>#REF!</v>
      </c>
      <c r="L125" s="141" t="e">
        <f>Igazgatás!K150+Községgazd!K140+Vagyongazd!#REF!+Közút!K125+Sport!K127+Közművelődés!K166+Támogatás!K137</f>
        <v>#REF!</v>
      </c>
      <c r="M125" s="159" t="e">
        <f>Igazgatás!L150+Községgazd!L140+Vagyongazd!#REF!+Közút!L125+Sport!L127+Közművelődés!L166+Támogatás!L137</f>
        <v>#REF!</v>
      </c>
      <c r="N125" s="72">
        <f>Igazgatás!M150+Községgazd!P140+Vagyongazd!M125+Közút!M125+Sport!M127+Közművelődés!O166+Támogatás!S137</f>
        <v>0</v>
      </c>
      <c r="O125" s="1">
        <f>Igazgatás!N150+Községgazd!Q140+Vagyongazd!N125+Közút!N125+Sport!N127+Közművelődés!P166+Támogatás!T137</f>
        <v>0</v>
      </c>
      <c r="P125" s="78">
        <f>Igazgatás!O150+Községgazd!R140+Vagyongazd!O125+Közút!O125+Sport!O127+Közművelődés!Q166+Támogatás!U137</f>
        <v>0</v>
      </c>
      <c r="Q125" s="78">
        <f>Igazgatás!P150+Községgazd!S140+Vagyongazd!P125+Közút!P125+Sport!P127+Közművelődés!R166+Támogatás!V137</f>
        <v>0</v>
      </c>
      <c r="R125" s="1">
        <f>Igazgatás!Q150+Községgazd!T140+Vagyongazd!Q125+Közút!Q125+Sport!Q127+Közművelődés!S166+Támogatás!W137</f>
        <v>0</v>
      </c>
      <c r="S125" s="78">
        <f>Igazgatás!R150+Községgazd!U140+Vagyongazd!R125+Közút!R125+Sport!R127+Közművelődés!T166+Támogatás!X137</f>
        <v>0</v>
      </c>
      <c r="T125" s="78">
        <f>Igazgatás!S150+Községgazd!V140+Vagyongazd!S125+Közút!S125+Sport!S127+Közművelődés!U166+Támogatás!Y137</f>
        <v>0</v>
      </c>
      <c r="U125" s="44">
        <f>Igazgatás!T150+Községgazd!W140+Vagyongazd!T125+Közút!T125+Sport!T127+Közművelődés!V166+Támogatás!Z137</f>
        <v>0</v>
      </c>
      <c r="V125" s="343">
        <f>Igazgatás!U150+Községgazd!X140+Vagyongazd!U125+Közút!U125+Sport!U127+Közművelődés!W166+Támogatás!AA137</f>
        <v>0</v>
      </c>
      <c r="W125" s="78">
        <f>Igazgatás!V150+Községgazd!Y140+Vagyongazd!V125+Közút!V125+Sport!V127+Közművelődés!X166+Támogatás!AB137</f>
        <v>0</v>
      </c>
      <c r="X125" s="78">
        <f>Igazgatás!W150+Községgazd!Z140+Vagyongazd!W125+Közút!W125+Sport!W127+Közművelődés!Y166+Támogatás!AC137</f>
        <v>0</v>
      </c>
      <c r="Y125" s="44">
        <f>Igazgatás!X150+Községgazd!AA140+Vagyongazd!X125+Közút!X125+Sport!X127+Közművelődés!Z166+Támogatás!AD137</f>
        <v>0</v>
      </c>
      <c r="AB125" s="180"/>
    </row>
    <row r="126" spans="1:28" ht="25.5" hidden="1" customHeight="1" x14ac:dyDescent="0.25">
      <c r="B126" s="54"/>
      <c r="C126" s="2"/>
      <c r="D126" s="625" t="s">
        <v>532</v>
      </c>
      <c r="E126" s="625"/>
      <c r="F126" s="159" t="e">
        <v>#REF!</v>
      </c>
      <c r="G126" s="343" t="e">
        <v>#REF!</v>
      </c>
      <c r="H126" s="343" t="e">
        <v>#REF!</v>
      </c>
      <c r="I126" s="343" t="e">
        <v>#REF!</v>
      </c>
      <c r="J126" s="343" t="e">
        <v>#REF!</v>
      </c>
      <c r="K126" s="242" t="e">
        <f>Igazgatás!J151+Községgazd!J141+Vagyongazd!#REF!+Közút!J126+Sport!J128+Közművelődés!J167+Támogatás!J138</f>
        <v>#REF!</v>
      </c>
      <c r="L126" s="151" t="e">
        <f>Igazgatás!K151+Községgazd!K141+Vagyongazd!#REF!+Közút!K126+Sport!K128+Közművelődés!K167+Támogatás!K138</f>
        <v>#REF!</v>
      </c>
      <c r="M126" s="159" t="e">
        <f>Igazgatás!L151+Községgazd!L141+Vagyongazd!#REF!+Közút!L126+Sport!L128+Közművelődés!L167+Támogatás!L138</f>
        <v>#REF!</v>
      </c>
      <c r="N126" s="72">
        <f>Igazgatás!M151+Községgazd!P141+Vagyongazd!M126+Közút!M126+Sport!M128+Közművelődés!O167+Támogatás!S138</f>
        <v>0</v>
      </c>
      <c r="O126" s="1">
        <f>Igazgatás!N151+Községgazd!Q141+Vagyongazd!N126+Közút!N126+Sport!N128+Közművelődés!P167+Támogatás!T138</f>
        <v>0</v>
      </c>
      <c r="P126" s="78">
        <f>Igazgatás!O151+Községgazd!R141+Vagyongazd!O126+Közút!O126+Sport!O128+Közművelődés!Q167+Támogatás!U138</f>
        <v>0</v>
      </c>
      <c r="Q126" s="78">
        <f>Igazgatás!P151+Községgazd!S141+Vagyongazd!P126+Közút!P126+Sport!P128+Közművelődés!R167+Támogatás!V138</f>
        <v>0</v>
      </c>
      <c r="R126" s="1">
        <f>Igazgatás!Q151+Községgazd!T141+Vagyongazd!Q126+Közút!Q126+Sport!Q128+Közművelődés!S167+Támogatás!W138</f>
        <v>0</v>
      </c>
      <c r="S126" s="78">
        <f>Igazgatás!R151+Községgazd!U141+Vagyongazd!R126+Közút!R126+Sport!R128+Közművelődés!T167+Támogatás!X138</f>
        <v>0</v>
      </c>
      <c r="T126" s="78">
        <f>Igazgatás!S151+Községgazd!V141+Vagyongazd!S126+Közút!S126+Sport!S128+Közművelődés!U167+Támogatás!Y138</f>
        <v>0</v>
      </c>
      <c r="U126" s="44">
        <f>Igazgatás!T151+Községgazd!W141+Vagyongazd!T126+Közút!T126+Sport!T128+Közművelődés!V167+Támogatás!Z138</f>
        <v>0</v>
      </c>
      <c r="V126" s="343">
        <f>Igazgatás!U151+Községgazd!X141+Vagyongazd!U126+Közút!U126+Sport!U128+Közművelődés!W167+Támogatás!AA138</f>
        <v>0</v>
      </c>
      <c r="W126" s="78">
        <f>Igazgatás!V151+Községgazd!Y141+Vagyongazd!V126+Közút!V126+Sport!V128+Közművelődés!X167+Támogatás!AB138</f>
        <v>0</v>
      </c>
      <c r="X126" s="78">
        <f>Igazgatás!W151+Községgazd!Z141+Vagyongazd!W126+Közút!W126+Sport!W128+Közművelődés!Y167+Támogatás!AC138</f>
        <v>0</v>
      </c>
      <c r="Y126" s="44">
        <f>Igazgatás!X151+Községgazd!AA141+Vagyongazd!X126+Közút!X126+Sport!X128+Közművelődés!Z167+Támogatás!AD138</f>
        <v>0</v>
      </c>
      <c r="AB126" s="180"/>
    </row>
    <row r="127" spans="1:28" ht="25.5" hidden="1" customHeight="1" x14ac:dyDescent="0.25">
      <c r="B127" s="54"/>
      <c r="C127" s="2"/>
      <c r="D127" s="625" t="s">
        <v>533</v>
      </c>
      <c r="E127" s="625"/>
      <c r="F127" s="159" t="e">
        <v>#REF!</v>
      </c>
      <c r="G127" s="343" t="e">
        <v>#REF!</v>
      </c>
      <c r="H127" s="343" t="e">
        <v>#REF!</v>
      </c>
      <c r="I127" s="343" t="e">
        <v>#REF!</v>
      </c>
      <c r="J127" s="343" t="e">
        <v>#REF!</v>
      </c>
      <c r="K127" s="242" t="e">
        <f>Igazgatás!J152+Községgazd!J142+Vagyongazd!#REF!+Közút!J127+Sport!J129+Közművelődés!J168+Támogatás!J139</f>
        <v>#REF!</v>
      </c>
      <c r="L127" s="151" t="e">
        <f>Igazgatás!K152+Községgazd!K142+Vagyongazd!#REF!+Közút!K127+Sport!K129+Közművelődés!K168+Támogatás!K139</f>
        <v>#REF!</v>
      </c>
      <c r="M127" s="159" t="e">
        <f>Igazgatás!L152+Községgazd!L142+Vagyongazd!#REF!+Közút!L127+Sport!L129+Közművelődés!L168+Támogatás!L139</f>
        <v>#REF!</v>
      </c>
      <c r="N127" s="72">
        <f>Igazgatás!M152+Községgazd!P142+Vagyongazd!M127+Közút!M127+Sport!M129+Közművelődés!O168+Támogatás!S139</f>
        <v>0</v>
      </c>
      <c r="O127" s="1">
        <f>Igazgatás!N152+Községgazd!Q142+Vagyongazd!N127+Közút!N127+Sport!N129+Közművelődés!P168+Támogatás!T139</f>
        <v>0</v>
      </c>
      <c r="P127" s="78">
        <f>Igazgatás!O152+Községgazd!R142+Vagyongazd!O127+Közút!O127+Sport!O129+Közművelődés!Q168+Támogatás!U139</f>
        <v>0</v>
      </c>
      <c r="Q127" s="78">
        <f>Igazgatás!P152+Községgazd!S142+Vagyongazd!P127+Közút!P127+Sport!P129+Közművelődés!R168+Támogatás!V139</f>
        <v>0</v>
      </c>
      <c r="R127" s="1">
        <f>Igazgatás!Q152+Községgazd!T142+Vagyongazd!Q127+Közút!Q127+Sport!Q129+Közművelődés!S168+Támogatás!W139</f>
        <v>0</v>
      </c>
      <c r="S127" s="78">
        <f>Igazgatás!R152+Községgazd!U142+Vagyongazd!R127+Közút!R127+Sport!R129+Közművelődés!T168+Támogatás!X139</f>
        <v>0</v>
      </c>
      <c r="T127" s="78">
        <f>Igazgatás!S152+Községgazd!V142+Vagyongazd!S127+Közút!S127+Sport!S129+Közművelődés!U168+Támogatás!Y139</f>
        <v>0</v>
      </c>
      <c r="U127" s="44">
        <f>Igazgatás!T152+Községgazd!W142+Vagyongazd!T127+Közút!T127+Sport!T129+Közművelődés!V168+Támogatás!Z139</f>
        <v>0</v>
      </c>
      <c r="V127" s="343">
        <f>Igazgatás!U152+Községgazd!X142+Vagyongazd!U127+Közút!U127+Sport!U129+Közművelődés!W168+Támogatás!AA139</f>
        <v>0</v>
      </c>
      <c r="W127" s="78">
        <f>Igazgatás!V152+Községgazd!Y142+Vagyongazd!V127+Közút!V127+Sport!V129+Közművelődés!X168+Támogatás!AB139</f>
        <v>0</v>
      </c>
      <c r="X127" s="78">
        <f>Igazgatás!W152+Községgazd!Z142+Vagyongazd!W127+Közút!W127+Sport!W129+Közművelődés!Y168+Támogatás!AC139</f>
        <v>0</v>
      </c>
      <c r="Y127" s="44">
        <f>Igazgatás!X152+Községgazd!AA142+Vagyongazd!X127+Közút!X127+Sport!X129+Közművelődés!Z168+Támogatás!AD139</f>
        <v>0</v>
      </c>
      <c r="AB127" s="180"/>
    </row>
    <row r="128" spans="1:28" ht="15" hidden="1" customHeight="1" x14ac:dyDescent="0.25">
      <c r="B128" s="54"/>
      <c r="C128" s="2"/>
      <c r="D128" s="624" t="s">
        <v>364</v>
      </c>
      <c r="E128" s="624"/>
      <c r="F128" s="159" t="e">
        <v>#REF!</v>
      </c>
      <c r="G128" s="343" t="e">
        <v>#REF!</v>
      </c>
      <c r="H128" s="343" t="e">
        <v>#REF!</v>
      </c>
      <c r="I128" s="343" t="e">
        <v>#REF!</v>
      </c>
      <c r="J128" s="343" t="e">
        <v>#REF!</v>
      </c>
      <c r="K128" s="232" t="e">
        <f>Igazgatás!J153+Községgazd!J143+Vagyongazd!#REF!+Közút!J128+Sport!J130+Közművelődés!J169+Támogatás!J140</f>
        <v>#REF!</v>
      </c>
      <c r="L128" s="141" t="e">
        <f>Igazgatás!K153+Községgazd!K143+Vagyongazd!#REF!+Közút!K128+Sport!K130+Közművelődés!K169+Támogatás!K140</f>
        <v>#REF!</v>
      </c>
      <c r="M128" s="159" t="e">
        <f>Igazgatás!L153+Községgazd!L143+Vagyongazd!#REF!+Közút!L128+Sport!L130+Közművelődés!L169+Támogatás!L140</f>
        <v>#REF!</v>
      </c>
      <c r="N128" s="72">
        <f>Igazgatás!M153+Községgazd!P143+Vagyongazd!M128+Közút!M128+Sport!M130+Közművelődés!O169+Támogatás!S140</f>
        <v>0</v>
      </c>
      <c r="O128" s="1">
        <f>Igazgatás!N153+Községgazd!Q143+Vagyongazd!N128+Közút!N128+Sport!N130+Közművelődés!P169+Támogatás!T140</f>
        <v>0</v>
      </c>
      <c r="P128" s="78">
        <f>Igazgatás!O153+Községgazd!R143+Vagyongazd!O128+Közút!O128+Sport!O130+Közművelődés!Q169+Támogatás!U140</f>
        <v>0</v>
      </c>
      <c r="Q128" s="78">
        <f>Igazgatás!P153+Községgazd!S143+Vagyongazd!P128+Közút!P128+Sport!P130+Közművelődés!R169+Támogatás!V140</f>
        <v>0</v>
      </c>
      <c r="R128" s="1">
        <f>Igazgatás!Q153+Községgazd!T143+Vagyongazd!Q128+Közút!Q128+Sport!Q130+Közművelődés!S169+Támogatás!W140</f>
        <v>0</v>
      </c>
      <c r="S128" s="78">
        <f>Igazgatás!R153+Községgazd!U143+Vagyongazd!R128+Közút!R128+Sport!R130+Közművelődés!T169+Támogatás!X140</f>
        <v>0</v>
      </c>
      <c r="T128" s="78">
        <f>Igazgatás!S153+Községgazd!V143+Vagyongazd!S128+Közút!S128+Sport!S130+Közművelődés!U169+Támogatás!Y140</f>
        <v>0</v>
      </c>
      <c r="U128" s="44">
        <f>Igazgatás!T153+Községgazd!W143+Vagyongazd!T128+Közút!T128+Sport!T130+Közművelődés!V169+Támogatás!Z140</f>
        <v>0</v>
      </c>
      <c r="V128" s="343">
        <f>Igazgatás!U153+Községgazd!X143+Vagyongazd!U128+Közút!U128+Sport!U130+Közművelődés!W169+Támogatás!AA140</f>
        <v>0</v>
      </c>
      <c r="W128" s="78">
        <f>Igazgatás!V153+Községgazd!Y143+Vagyongazd!V128+Közút!V128+Sport!V130+Közművelődés!X169+Támogatás!AB140</f>
        <v>0</v>
      </c>
      <c r="X128" s="78">
        <f>Igazgatás!W153+Községgazd!Z143+Vagyongazd!W128+Közút!W128+Sport!W130+Közművelődés!Y169+Támogatás!AC140</f>
        <v>0</v>
      </c>
      <c r="Y128" s="44">
        <f>Igazgatás!X153+Községgazd!AA143+Vagyongazd!X128+Közút!X128+Sport!X130+Közművelődés!Z169+Támogatás!AD140</f>
        <v>0</v>
      </c>
      <c r="AB128" s="180"/>
    </row>
    <row r="129" spans="1:28" ht="15" hidden="1" customHeight="1" x14ac:dyDescent="0.25">
      <c r="B129" s="54"/>
      <c r="C129" s="2"/>
      <c r="D129" s="624" t="s">
        <v>356</v>
      </c>
      <c r="E129" s="624"/>
      <c r="F129" s="159" t="e">
        <v>#REF!</v>
      </c>
      <c r="G129" s="343" t="e">
        <v>#REF!</v>
      </c>
      <c r="H129" s="343" t="e">
        <v>#REF!</v>
      </c>
      <c r="I129" s="343" t="e">
        <v>#REF!</v>
      </c>
      <c r="J129" s="343" t="e">
        <v>#REF!</v>
      </c>
      <c r="K129" s="232" t="e">
        <f>Igazgatás!J154+Községgazd!J144+Vagyongazd!#REF!+Közút!J129+Sport!J131+Közművelődés!J170+Támogatás!J141</f>
        <v>#REF!</v>
      </c>
      <c r="L129" s="141" t="e">
        <f>Igazgatás!K154+Községgazd!K144+Vagyongazd!#REF!+Közút!K129+Sport!K131+Közművelődés!K170+Támogatás!K141</f>
        <v>#REF!</v>
      </c>
      <c r="M129" s="159" t="e">
        <f>Igazgatás!L154+Községgazd!L144+Vagyongazd!#REF!+Közút!L129+Sport!L131+Közművelődés!L170+Támogatás!L141</f>
        <v>#REF!</v>
      </c>
      <c r="N129" s="72">
        <f>Igazgatás!M154+Községgazd!P144+Vagyongazd!M129+Közút!M129+Sport!M131+Közművelődés!O170+Támogatás!S141</f>
        <v>0</v>
      </c>
      <c r="O129" s="1">
        <f>Igazgatás!N154+Községgazd!Q144+Vagyongazd!N129+Közút!N129+Sport!N131+Közművelődés!P170+Támogatás!T141</f>
        <v>0</v>
      </c>
      <c r="P129" s="78">
        <f>Igazgatás!O154+Községgazd!R144+Vagyongazd!O129+Közút!O129+Sport!O131+Közművelődés!Q170+Támogatás!U141</f>
        <v>0</v>
      </c>
      <c r="Q129" s="78">
        <f>Igazgatás!P154+Községgazd!S144+Vagyongazd!P129+Közút!P129+Sport!P131+Közművelődés!R170+Támogatás!V141</f>
        <v>0</v>
      </c>
      <c r="R129" s="1">
        <f>Igazgatás!Q154+Községgazd!T144+Vagyongazd!Q129+Közút!Q129+Sport!Q131+Közművelődés!S170+Támogatás!W141</f>
        <v>0</v>
      </c>
      <c r="S129" s="78">
        <f>Igazgatás!R154+Községgazd!U144+Vagyongazd!R129+Közút!R129+Sport!R131+Közművelődés!T170+Támogatás!X141</f>
        <v>0</v>
      </c>
      <c r="T129" s="78">
        <f>Igazgatás!S154+Községgazd!V144+Vagyongazd!S129+Közút!S129+Sport!S131+Közművelődés!U170+Támogatás!Y141</f>
        <v>0</v>
      </c>
      <c r="U129" s="44">
        <f>Igazgatás!T154+Községgazd!W144+Vagyongazd!T129+Közút!T129+Sport!T131+Közművelődés!V170+Támogatás!Z141</f>
        <v>0</v>
      </c>
      <c r="V129" s="343">
        <f>Igazgatás!U154+Községgazd!X144+Vagyongazd!U129+Közút!U129+Sport!U131+Közművelődés!W170+Támogatás!AA141</f>
        <v>0</v>
      </c>
      <c r="W129" s="78">
        <f>Igazgatás!V154+Községgazd!Y144+Vagyongazd!V129+Közút!V129+Sport!V131+Közművelődés!X170+Támogatás!AB141</f>
        <v>0</v>
      </c>
      <c r="X129" s="78">
        <f>Igazgatás!W154+Községgazd!Z144+Vagyongazd!W129+Közút!W129+Sport!W131+Közművelődés!Y170+Támogatás!AC141</f>
        <v>0</v>
      </c>
      <c r="Y129" s="44">
        <f>Igazgatás!X154+Községgazd!AA144+Vagyongazd!X129+Közút!X129+Sport!X131+Közművelődés!Z170+Támogatás!AD141</f>
        <v>0</v>
      </c>
      <c r="AB129" s="180"/>
    </row>
    <row r="130" spans="1:28" ht="25.5" hidden="1" customHeight="1" x14ac:dyDescent="0.25">
      <c r="B130" s="54"/>
      <c r="C130" s="2"/>
      <c r="D130" s="625" t="s">
        <v>534</v>
      </c>
      <c r="E130" s="625"/>
      <c r="F130" s="159" t="e">
        <v>#REF!</v>
      </c>
      <c r="G130" s="343" t="e">
        <v>#REF!</v>
      </c>
      <c r="H130" s="343" t="e">
        <v>#REF!</v>
      </c>
      <c r="I130" s="343" t="e">
        <v>#REF!</v>
      </c>
      <c r="J130" s="343" t="e">
        <v>#REF!</v>
      </c>
      <c r="K130" s="242" t="e">
        <f>Igazgatás!J155+Községgazd!J145+Vagyongazd!#REF!+Közút!J130+Sport!J132+Közművelődés!J171+Támogatás!J142</f>
        <v>#REF!</v>
      </c>
      <c r="L130" s="151" t="e">
        <f>Igazgatás!K155+Községgazd!K145+Vagyongazd!#REF!+Közút!K130+Sport!K132+Közművelődés!K171+Támogatás!K142</f>
        <v>#REF!</v>
      </c>
      <c r="M130" s="159" t="e">
        <f>Igazgatás!L155+Községgazd!L145+Vagyongazd!#REF!+Közút!L130+Sport!L132+Közművelődés!L171+Támogatás!L142</f>
        <v>#REF!</v>
      </c>
      <c r="N130" s="72">
        <f>Igazgatás!M155+Községgazd!P145+Vagyongazd!M130+Közút!M130+Sport!M132+Közművelődés!O171+Támogatás!S142</f>
        <v>0</v>
      </c>
      <c r="O130" s="1">
        <f>Igazgatás!N155+Községgazd!Q145+Vagyongazd!N130+Közút!N130+Sport!N132+Közművelődés!P171+Támogatás!T142</f>
        <v>0</v>
      </c>
      <c r="P130" s="78">
        <f>Igazgatás!O155+Községgazd!R145+Vagyongazd!O130+Közút!O130+Sport!O132+Közművelődés!Q171+Támogatás!U142</f>
        <v>0</v>
      </c>
      <c r="Q130" s="78">
        <f>Igazgatás!P155+Községgazd!S145+Vagyongazd!P130+Közút!P130+Sport!P132+Közművelődés!R171+Támogatás!V142</f>
        <v>0</v>
      </c>
      <c r="R130" s="1">
        <f>Igazgatás!Q155+Községgazd!T145+Vagyongazd!Q130+Közút!Q130+Sport!Q132+Közművelődés!S171+Támogatás!W142</f>
        <v>0</v>
      </c>
      <c r="S130" s="78">
        <f>Igazgatás!R155+Községgazd!U145+Vagyongazd!R130+Közút!R130+Sport!R132+Közművelődés!T171+Támogatás!X142</f>
        <v>0</v>
      </c>
      <c r="T130" s="78">
        <f>Igazgatás!S155+Községgazd!V145+Vagyongazd!S130+Közút!S130+Sport!S132+Közművelődés!U171+Támogatás!Y142</f>
        <v>0</v>
      </c>
      <c r="U130" s="44">
        <f>Igazgatás!T155+Községgazd!W145+Vagyongazd!T130+Közút!T130+Sport!T132+Közművelődés!V171+Támogatás!Z142</f>
        <v>0</v>
      </c>
      <c r="V130" s="343">
        <f>Igazgatás!U155+Községgazd!X145+Vagyongazd!U130+Közút!U130+Sport!U132+Közművelődés!W171+Támogatás!AA142</f>
        <v>0</v>
      </c>
      <c r="W130" s="78">
        <f>Igazgatás!V155+Községgazd!Y145+Vagyongazd!V130+Közút!V130+Sport!V132+Közművelődés!X171+Támogatás!AB142</f>
        <v>0</v>
      </c>
      <c r="X130" s="78">
        <f>Igazgatás!W155+Községgazd!Z145+Vagyongazd!W130+Közút!W130+Sport!W132+Közművelődés!Y171+Támogatás!AC142</f>
        <v>0</v>
      </c>
      <c r="Y130" s="44">
        <f>Igazgatás!X155+Községgazd!AA145+Vagyongazd!X130+Közút!X130+Sport!X132+Közművelődés!Z171+Támogatás!AD142</f>
        <v>0</v>
      </c>
      <c r="AB130" s="180"/>
    </row>
    <row r="131" spans="1:28" ht="15" hidden="1" customHeight="1" x14ac:dyDescent="0.25">
      <c r="B131" s="54"/>
      <c r="C131" s="2"/>
      <c r="D131" s="624" t="s">
        <v>535</v>
      </c>
      <c r="E131" s="624"/>
      <c r="F131" s="159" t="e">
        <v>#REF!</v>
      </c>
      <c r="G131" s="343" t="e">
        <v>#REF!</v>
      </c>
      <c r="H131" s="343" t="e">
        <v>#REF!</v>
      </c>
      <c r="I131" s="343" t="e">
        <v>#REF!</v>
      </c>
      <c r="J131" s="343" t="e">
        <v>#REF!</v>
      </c>
      <c r="K131" s="232" t="e">
        <f>Igazgatás!J156+Községgazd!J146+Vagyongazd!#REF!+Közút!J131+Sport!J133+Közművelődés!J172+Támogatás!J143</f>
        <v>#REF!</v>
      </c>
      <c r="L131" s="141" t="e">
        <f>Igazgatás!K156+Községgazd!K146+Vagyongazd!#REF!+Közút!K131+Sport!K133+Közművelődés!K172+Támogatás!K143</f>
        <v>#REF!</v>
      </c>
      <c r="M131" s="159" t="e">
        <f>Igazgatás!L156+Községgazd!L146+Vagyongazd!#REF!+Közút!L131+Sport!L133+Közművelődés!L172+Támogatás!L143</f>
        <v>#REF!</v>
      </c>
      <c r="N131" s="72">
        <f>Igazgatás!M156+Községgazd!P146+Vagyongazd!M131+Közút!M131+Sport!M133+Közművelődés!O172+Támogatás!S143</f>
        <v>0</v>
      </c>
      <c r="O131" s="1">
        <f>Igazgatás!N156+Községgazd!Q146+Vagyongazd!N131+Közút!N131+Sport!N133+Közművelődés!P172+Támogatás!T143</f>
        <v>0</v>
      </c>
      <c r="P131" s="78">
        <f>Igazgatás!O156+Községgazd!R146+Vagyongazd!O131+Közút!O131+Sport!O133+Közművelődés!Q172+Támogatás!U143</f>
        <v>0</v>
      </c>
      <c r="Q131" s="78">
        <f>Igazgatás!P156+Községgazd!S146+Vagyongazd!P131+Közút!P131+Sport!P133+Közművelődés!R172+Támogatás!V143</f>
        <v>0</v>
      </c>
      <c r="R131" s="1">
        <f>Igazgatás!Q156+Községgazd!T146+Vagyongazd!Q131+Közút!Q131+Sport!Q133+Közművelődés!S172+Támogatás!W143</f>
        <v>0</v>
      </c>
      <c r="S131" s="78">
        <f>Igazgatás!R156+Községgazd!U146+Vagyongazd!R131+Közút!R131+Sport!R133+Közművelődés!T172+Támogatás!X143</f>
        <v>0</v>
      </c>
      <c r="T131" s="78">
        <f>Igazgatás!S156+Községgazd!V146+Vagyongazd!S131+Közút!S131+Sport!S133+Közművelődés!U172+Támogatás!Y143</f>
        <v>0</v>
      </c>
      <c r="U131" s="44">
        <f>Igazgatás!T156+Községgazd!W146+Vagyongazd!T131+Közút!T131+Sport!T133+Közművelődés!V172+Támogatás!Z143</f>
        <v>0</v>
      </c>
      <c r="V131" s="343">
        <f>Igazgatás!U156+Községgazd!X146+Vagyongazd!U131+Közút!U131+Sport!U133+Közművelődés!W172+Támogatás!AA143</f>
        <v>0</v>
      </c>
      <c r="W131" s="78">
        <f>Igazgatás!V156+Községgazd!Y146+Vagyongazd!V131+Közút!V131+Sport!V133+Közművelődés!X172+Támogatás!AB143</f>
        <v>0</v>
      </c>
      <c r="X131" s="78">
        <f>Igazgatás!W156+Községgazd!Z146+Vagyongazd!W131+Közút!W131+Sport!W133+Közművelődés!Y172+Támogatás!AC143</f>
        <v>0</v>
      </c>
      <c r="Y131" s="44">
        <f>Igazgatás!X156+Községgazd!AA146+Vagyongazd!X131+Közút!X131+Sport!X133+Közművelődés!Z172+Támogatás!AD143</f>
        <v>0</v>
      </c>
      <c r="AB131" s="180"/>
    </row>
    <row r="132" spans="1:28" s="41" customFormat="1" ht="15" hidden="1" customHeight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 t="e">
        <v>#REF!</v>
      </c>
      <c r="G132" s="345" t="e">
        <v>#REF!</v>
      </c>
      <c r="H132" s="345" t="e">
        <v>#REF!</v>
      </c>
      <c r="I132" s="342" t="e">
        <v>#REF!</v>
      </c>
      <c r="J132" s="342" t="e">
        <v>#REF!</v>
      </c>
      <c r="K132" s="243" t="e">
        <f>Igazgatás!J157+Községgazd!J147+Vagyongazd!#REF!+Közút!J132+Sport!J134+Közművelődés!J173+Támogatás!J144</f>
        <v>#REF!</v>
      </c>
      <c r="L132" s="152" t="e">
        <f>Igazgatás!K157+Községgazd!K147+Vagyongazd!#REF!+Közút!K132+Sport!K134+Közművelődés!K173+Támogatás!K144</f>
        <v>#REF!</v>
      </c>
      <c r="M132" s="162" t="e">
        <f>Igazgatás!L157+Községgazd!L147+Vagyongazd!#REF!+Közút!L132+Sport!L134+Közművelődés!L173+Támogatás!L144</f>
        <v>#REF!</v>
      </c>
      <c r="N132" s="102">
        <f>Igazgatás!M157+Községgazd!P147+Vagyongazd!M132+Közút!M132+Sport!M134+Közművelődés!O173+Támogatás!S144</f>
        <v>0</v>
      </c>
      <c r="O132" s="103">
        <f>Igazgatás!N157+Községgazd!Q147+Vagyongazd!N132+Közút!N132+Sport!N134+Közművelődés!P173+Támogatás!T144</f>
        <v>0</v>
      </c>
      <c r="P132" s="106">
        <f>Igazgatás!O157+Községgazd!R147+Vagyongazd!O132+Közút!O132+Sport!O134+Közművelődés!Q173+Támogatás!U144</f>
        <v>0</v>
      </c>
      <c r="Q132" s="106">
        <f>Igazgatás!P157+Községgazd!S147+Vagyongazd!P132+Közút!P132+Sport!P134+Közművelődés!R173+Támogatás!V144</f>
        <v>0</v>
      </c>
      <c r="R132" s="103">
        <f>Igazgatás!Q157+Községgazd!T147+Vagyongazd!Q132+Közút!Q132+Sport!Q134+Közművelődés!S173+Támogatás!W144</f>
        <v>0</v>
      </c>
      <c r="S132" s="106">
        <f>Igazgatás!R157+Községgazd!U147+Vagyongazd!R132+Közút!R132+Sport!R134+Közművelődés!T173+Támogatás!X144</f>
        <v>0</v>
      </c>
      <c r="T132" s="106">
        <f>Igazgatás!S157+Községgazd!V147+Vagyongazd!S132+Közút!S132+Sport!S134+Közművelődés!U173+Támogatás!Y144</f>
        <v>0</v>
      </c>
      <c r="U132" s="107">
        <f>Igazgatás!T157+Községgazd!W147+Vagyongazd!T132+Közút!T132+Sport!T134+Közművelődés!V173+Támogatás!Z144</f>
        <v>0</v>
      </c>
      <c r="V132" s="345">
        <f>Igazgatás!U157+Községgazd!X147+Vagyongazd!U132+Közút!U132+Sport!U134+Közművelődés!W173+Támogatás!AA144</f>
        <v>0</v>
      </c>
      <c r="W132" s="106">
        <f>Igazgatás!V157+Községgazd!Y147+Vagyongazd!V132+Közút!V132+Sport!V134+Közművelődés!X173+Támogatás!AB144</f>
        <v>0</v>
      </c>
      <c r="X132" s="106">
        <f>Igazgatás!W157+Községgazd!Z147+Vagyongazd!W132+Közút!W132+Sport!W134+Közművelődés!Y173+Támogatás!AC144</f>
        <v>0</v>
      </c>
      <c r="Y132" s="107">
        <f>Igazgatás!X157+Községgazd!AA147+Vagyongazd!X132+Közút!X132+Sport!X134+Közművelődés!Z173+Támogatás!AD144</f>
        <v>0</v>
      </c>
      <c r="AB132" s="180"/>
    </row>
    <row r="133" spans="1:28" s="41" customFormat="1" ht="15" hidden="1" customHeight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 t="e">
        <v>#REF!</v>
      </c>
      <c r="G133" s="345" t="e">
        <v>#REF!</v>
      </c>
      <c r="H133" s="345" t="e">
        <v>#REF!</v>
      </c>
      <c r="I133" s="342" t="e">
        <v>#REF!</v>
      </c>
      <c r="J133" s="342" t="e">
        <v>#REF!</v>
      </c>
      <c r="K133" s="243" t="e">
        <f>Igazgatás!J158+Községgazd!J148+Vagyongazd!#REF!+Közút!J133+Sport!J135+Közművelődés!J174+Támogatás!J145</f>
        <v>#REF!</v>
      </c>
      <c r="L133" s="152" t="e">
        <f>Igazgatás!K158+Községgazd!K148+Vagyongazd!#REF!+Közút!K133+Sport!K135+Közművelődés!K174+Támogatás!K145</f>
        <v>#REF!</v>
      </c>
      <c r="M133" s="162" t="e">
        <f>Igazgatás!L158+Községgazd!L148+Vagyongazd!#REF!+Közút!L133+Sport!L135+Közművelődés!L174+Támogatás!L145</f>
        <v>#REF!</v>
      </c>
      <c r="N133" s="102">
        <f>Igazgatás!M158+Községgazd!P148+Vagyongazd!M133+Közút!M133+Sport!M135+Közművelődés!O174+Támogatás!S145</f>
        <v>0</v>
      </c>
      <c r="O133" s="103">
        <f>Igazgatás!N158+Községgazd!Q148+Vagyongazd!N133+Közút!N133+Sport!N135+Közművelődés!P174+Támogatás!T145</f>
        <v>0</v>
      </c>
      <c r="P133" s="106">
        <f>Igazgatás!O158+Községgazd!R148+Vagyongazd!O133+Közút!O133+Sport!O135+Közművelődés!Q174+Támogatás!U145</f>
        <v>0</v>
      </c>
      <c r="Q133" s="106">
        <f>Igazgatás!P158+Községgazd!S148+Vagyongazd!P133+Közút!P133+Sport!P135+Közművelődés!R174+Támogatás!V145</f>
        <v>0</v>
      </c>
      <c r="R133" s="103">
        <f>Igazgatás!Q158+Községgazd!T148+Vagyongazd!Q133+Közút!Q133+Sport!Q135+Közművelődés!S174+Támogatás!W145</f>
        <v>0</v>
      </c>
      <c r="S133" s="106">
        <f>Igazgatás!R158+Községgazd!U148+Vagyongazd!R133+Közút!R133+Sport!R135+Közművelődés!T174+Támogatás!X145</f>
        <v>0</v>
      </c>
      <c r="T133" s="106">
        <f>Igazgatás!S158+Községgazd!V148+Vagyongazd!S133+Közút!S133+Sport!S135+Közművelődés!U174+Támogatás!Y145</f>
        <v>0</v>
      </c>
      <c r="U133" s="107">
        <f>Igazgatás!T158+Községgazd!W148+Vagyongazd!T133+Közút!T133+Sport!T135+Közművelődés!V174+Támogatás!Z145</f>
        <v>0</v>
      </c>
      <c r="V133" s="345">
        <f>Igazgatás!U158+Községgazd!X148+Vagyongazd!U133+Közút!U133+Sport!U135+Közművelődés!W174+Támogatás!AA145</f>
        <v>0</v>
      </c>
      <c r="W133" s="106">
        <f>Igazgatás!V158+Községgazd!Y148+Vagyongazd!V133+Közút!V133+Sport!V135+Közművelődés!X174+Támogatás!AB145</f>
        <v>0</v>
      </c>
      <c r="X133" s="106">
        <f>Igazgatás!W158+Községgazd!Z148+Vagyongazd!W133+Közút!W133+Sport!W135+Közművelődés!Y174+Támogatás!AC145</f>
        <v>0</v>
      </c>
      <c r="Y133" s="107">
        <f>Igazgatás!X158+Községgazd!AA148+Vagyongazd!X133+Közút!X133+Sport!X135+Közművelődés!Z174+Támogatás!AD145</f>
        <v>0</v>
      </c>
      <c r="AB133" s="180"/>
    </row>
    <row r="134" spans="1:28" s="41" customFormat="1" ht="15" hidden="1" customHeight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 t="e">
        <v>#REF!</v>
      </c>
      <c r="G134" s="345" t="e">
        <v>#REF!</v>
      </c>
      <c r="H134" s="345" t="e">
        <v>#REF!</v>
      </c>
      <c r="I134" s="342" t="e">
        <v>#REF!</v>
      </c>
      <c r="J134" s="342" t="e">
        <v>#REF!</v>
      </c>
      <c r="K134" s="243" t="e">
        <f>Igazgatás!J159+Községgazd!J149+Vagyongazd!#REF!+Közút!J134+Sport!J136+Közművelődés!J175+Támogatás!J146</f>
        <v>#REF!</v>
      </c>
      <c r="L134" s="152" t="e">
        <f>Igazgatás!K159+Községgazd!K149+Vagyongazd!#REF!+Közút!K134+Sport!K136+Közművelődés!K175+Támogatás!K146</f>
        <v>#REF!</v>
      </c>
      <c r="M134" s="162" t="e">
        <f>Igazgatás!L159+Községgazd!L149+Vagyongazd!#REF!+Közút!L134+Sport!L136+Közművelődés!L175+Támogatás!L146</f>
        <v>#REF!</v>
      </c>
      <c r="N134" s="102">
        <f>Igazgatás!M159+Községgazd!P149+Vagyongazd!M134+Közút!M134+Sport!M136+Közművelődés!O175+Támogatás!S146</f>
        <v>0</v>
      </c>
      <c r="O134" s="103">
        <f>Igazgatás!N159+Községgazd!Q149+Vagyongazd!N134+Közút!N134+Sport!N136+Közművelődés!P175+Támogatás!T146</f>
        <v>0</v>
      </c>
      <c r="P134" s="106">
        <f>Igazgatás!O159+Községgazd!R149+Vagyongazd!O134+Közút!O134+Sport!O136+Közművelődés!Q175+Támogatás!U146</f>
        <v>0</v>
      </c>
      <c r="Q134" s="106">
        <f>Igazgatás!P159+Községgazd!S149+Vagyongazd!P134+Közút!P134+Sport!P136+Közművelődés!R175+Támogatás!V146</f>
        <v>0</v>
      </c>
      <c r="R134" s="103">
        <f>Igazgatás!Q159+Községgazd!T149+Vagyongazd!Q134+Közút!Q134+Sport!Q136+Közművelődés!S175+Támogatás!W146</f>
        <v>0</v>
      </c>
      <c r="S134" s="106">
        <f>Igazgatás!R159+Községgazd!U149+Vagyongazd!R134+Közút!R134+Sport!R136+Közművelődés!T175+Támogatás!X146</f>
        <v>0</v>
      </c>
      <c r="T134" s="106">
        <f>Igazgatás!S159+Községgazd!V149+Vagyongazd!S134+Közút!S134+Sport!S136+Közművelődés!U175+Támogatás!Y146</f>
        <v>0</v>
      </c>
      <c r="U134" s="107">
        <f>Igazgatás!T159+Községgazd!W149+Vagyongazd!T134+Közút!T134+Sport!T136+Közművelődés!V175+Támogatás!Z146</f>
        <v>0</v>
      </c>
      <c r="V134" s="345">
        <f>Igazgatás!U159+Községgazd!X149+Vagyongazd!U134+Közút!U134+Sport!U136+Közművelődés!W175+Támogatás!AA146</f>
        <v>0</v>
      </c>
      <c r="W134" s="106">
        <f>Igazgatás!V159+Községgazd!Y149+Vagyongazd!V134+Közút!V134+Sport!V136+Közművelődés!X175+Támogatás!AB146</f>
        <v>0</v>
      </c>
      <c r="X134" s="106">
        <f>Igazgatás!W159+Községgazd!Z149+Vagyongazd!W134+Közút!W134+Sport!W136+Közművelődés!Y175+Támogatás!AC146</f>
        <v>0</v>
      </c>
      <c r="Y134" s="107">
        <f>Igazgatás!X159+Községgazd!AA149+Vagyongazd!X134+Közút!X134+Sport!X136+Közművelődés!Z175+Támogatás!AD146</f>
        <v>0</v>
      </c>
      <c r="AB134" s="180"/>
    </row>
    <row r="135" spans="1:28" s="41" customFormat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726831</v>
      </c>
      <c r="G135" s="162">
        <v>726831</v>
      </c>
      <c r="H135" s="162">
        <v>726831</v>
      </c>
      <c r="I135" s="160">
        <v>726831</v>
      </c>
      <c r="J135" s="160">
        <f>SUM(J138)</f>
        <v>741186</v>
      </c>
      <c r="K135" s="162">
        <f>Igazgatás!J160+Községgazd!J150+Közút!J135+Sport!J137+Közművelődés!J176+Támogatás!J147</f>
        <v>691186</v>
      </c>
      <c r="L135" s="162">
        <f>Igazgatás!K160+Községgazd!K150+Közút!K135+Sport!K137+Közművelődés!K176+Támogatás!K147</f>
        <v>0</v>
      </c>
      <c r="M135" s="162">
        <f>Igazgatás!L160+Községgazd!L150+Közút!L135+Sport!L137+Közművelődés!L176+Támogatás!L147</f>
        <v>691186</v>
      </c>
      <c r="N135" s="102">
        <f>Igazgatás!M160+Községgazd!P150+Vagyongazd!M135+Közút!M135+Sport!M137+Közművelődés!O176+Támogatás!S147</f>
        <v>0</v>
      </c>
      <c r="O135" s="103">
        <f>Igazgatás!N160+Községgazd!Q150+Vagyongazd!N135+Közút!N135+Sport!N137+Közművelődés!P176+Támogatás!T147</f>
        <v>0</v>
      </c>
      <c r="P135" s="106">
        <f>Igazgatás!O160+Községgazd!R150+Vagyongazd!O135+Közút!O135+Sport!O137+Közművelődés!Q176+Támogatás!U147</f>
        <v>0</v>
      </c>
      <c r="Q135" s="106">
        <f>Igazgatás!P160+Községgazd!S150+Vagyongazd!P135+Közút!P135+Sport!P137+Közművelődés!R176+Támogatás!V147</f>
        <v>0</v>
      </c>
      <c r="R135" s="103">
        <f>Igazgatás!Q160+Községgazd!T150+Vagyongazd!Q135+Közút!Q135+Sport!Q137+Közművelődés!S176+Támogatás!W147</f>
        <v>0</v>
      </c>
      <c r="S135" s="106">
        <f>Igazgatás!R160+Községgazd!U150+Vagyongazd!R135+Közút!R135+Sport!R137+Közművelődés!T176+Támogatás!X147</f>
        <v>150000</v>
      </c>
      <c r="T135" s="106">
        <f>Igazgatás!S160+Községgazd!V150+Vagyongazd!S135+Közút!S135+Sport!S137+Közművelődés!U176+Támogatás!Y147</f>
        <v>0</v>
      </c>
      <c r="U135" s="107">
        <f>Igazgatás!T160+Községgazd!W150+Vagyongazd!T135+Közút!T135+Sport!T137+Közművelődés!V176+Támogatás!Z147</f>
        <v>100000</v>
      </c>
      <c r="V135" s="345">
        <f>Igazgatás!U160+Községgazd!X150+Vagyongazd!U135+Közút!U135+Sport!U137+Közművelődés!W176+Támogatás!AA147</f>
        <v>200000</v>
      </c>
      <c r="W135" s="106">
        <f>Igazgatás!V160+Községgazd!Y150+Vagyongazd!V135+Közút!V135+Sport!V137+Közművelődés!X176+Támogatás!AB147</f>
        <v>0</v>
      </c>
      <c r="X135" s="106">
        <f>Igazgatás!W160+Községgazd!Z150+Vagyongazd!W135+Közút!W135+Sport!W137+Közművelődés!Y176+Támogatás!AC147</f>
        <v>141186</v>
      </c>
      <c r="Y135" s="107">
        <f>Igazgatás!X160+Községgazd!AA150+Vagyongazd!X135+Közút!X135+Sport!X137+Közművelődés!Z176+Támogatás!AD147</f>
        <v>100000</v>
      </c>
      <c r="AB135" s="180"/>
    </row>
    <row r="136" spans="1:28" ht="15" hidden="1" customHeight="1" x14ac:dyDescent="0.25">
      <c r="B136" s="54"/>
      <c r="C136" s="2"/>
      <c r="D136" s="624" t="s">
        <v>359</v>
      </c>
      <c r="E136" s="624"/>
      <c r="F136" s="159" t="e">
        <v>#REF!</v>
      </c>
      <c r="G136" s="159" t="e">
        <v>#REF!</v>
      </c>
      <c r="H136" s="159" t="e">
        <v>#REF!</v>
      </c>
      <c r="I136" s="159" t="e">
        <v>#REF!</v>
      </c>
      <c r="J136" s="159" t="e">
        <v>#REF!</v>
      </c>
      <c r="K136" s="159" t="e">
        <f>Igazgatás!J161+Községgazd!J151+Vagyongazd!#REF!+Közút!J136+Sport!J138+Közművelődés!J177+Támogatás!J148</f>
        <v>#REF!</v>
      </c>
      <c r="L136" s="159" t="e">
        <f>Igazgatás!K161+Községgazd!K151+Vagyongazd!#REF!+Közút!K136+Sport!K138+Közművelődés!K177+Támogatás!K148</f>
        <v>#REF!</v>
      </c>
      <c r="M136" s="159" t="e">
        <f>Igazgatás!L161+Községgazd!L151+Vagyongazd!#REF!+Közút!L136+Sport!L138+Közművelődés!L177+Támogatás!L148</f>
        <v>#REF!</v>
      </c>
      <c r="N136" s="72">
        <f>Igazgatás!M161+Községgazd!P151+Vagyongazd!M136+Közút!M136+Sport!M138+Közművelődés!O177+Támogatás!S148</f>
        <v>0</v>
      </c>
      <c r="O136" s="1">
        <f>Igazgatás!N161+Községgazd!Q151+Vagyongazd!N136+Közút!N136+Sport!N138+Közművelődés!P177+Támogatás!T148</f>
        <v>0</v>
      </c>
      <c r="P136" s="78">
        <f>Igazgatás!O161+Községgazd!R151+Vagyongazd!O136+Közút!O136+Sport!O138+Közművelődés!Q177+Támogatás!U148</f>
        <v>0</v>
      </c>
      <c r="Q136" s="78">
        <f>Igazgatás!P161+Községgazd!S151+Vagyongazd!P136+Közút!P136+Sport!P138+Közművelődés!R177+Támogatás!V148</f>
        <v>0</v>
      </c>
      <c r="R136" s="1">
        <f>Igazgatás!Q161+Községgazd!T151+Vagyongazd!Q136+Közút!Q136+Sport!Q138+Közművelődés!S177+Támogatás!W148</f>
        <v>0</v>
      </c>
      <c r="S136" s="78">
        <f>Igazgatás!R161+Községgazd!U151+Vagyongazd!R136+Közút!R136+Sport!R138+Közművelődés!T177+Támogatás!X148</f>
        <v>0</v>
      </c>
      <c r="T136" s="78">
        <f>Igazgatás!S161+Községgazd!V151+Vagyongazd!S136+Közút!S136+Sport!S138+Közművelődés!U177+Támogatás!Y148</f>
        <v>0</v>
      </c>
      <c r="U136" s="44">
        <f>Igazgatás!T161+Községgazd!W151+Vagyongazd!T136+Közút!T136+Sport!T138+Közművelődés!V177+Támogatás!Z148</f>
        <v>0</v>
      </c>
      <c r="V136" s="343">
        <f>Igazgatás!U161+Községgazd!X151+Vagyongazd!U136+Közút!U136+Sport!U138+Közművelődés!W177+Támogatás!AA148</f>
        <v>0</v>
      </c>
      <c r="W136" s="78">
        <f>Igazgatás!V161+Községgazd!Y151+Vagyongazd!V136+Közút!V136+Sport!V138+Közművelődés!X177+Támogatás!AB148</f>
        <v>0</v>
      </c>
      <c r="X136" s="78">
        <f>Igazgatás!W161+Községgazd!Z151+Vagyongazd!W136+Közút!W136+Sport!W138+Közművelődés!Y177+Támogatás!AC148</f>
        <v>0</v>
      </c>
      <c r="Y136" s="44">
        <f>Igazgatás!X161+Községgazd!AA151+Vagyongazd!X136+Közút!X136+Sport!X138+Közművelődés!Z177+Támogatás!AD148</f>
        <v>0</v>
      </c>
      <c r="AB136" s="180"/>
    </row>
    <row r="137" spans="1:28" ht="15" hidden="1" customHeight="1" x14ac:dyDescent="0.25">
      <c r="B137" s="54"/>
      <c r="C137" s="2"/>
      <c r="D137" s="624" t="s">
        <v>360</v>
      </c>
      <c r="E137" s="624"/>
      <c r="F137" s="159" t="e">
        <v>#REF!</v>
      </c>
      <c r="G137" s="159" t="e">
        <v>#REF!</v>
      </c>
      <c r="H137" s="159" t="e">
        <v>#REF!</v>
      </c>
      <c r="I137" s="159" t="e">
        <v>#REF!</v>
      </c>
      <c r="J137" s="159" t="e">
        <v>#REF!</v>
      </c>
      <c r="K137" s="159" t="e">
        <f>Igazgatás!J162+Községgazd!J152+Vagyongazd!#REF!+Közút!J137+Sport!J139+Közművelődés!J178+Támogatás!J149</f>
        <v>#REF!</v>
      </c>
      <c r="L137" s="159" t="e">
        <f>Igazgatás!K162+Községgazd!K152+Vagyongazd!#REF!+Közút!K137+Sport!K139+Közművelődés!K178+Támogatás!K149</f>
        <v>#REF!</v>
      </c>
      <c r="M137" s="159" t="e">
        <f>Igazgatás!L162+Községgazd!L152+Vagyongazd!#REF!+Közút!L137+Sport!L139+Közművelődés!L178+Támogatás!L149</f>
        <v>#REF!</v>
      </c>
      <c r="N137" s="72">
        <f>Igazgatás!M162+Községgazd!P152+Vagyongazd!M137+Közút!M137+Sport!M139+Közművelődés!O178+Támogatás!S149</f>
        <v>0</v>
      </c>
      <c r="O137" s="1">
        <f>Igazgatás!N162+Községgazd!Q152+Vagyongazd!N137+Közút!N137+Sport!N139+Közművelődés!P178+Támogatás!T149</f>
        <v>0</v>
      </c>
      <c r="P137" s="78">
        <f>Igazgatás!O162+Községgazd!R152+Vagyongazd!O137+Közút!O137+Sport!O139+Közművelődés!Q178+Támogatás!U149</f>
        <v>0</v>
      </c>
      <c r="Q137" s="78">
        <f>Igazgatás!P162+Községgazd!S152+Vagyongazd!P137+Közút!P137+Sport!P139+Közművelődés!R178+Támogatás!V149</f>
        <v>0</v>
      </c>
      <c r="R137" s="1">
        <f>Igazgatás!Q162+Községgazd!T152+Vagyongazd!Q137+Közút!Q137+Sport!Q139+Közművelődés!S178+Támogatás!W149</f>
        <v>0</v>
      </c>
      <c r="S137" s="78">
        <f>Igazgatás!R162+Községgazd!U152+Vagyongazd!R137+Közút!R137+Sport!R139+Közművelődés!T178+Támogatás!X149</f>
        <v>0</v>
      </c>
      <c r="T137" s="78">
        <f>Igazgatás!S162+Községgazd!V152+Vagyongazd!S137+Közút!S137+Sport!S139+Közművelődés!U178+Támogatás!Y149</f>
        <v>0</v>
      </c>
      <c r="U137" s="44">
        <f>Igazgatás!T162+Községgazd!W152+Vagyongazd!T137+Közút!T137+Sport!T139+Közművelődés!V178+Támogatás!Z149</f>
        <v>0</v>
      </c>
      <c r="V137" s="343">
        <f>Igazgatás!U162+Községgazd!X152+Vagyongazd!U137+Közút!U137+Sport!U139+Közművelődés!W178+Támogatás!AA149</f>
        <v>0</v>
      </c>
      <c r="W137" s="78">
        <f>Igazgatás!V162+Községgazd!Y152+Vagyongazd!V137+Közút!V137+Sport!V139+Közművelődés!X178+Támogatás!AB149</f>
        <v>0</v>
      </c>
      <c r="X137" s="78">
        <f>Igazgatás!W162+Községgazd!Z152+Vagyongazd!W137+Közút!W137+Sport!W139+Közművelődés!Y178+Támogatás!AC149</f>
        <v>0</v>
      </c>
      <c r="Y137" s="44">
        <f>Igazgatás!X162+Községgazd!AA152+Vagyongazd!X137+Közút!X137+Sport!X139+Közművelődés!Z178+Támogatás!AD149</f>
        <v>0</v>
      </c>
      <c r="AB137" s="180"/>
    </row>
    <row r="138" spans="1:28" x14ac:dyDescent="0.25">
      <c r="B138" s="54"/>
      <c r="C138" s="2"/>
      <c r="D138" s="624" t="s">
        <v>361</v>
      </c>
      <c r="E138" s="624"/>
      <c r="F138" s="159">
        <v>726831</v>
      </c>
      <c r="G138" s="159">
        <v>726831</v>
      </c>
      <c r="H138" s="159">
        <v>726831</v>
      </c>
      <c r="I138" s="159">
        <v>726831</v>
      </c>
      <c r="J138" s="159">
        <v>741186</v>
      </c>
      <c r="K138" s="159">
        <f>Igazgatás!J163+Községgazd!J153+Közút!J138+Sport!J140+Közművelődés!J179+Támogatás!J150</f>
        <v>691186</v>
      </c>
      <c r="L138" s="159">
        <f>Igazgatás!K163+Községgazd!K153+Közút!K138+Sport!K140+Közművelődés!K179+Támogatás!K150</f>
        <v>0</v>
      </c>
      <c r="M138" s="159">
        <f>Igazgatás!L163+Községgazd!L153+Közút!L138+Sport!L140+Közművelődés!L179+Támogatás!L150</f>
        <v>691186</v>
      </c>
      <c r="N138" s="72">
        <f>Igazgatás!M163+Községgazd!P153+Vagyongazd!M138+Közút!M138+Sport!M140+Közművelődés!O179+Támogatás!S150</f>
        <v>0</v>
      </c>
      <c r="O138" s="1">
        <f>Igazgatás!N163+Községgazd!Q153+Vagyongazd!N138+Közút!N138+Sport!N140+Közművelődés!P179+Támogatás!T150</f>
        <v>0</v>
      </c>
      <c r="P138" s="78">
        <f>Igazgatás!O163+Községgazd!R153+Vagyongazd!O138+Közút!O138+Sport!O140+Közművelődés!Q179+Támogatás!U150</f>
        <v>0</v>
      </c>
      <c r="Q138" s="78">
        <f>Igazgatás!P163+Községgazd!S153+Vagyongazd!P138+Közút!P138+Sport!P140+Közművelődés!R179+Támogatás!V150</f>
        <v>0</v>
      </c>
      <c r="R138" s="1">
        <f>Igazgatás!Q163+Községgazd!T153+Vagyongazd!Q138+Közút!Q138+Sport!Q140+Közművelődés!S179+Támogatás!W150</f>
        <v>0</v>
      </c>
      <c r="S138" s="78">
        <f>Igazgatás!R163+Községgazd!U153+Vagyongazd!R138+Közút!R138+Sport!R140+Közművelődés!T179+Támogatás!X150</f>
        <v>150000</v>
      </c>
      <c r="T138" s="78">
        <f>Igazgatás!S163+Községgazd!V153+Vagyongazd!S138+Közút!S138+Sport!S140+Közművelődés!U179+Támogatás!Y150</f>
        <v>0</v>
      </c>
      <c r="U138" s="44">
        <f>Igazgatás!T163+Községgazd!W153+Vagyongazd!T138+Közút!T138+Sport!T140+Közművelődés!V179+Támogatás!Z150</f>
        <v>100000</v>
      </c>
      <c r="V138" s="343">
        <f>Igazgatás!U163+Községgazd!X153+Vagyongazd!U138+Közút!U138+Sport!U140+Közművelődés!W179+Támogatás!AA150</f>
        <v>200000</v>
      </c>
      <c r="W138" s="78">
        <f>Igazgatás!V163+Községgazd!Y153+Vagyongazd!V138+Közút!V138+Sport!V140+Közművelődés!X179+Támogatás!AB150</f>
        <v>0</v>
      </c>
      <c r="X138" s="78">
        <f>Igazgatás!W163+Községgazd!Z153+Vagyongazd!W138+Közút!W138+Sport!W140+Közművelődés!Y179+Támogatás!AC150</f>
        <v>141186</v>
      </c>
      <c r="Y138" s="44">
        <f>Igazgatás!X163+Községgazd!AA153+Vagyongazd!X138+Közút!X138+Sport!X140+Közművelődés!Z179+Támogatás!AD150</f>
        <v>100000</v>
      </c>
      <c r="AB138" s="180"/>
    </row>
    <row r="139" spans="1:28" ht="15" hidden="1" customHeight="1" x14ac:dyDescent="0.25">
      <c r="B139" s="54"/>
      <c r="C139" s="2"/>
      <c r="D139" s="624" t="s">
        <v>362</v>
      </c>
      <c r="E139" s="624"/>
      <c r="F139" s="159" t="e">
        <v>#REF!</v>
      </c>
      <c r="G139" s="343" t="e">
        <v>#REF!</v>
      </c>
      <c r="H139" s="343" t="e">
        <v>#REF!</v>
      </c>
      <c r="I139" s="343" t="e">
        <v>#REF!</v>
      </c>
      <c r="J139" s="343" t="e">
        <v>#REF!</v>
      </c>
      <c r="K139" s="232" t="e">
        <f>Igazgatás!J164+Községgazd!J154+Vagyongazd!#REF!+Közút!J139+Sport!J141+Közművelődés!J180+Támogatás!J154</f>
        <v>#REF!</v>
      </c>
      <c r="L139" s="141" t="e">
        <f>Igazgatás!K164+Községgazd!K154+Vagyongazd!#REF!+Közút!K139+Sport!K141+Közművelődés!K180+Támogatás!K154</f>
        <v>#REF!</v>
      </c>
      <c r="M139" s="159" t="e">
        <f>Igazgatás!L164+Községgazd!L154+Vagyongazd!#REF!+Közút!L139+Sport!L141+Közművelődés!L180+Támogatás!L154</f>
        <v>#REF!</v>
      </c>
      <c r="N139" s="72">
        <f>Igazgatás!M164+Községgazd!P154+Vagyongazd!M139+Közút!M139+Sport!M141+Közművelődés!O180+Támogatás!S154</f>
        <v>0</v>
      </c>
      <c r="O139" s="1">
        <f>Igazgatás!N164+Községgazd!Q154+Vagyongazd!N139+Közút!N139+Sport!N141+Közművelődés!P180+Támogatás!T154</f>
        <v>0</v>
      </c>
      <c r="P139" s="78">
        <f>Igazgatás!O164+Községgazd!R154+Vagyongazd!O139+Közút!O139+Sport!O141+Közművelődés!Q180+Támogatás!U154</f>
        <v>0</v>
      </c>
      <c r="Q139" s="78">
        <f>Igazgatás!P164+Községgazd!S154+Vagyongazd!P139+Közút!P139+Sport!P141+Közművelődés!R180+Támogatás!V154</f>
        <v>0</v>
      </c>
      <c r="R139" s="1">
        <f>Igazgatás!Q164+Községgazd!T154+Vagyongazd!Q139+Közút!Q139+Sport!Q141+Közművelődés!S180+Támogatás!W154</f>
        <v>0</v>
      </c>
      <c r="S139" s="78">
        <f>Igazgatás!R164+Községgazd!U154+Vagyongazd!R139+Közút!R139+Sport!R141+Közművelődés!T180+Támogatás!X154</f>
        <v>0</v>
      </c>
      <c r="T139" s="78">
        <f>Igazgatás!S164+Községgazd!V154+Vagyongazd!S139+Közút!S139+Sport!S141+Közművelődés!U180+Támogatás!Y154</f>
        <v>0</v>
      </c>
      <c r="U139" s="44">
        <f>Igazgatás!T164+Községgazd!W154+Vagyongazd!T139+Közút!T139+Sport!T141+Közművelődés!V180+Támogatás!Z154</f>
        <v>0</v>
      </c>
      <c r="V139" s="343">
        <f>Igazgatás!U164+Községgazd!X154+Vagyongazd!U139+Közút!U139+Sport!U141+Közművelődés!W180+Támogatás!AA154</f>
        <v>0</v>
      </c>
      <c r="W139" s="78">
        <f>Igazgatás!V164+Községgazd!Y154+Vagyongazd!V139+Közút!V139+Sport!V141+Közművelődés!X180+Támogatás!AB154</f>
        <v>0</v>
      </c>
      <c r="X139" s="78">
        <f>Igazgatás!W164+Községgazd!Z154+Vagyongazd!W139+Közút!W139+Sport!W141+Közművelődés!Y180+Támogatás!AC154</f>
        <v>0</v>
      </c>
      <c r="Y139" s="44">
        <f>Igazgatás!X164+Községgazd!AA154+Vagyongazd!X139+Közút!X139+Sport!X141+Közművelődés!Z180+Támogatás!AD154</f>
        <v>0</v>
      </c>
      <c r="AB139" s="180"/>
    </row>
    <row r="140" spans="1:28" ht="15" hidden="1" customHeight="1" x14ac:dyDescent="0.25">
      <c r="B140" s="54"/>
      <c r="C140" s="2"/>
      <c r="D140" s="624" t="s">
        <v>363</v>
      </c>
      <c r="E140" s="624"/>
      <c r="F140" s="159" t="e">
        <v>#REF!</v>
      </c>
      <c r="G140" s="343" t="e">
        <v>#REF!</v>
      </c>
      <c r="H140" s="343" t="e">
        <v>#REF!</v>
      </c>
      <c r="I140" s="343" t="e">
        <v>#REF!</v>
      </c>
      <c r="J140" s="343" t="e">
        <v>#REF!</v>
      </c>
      <c r="K140" s="232" t="e">
        <f>Igazgatás!J165+Községgazd!J155+Vagyongazd!#REF!+Közút!J140+Sport!J142+Közművelődés!J181+Támogatás!J155</f>
        <v>#REF!</v>
      </c>
      <c r="L140" s="141" t="e">
        <f>Igazgatás!K165+Községgazd!K155+Vagyongazd!#REF!+Közút!K140+Sport!K142+Közművelődés!K181+Támogatás!K155</f>
        <v>#REF!</v>
      </c>
      <c r="M140" s="159" t="e">
        <f>Igazgatás!L165+Községgazd!L155+Vagyongazd!#REF!+Közút!L140+Sport!L142+Közművelődés!L181+Támogatás!L155</f>
        <v>#REF!</v>
      </c>
      <c r="N140" s="72">
        <f>Igazgatás!M165+Községgazd!P155+Vagyongazd!M140+Közút!M140+Sport!M142+Közművelődés!O181+Támogatás!S155</f>
        <v>0</v>
      </c>
      <c r="O140" s="1">
        <f>Igazgatás!N165+Községgazd!Q155+Vagyongazd!N140+Közút!N140+Sport!N142+Közművelődés!P181+Támogatás!T155</f>
        <v>0</v>
      </c>
      <c r="P140" s="78">
        <f>Igazgatás!O165+Községgazd!R155+Vagyongazd!O140+Közút!O140+Sport!O142+Közművelődés!Q181+Támogatás!U155</f>
        <v>0</v>
      </c>
      <c r="Q140" s="78">
        <f>Igazgatás!P165+Községgazd!S155+Vagyongazd!P140+Közút!P140+Sport!P142+Közművelődés!R181+Támogatás!V155</f>
        <v>0</v>
      </c>
      <c r="R140" s="1">
        <f>Igazgatás!Q165+Községgazd!T155+Vagyongazd!Q140+Közút!Q140+Sport!Q142+Közművelődés!S181+Támogatás!W155</f>
        <v>0</v>
      </c>
      <c r="S140" s="78">
        <f>Igazgatás!R165+Községgazd!U155+Vagyongazd!R140+Közút!R140+Sport!R142+Közművelődés!T181+Támogatás!X155</f>
        <v>0</v>
      </c>
      <c r="T140" s="78">
        <f>Igazgatás!S165+Községgazd!V155+Vagyongazd!S140+Közút!S140+Sport!S142+Közművelődés!U181+Támogatás!Y155</f>
        <v>0</v>
      </c>
      <c r="U140" s="44">
        <f>Igazgatás!T165+Községgazd!W155+Vagyongazd!T140+Közút!T140+Sport!T142+Közművelődés!V181+Támogatás!Z155</f>
        <v>0</v>
      </c>
      <c r="V140" s="343">
        <f>Igazgatás!U165+Községgazd!X155+Vagyongazd!U140+Közút!U140+Sport!U142+Közművelődés!W181+Támogatás!AA155</f>
        <v>0</v>
      </c>
      <c r="W140" s="78">
        <f>Igazgatás!V165+Községgazd!Y155+Vagyongazd!V140+Közút!V140+Sport!V142+Közművelődés!X181+Támogatás!AB155</f>
        <v>0</v>
      </c>
      <c r="X140" s="78">
        <f>Igazgatás!W165+Községgazd!Z155+Vagyongazd!W140+Közút!W140+Sport!W142+Közművelődés!Y181+Támogatás!AC155</f>
        <v>0</v>
      </c>
      <c r="Y140" s="44">
        <f>Igazgatás!X165+Községgazd!AA155+Vagyongazd!X140+Közút!X140+Sport!X142+Közművelődés!Z181+Támogatás!AD155</f>
        <v>0</v>
      </c>
      <c r="AB140" s="180"/>
    </row>
    <row r="141" spans="1:28" ht="25.5" hidden="1" customHeight="1" x14ac:dyDescent="0.25">
      <c r="B141" s="54"/>
      <c r="C141" s="2"/>
      <c r="D141" s="625" t="s">
        <v>536</v>
      </c>
      <c r="E141" s="625"/>
      <c r="F141" s="159" t="e">
        <v>#REF!</v>
      </c>
      <c r="G141" s="343" t="e">
        <v>#REF!</v>
      </c>
      <c r="H141" s="343" t="e">
        <v>#REF!</v>
      </c>
      <c r="I141" s="343" t="e">
        <v>#REF!</v>
      </c>
      <c r="J141" s="343" t="e">
        <v>#REF!</v>
      </c>
      <c r="K141" s="242" t="e">
        <f>Igazgatás!J166+Községgazd!J156+Vagyongazd!#REF!+Közút!J141+Sport!J143+Közművelődés!J182+Támogatás!J156</f>
        <v>#REF!</v>
      </c>
      <c r="L141" s="151" t="e">
        <f>Igazgatás!K166+Községgazd!K156+Vagyongazd!#REF!+Közút!K141+Sport!K143+Közművelődés!K182+Támogatás!K156</f>
        <v>#REF!</v>
      </c>
      <c r="M141" s="159" t="e">
        <f>Igazgatás!L166+Községgazd!L156+Vagyongazd!#REF!+Közút!L141+Sport!L143+Közművelődés!L182+Támogatás!L156</f>
        <v>#REF!</v>
      </c>
      <c r="N141" s="72">
        <f>Igazgatás!M166+Községgazd!P156+Vagyongazd!M141+Közút!M141+Sport!M143+Közművelődés!O182+Támogatás!S156</f>
        <v>0</v>
      </c>
      <c r="O141" s="1">
        <f>Igazgatás!N166+Községgazd!Q156+Vagyongazd!N141+Közút!N141+Sport!N143+Közművelődés!P182+Támogatás!T156</f>
        <v>0</v>
      </c>
      <c r="P141" s="78">
        <f>Igazgatás!O166+Községgazd!R156+Vagyongazd!O141+Közút!O141+Sport!O143+Közművelődés!Q182+Támogatás!U156</f>
        <v>0</v>
      </c>
      <c r="Q141" s="78">
        <f>Igazgatás!P166+Községgazd!S156+Vagyongazd!P141+Közút!P141+Sport!P143+Közművelődés!R182+Támogatás!V156</f>
        <v>0</v>
      </c>
      <c r="R141" s="1">
        <f>Igazgatás!Q166+Községgazd!T156+Vagyongazd!Q141+Közút!Q141+Sport!Q143+Közművelődés!S182+Támogatás!W156</f>
        <v>0</v>
      </c>
      <c r="S141" s="78">
        <f>Igazgatás!R166+Községgazd!U156+Vagyongazd!R141+Közút!R141+Sport!R143+Közművelődés!T182+Támogatás!X156</f>
        <v>0</v>
      </c>
      <c r="T141" s="78">
        <f>Igazgatás!S166+Községgazd!V156+Vagyongazd!S141+Közút!S141+Sport!S143+Közművelődés!U182+Támogatás!Y156</f>
        <v>0</v>
      </c>
      <c r="U141" s="44">
        <f>Igazgatás!T166+Községgazd!W156+Vagyongazd!T141+Közút!T141+Sport!T143+Közművelődés!V182+Támogatás!Z156</f>
        <v>0</v>
      </c>
      <c r="V141" s="343">
        <f>Igazgatás!U166+Községgazd!X156+Vagyongazd!U141+Közút!U141+Sport!U143+Közművelődés!W182+Támogatás!AA156</f>
        <v>0</v>
      </c>
      <c r="W141" s="78">
        <f>Igazgatás!V166+Községgazd!Y156+Vagyongazd!V141+Közút!V141+Sport!V143+Közművelődés!X182+Támogatás!AB156</f>
        <v>0</v>
      </c>
      <c r="X141" s="78">
        <f>Igazgatás!W166+Községgazd!Z156+Vagyongazd!W141+Közút!W141+Sport!W143+Közművelődés!Y182+Támogatás!AC156</f>
        <v>0</v>
      </c>
      <c r="Y141" s="44">
        <f>Igazgatás!X166+Községgazd!AA156+Vagyongazd!X141+Közút!X141+Sport!X143+Közművelődés!Z182+Támogatás!AD156</f>
        <v>0</v>
      </c>
      <c r="AB141" s="180"/>
    </row>
    <row r="142" spans="1:28" ht="25.5" hidden="1" customHeight="1" x14ac:dyDescent="0.25">
      <c r="B142" s="54"/>
      <c r="C142" s="2"/>
      <c r="D142" s="625" t="s">
        <v>539</v>
      </c>
      <c r="E142" s="625"/>
      <c r="F142" s="159" t="e">
        <v>#REF!</v>
      </c>
      <c r="G142" s="343" t="e">
        <v>#REF!</v>
      </c>
      <c r="H142" s="343" t="e">
        <v>#REF!</v>
      </c>
      <c r="I142" s="343" t="e">
        <v>#REF!</v>
      </c>
      <c r="J142" s="343" t="e">
        <v>#REF!</v>
      </c>
      <c r="K142" s="242" t="e">
        <f>Igazgatás!J167+Községgazd!J157+Vagyongazd!#REF!+Közút!J142+Sport!J144+Közművelődés!J183+Támogatás!J157</f>
        <v>#REF!</v>
      </c>
      <c r="L142" s="151" t="e">
        <f>Igazgatás!K167+Községgazd!K157+Vagyongazd!#REF!+Közút!K142+Sport!K144+Közművelődés!K183+Támogatás!K157</f>
        <v>#REF!</v>
      </c>
      <c r="M142" s="159" t="e">
        <f>Igazgatás!L167+Községgazd!L157+Vagyongazd!#REF!+Közút!L142+Sport!L144+Közművelődés!L183+Támogatás!L157</f>
        <v>#REF!</v>
      </c>
      <c r="N142" s="72">
        <f>Igazgatás!M167+Községgazd!P157+Vagyongazd!M142+Közút!M142+Sport!M144+Közművelődés!O183+Támogatás!S157</f>
        <v>0</v>
      </c>
      <c r="O142" s="1">
        <f>Igazgatás!N167+Községgazd!Q157+Vagyongazd!N142+Közút!N142+Sport!N144+Közművelődés!P183+Támogatás!T157</f>
        <v>0</v>
      </c>
      <c r="P142" s="78">
        <f>Igazgatás!O167+Községgazd!R157+Vagyongazd!O142+Közút!O142+Sport!O144+Közművelődés!Q183+Támogatás!U157</f>
        <v>0</v>
      </c>
      <c r="Q142" s="78">
        <f>Igazgatás!P167+Községgazd!S157+Vagyongazd!P142+Közút!P142+Sport!P144+Közművelődés!R183+Támogatás!V157</f>
        <v>0</v>
      </c>
      <c r="R142" s="1">
        <f>Igazgatás!Q167+Községgazd!T157+Vagyongazd!Q142+Közút!Q142+Sport!Q144+Közművelődés!S183+Támogatás!W157</f>
        <v>0</v>
      </c>
      <c r="S142" s="78">
        <f>Igazgatás!R167+Községgazd!U157+Vagyongazd!R142+Közút!R142+Sport!R144+Közművelődés!T183+Támogatás!X157</f>
        <v>0</v>
      </c>
      <c r="T142" s="78">
        <f>Igazgatás!S167+Községgazd!V157+Vagyongazd!S142+Közút!S142+Sport!S144+Közművelődés!U183+Támogatás!Y157</f>
        <v>0</v>
      </c>
      <c r="U142" s="44">
        <f>Igazgatás!T167+Községgazd!W157+Vagyongazd!T142+Közút!T142+Sport!T144+Közművelődés!V183+Támogatás!Z157</f>
        <v>0</v>
      </c>
      <c r="V142" s="343">
        <f>Igazgatás!U167+Községgazd!X157+Vagyongazd!U142+Közút!U142+Sport!U144+Közművelődés!W183+Támogatás!AA157</f>
        <v>0</v>
      </c>
      <c r="W142" s="78">
        <f>Igazgatás!V167+Községgazd!Y157+Vagyongazd!V142+Közút!V142+Sport!V144+Közművelődés!X183+Támogatás!AB157</f>
        <v>0</v>
      </c>
      <c r="X142" s="78">
        <f>Igazgatás!W167+Községgazd!Z157+Vagyongazd!W142+Közút!W142+Sport!W144+Közművelődés!Y183+Támogatás!AC157</f>
        <v>0</v>
      </c>
      <c r="Y142" s="44">
        <f>Igazgatás!X167+Községgazd!AA157+Vagyongazd!X142+Közút!X142+Sport!X144+Közművelődés!Z183+Támogatás!AD157</f>
        <v>0</v>
      </c>
      <c r="AB142" s="180"/>
    </row>
    <row r="143" spans="1:28" ht="15" hidden="1" customHeight="1" x14ac:dyDescent="0.25">
      <c r="B143" s="54"/>
      <c r="C143" s="2"/>
      <c r="D143" s="624" t="s">
        <v>365</v>
      </c>
      <c r="E143" s="624"/>
      <c r="F143" s="159" t="e">
        <v>#REF!</v>
      </c>
      <c r="G143" s="343" t="e">
        <v>#REF!</v>
      </c>
      <c r="H143" s="343" t="e">
        <v>#REF!</v>
      </c>
      <c r="I143" s="343" t="e">
        <v>#REF!</v>
      </c>
      <c r="J143" s="343" t="e">
        <v>#REF!</v>
      </c>
      <c r="K143" s="232" t="e">
        <f>Igazgatás!J168+Községgazd!J158+Vagyongazd!#REF!+Közút!J143+Sport!J145+Közművelődés!J184+Támogatás!J158</f>
        <v>#REF!</v>
      </c>
      <c r="L143" s="141" t="e">
        <f>Igazgatás!K168+Községgazd!K158+Vagyongazd!#REF!+Közút!K143+Sport!K145+Közművelődés!K184+Támogatás!K158</f>
        <v>#REF!</v>
      </c>
      <c r="M143" s="159" t="e">
        <f>Igazgatás!L168+Községgazd!L158+Vagyongazd!#REF!+Közút!L143+Sport!L145+Közművelődés!L184+Támogatás!L158</f>
        <v>#REF!</v>
      </c>
      <c r="N143" s="72">
        <f>Igazgatás!M168+Községgazd!P158+Vagyongazd!M143+Közút!M143+Sport!M145+Közművelődés!O184+Támogatás!S158</f>
        <v>0</v>
      </c>
      <c r="O143" s="1">
        <f>Igazgatás!N168+Községgazd!Q158+Vagyongazd!N143+Közút!N143+Sport!N145+Közművelődés!P184+Támogatás!T158</f>
        <v>0</v>
      </c>
      <c r="P143" s="78">
        <f>Igazgatás!O168+Községgazd!R158+Vagyongazd!O143+Közút!O143+Sport!O145+Közművelődés!Q184+Támogatás!U158</f>
        <v>0</v>
      </c>
      <c r="Q143" s="78">
        <f>Igazgatás!P168+Községgazd!S158+Vagyongazd!P143+Közút!P143+Sport!P145+Közművelődés!R184+Támogatás!V158</f>
        <v>0</v>
      </c>
      <c r="R143" s="1">
        <f>Igazgatás!Q168+Községgazd!T158+Vagyongazd!Q143+Közút!Q143+Sport!Q145+Közművelődés!S184+Támogatás!W158</f>
        <v>0</v>
      </c>
      <c r="S143" s="78">
        <f>Igazgatás!R168+Községgazd!U158+Vagyongazd!R143+Közút!R143+Sport!R145+Közművelődés!T184+Támogatás!X158</f>
        <v>0</v>
      </c>
      <c r="T143" s="78">
        <f>Igazgatás!S168+Községgazd!V158+Vagyongazd!S143+Közút!S143+Sport!S145+Közművelődés!U184+Támogatás!Y158</f>
        <v>0</v>
      </c>
      <c r="U143" s="44">
        <f>Igazgatás!T168+Községgazd!W158+Vagyongazd!T143+Közút!T143+Sport!T145+Közművelődés!V184+Támogatás!Z158</f>
        <v>0</v>
      </c>
      <c r="V143" s="343">
        <f>Igazgatás!U168+Községgazd!X158+Vagyongazd!U143+Közút!U143+Sport!U145+Közművelődés!W184+Támogatás!AA158</f>
        <v>0</v>
      </c>
      <c r="W143" s="78">
        <f>Igazgatás!V168+Községgazd!Y158+Vagyongazd!V143+Közút!V143+Sport!V145+Közművelődés!X184+Támogatás!AB158</f>
        <v>0</v>
      </c>
      <c r="X143" s="78">
        <f>Igazgatás!W168+Községgazd!Z158+Vagyongazd!W143+Közút!W143+Sport!W145+Közművelődés!Y184+Támogatás!AC158</f>
        <v>0</v>
      </c>
      <c r="Y143" s="44">
        <f>Igazgatás!X168+Községgazd!AA158+Vagyongazd!X143+Közút!X143+Sport!X145+Közművelődés!Z184+Támogatás!AD158</f>
        <v>0</v>
      </c>
      <c r="AB143" s="180"/>
    </row>
    <row r="144" spans="1:28" ht="25.5" hidden="1" customHeight="1" x14ac:dyDescent="0.25">
      <c r="B144" s="54"/>
      <c r="C144" s="2"/>
      <c r="D144" s="625" t="s">
        <v>542</v>
      </c>
      <c r="E144" s="625"/>
      <c r="F144" s="159" t="e">
        <v>#REF!</v>
      </c>
      <c r="G144" s="343" t="e">
        <v>#REF!</v>
      </c>
      <c r="H144" s="343" t="e">
        <v>#REF!</v>
      </c>
      <c r="I144" s="343" t="e">
        <v>#REF!</v>
      </c>
      <c r="J144" s="343" t="e">
        <v>#REF!</v>
      </c>
      <c r="K144" s="242" t="e">
        <f>Igazgatás!J169+Községgazd!J159+Vagyongazd!#REF!+Közút!J144+Sport!J146+Közművelődés!J185+Támogatás!J159</f>
        <v>#REF!</v>
      </c>
      <c r="L144" s="151" t="e">
        <f>Igazgatás!K169+Községgazd!K159+Vagyongazd!#REF!+Közút!K144+Sport!K146+Közművelődés!K185+Támogatás!K159</f>
        <v>#REF!</v>
      </c>
      <c r="M144" s="159" t="e">
        <f>Igazgatás!L169+Községgazd!L159+Vagyongazd!#REF!+Közút!L144+Sport!L146+Közművelődés!L185+Támogatás!L159</f>
        <v>#REF!</v>
      </c>
      <c r="N144" s="72">
        <f>Igazgatás!M169+Községgazd!P159+Vagyongazd!M144+Közút!M144+Sport!M146+Közművelődés!O185+Támogatás!S159</f>
        <v>0</v>
      </c>
      <c r="O144" s="1">
        <f>Igazgatás!N169+Községgazd!Q159+Vagyongazd!N144+Közút!N144+Sport!N146+Közművelődés!P185+Támogatás!T159</f>
        <v>0</v>
      </c>
      <c r="P144" s="78">
        <f>Igazgatás!O169+Községgazd!R159+Vagyongazd!O144+Közút!O144+Sport!O146+Közművelődés!Q185+Támogatás!U159</f>
        <v>0</v>
      </c>
      <c r="Q144" s="78">
        <f>Igazgatás!P169+Községgazd!S159+Vagyongazd!P144+Közút!P144+Sport!P146+Közművelődés!R185+Támogatás!V159</f>
        <v>0</v>
      </c>
      <c r="R144" s="1">
        <f>Igazgatás!Q169+Községgazd!T159+Vagyongazd!Q144+Közút!Q144+Sport!Q146+Közművelődés!S185+Támogatás!W159</f>
        <v>0</v>
      </c>
      <c r="S144" s="78">
        <f>Igazgatás!R169+Községgazd!U159+Vagyongazd!R144+Közút!R144+Sport!R146+Közművelődés!T185+Támogatás!X159</f>
        <v>0</v>
      </c>
      <c r="T144" s="78">
        <f>Igazgatás!S169+Községgazd!V159+Vagyongazd!S144+Közút!S144+Sport!S146+Közművelődés!U185+Támogatás!Y159</f>
        <v>0</v>
      </c>
      <c r="U144" s="44">
        <f>Igazgatás!T169+Községgazd!W159+Vagyongazd!T144+Közút!T144+Sport!T146+Közművelődés!V185+Támogatás!Z159</f>
        <v>0</v>
      </c>
      <c r="V144" s="343">
        <f>Igazgatás!U169+Községgazd!X159+Vagyongazd!U144+Közút!U144+Sport!U146+Közművelődés!W185+Támogatás!AA159</f>
        <v>0</v>
      </c>
      <c r="W144" s="78">
        <f>Igazgatás!V169+Községgazd!Y159+Vagyongazd!V144+Közút!V144+Sport!V146+Közművelődés!X185+Támogatás!AB159</f>
        <v>0</v>
      </c>
      <c r="X144" s="78">
        <f>Igazgatás!W169+Községgazd!Z159+Vagyongazd!W144+Közút!W144+Sport!W146+Közművelődés!Y185+Támogatás!AC159</f>
        <v>0</v>
      </c>
      <c r="Y144" s="44">
        <f>Igazgatás!X169+Községgazd!AA159+Vagyongazd!X144+Közút!X144+Sport!X146+Közművelődés!Z185+Támogatás!AD159</f>
        <v>0</v>
      </c>
      <c r="AB144" s="180"/>
    </row>
    <row r="145" spans="1:28" ht="15" hidden="1" customHeight="1" x14ac:dyDescent="0.25">
      <c r="B145" s="54"/>
      <c r="C145" s="2"/>
      <c r="D145" s="624" t="s">
        <v>543</v>
      </c>
      <c r="E145" s="624"/>
      <c r="F145" s="159" t="e">
        <v>#REF!</v>
      </c>
      <c r="G145" s="343" t="e">
        <v>#REF!</v>
      </c>
      <c r="H145" s="343" t="e">
        <v>#REF!</v>
      </c>
      <c r="I145" s="343" t="e">
        <v>#REF!</v>
      </c>
      <c r="J145" s="343" t="e">
        <v>#REF!</v>
      </c>
      <c r="K145" s="232" t="e">
        <f>Igazgatás!J170+Községgazd!J160+Vagyongazd!#REF!+Közút!J145+Sport!J147+Közművelődés!J186+Támogatás!J160</f>
        <v>#REF!</v>
      </c>
      <c r="L145" s="141" t="e">
        <f>Igazgatás!K170+Községgazd!K160+Vagyongazd!#REF!+Közút!K145+Sport!K147+Közművelődés!K186+Támogatás!K160</f>
        <v>#REF!</v>
      </c>
      <c r="M145" s="159" t="e">
        <f>Igazgatás!L170+Községgazd!L160+Vagyongazd!#REF!+Közút!L145+Sport!L147+Közművelődés!L186+Támogatás!L160</f>
        <v>#REF!</v>
      </c>
      <c r="N145" s="72">
        <f>Igazgatás!M170+Községgazd!P160+Vagyongazd!M145+Közút!M145+Sport!M147+Közművelődés!O186+Támogatás!S160</f>
        <v>0</v>
      </c>
      <c r="O145" s="1">
        <f>Igazgatás!N170+Községgazd!Q160+Vagyongazd!N145+Közút!N145+Sport!N147+Közművelődés!P186+Támogatás!T160</f>
        <v>0</v>
      </c>
      <c r="P145" s="78">
        <f>Igazgatás!O170+Községgazd!R160+Vagyongazd!O145+Közút!O145+Sport!O147+Közművelődés!Q186+Támogatás!U160</f>
        <v>0</v>
      </c>
      <c r="Q145" s="78">
        <f>Igazgatás!P170+Községgazd!S160+Vagyongazd!P145+Közút!P145+Sport!P147+Közművelődés!R186+Támogatás!V160</f>
        <v>0</v>
      </c>
      <c r="R145" s="1">
        <f>Igazgatás!Q170+Községgazd!T160+Vagyongazd!Q145+Közút!Q145+Sport!Q147+Közművelődés!S186+Támogatás!W160</f>
        <v>0</v>
      </c>
      <c r="S145" s="78">
        <f>Igazgatás!R170+Községgazd!U160+Vagyongazd!R145+Közút!R145+Sport!R147+Közművelődés!T186+Támogatás!X160</f>
        <v>0</v>
      </c>
      <c r="T145" s="78">
        <f>Igazgatás!S170+Községgazd!V160+Vagyongazd!S145+Közút!S145+Sport!S147+Közművelődés!U186+Támogatás!Y160</f>
        <v>0</v>
      </c>
      <c r="U145" s="44">
        <f>Igazgatás!T170+Községgazd!W160+Vagyongazd!T145+Közút!T145+Sport!T147+Közművelődés!V186+Támogatás!Z160</f>
        <v>0</v>
      </c>
      <c r="V145" s="343">
        <f>Igazgatás!U170+Községgazd!X160+Vagyongazd!U145+Közút!U145+Sport!U147+Közművelődés!W186+Támogatás!AA160</f>
        <v>0</v>
      </c>
      <c r="W145" s="78">
        <f>Igazgatás!V170+Községgazd!Y160+Vagyongazd!V145+Közút!V145+Sport!V147+Közművelődés!X186+Támogatás!AB160</f>
        <v>0</v>
      </c>
      <c r="X145" s="78">
        <f>Igazgatás!W170+Községgazd!Z160+Vagyongazd!W145+Közút!W145+Sport!W147+Közművelődés!Y186+Támogatás!AC160</f>
        <v>0</v>
      </c>
      <c r="Y145" s="44">
        <f>Igazgatás!X170+Községgazd!AA160+Vagyongazd!X145+Közút!X145+Sport!X147+Közművelődés!Z186+Támogatás!AD160</f>
        <v>0</v>
      </c>
      <c r="AB145" s="180"/>
    </row>
    <row r="146" spans="1:28" s="41" customFormat="1" ht="15.75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6870485</v>
      </c>
      <c r="G146" s="162">
        <v>5101117</v>
      </c>
      <c r="H146" s="162">
        <v>6627741</v>
      </c>
      <c r="I146" s="160">
        <v>3909135</v>
      </c>
      <c r="J146" s="160">
        <v>2931621</v>
      </c>
      <c r="K146" s="162">
        <f>Igazgatás!J171+Községgazd!J161+Vagyongazd!J146+Szennyvíz!I145+Közút!J146+Sport!J148+Közművelődés!J187+Támogatás!J161</f>
        <v>934913</v>
      </c>
      <c r="L146" s="162">
        <f>Igazgatás!K171+Községgazd!K161+Vagyongazd!K146+Szennyvíz!J145+Közút!K146+Sport!K148+Közművelődés!K187+Támogatás!K161</f>
        <v>0</v>
      </c>
      <c r="M146" s="162">
        <f>SUM(K146:L146)</f>
        <v>934913</v>
      </c>
      <c r="N146" s="102">
        <f>Igazgatás!M171+Községgazd!P161+Vagyongazd!M146+Közút!M146+Sport!M148+Közművelődés!O187+Támogatás!S161</f>
        <v>0</v>
      </c>
      <c r="O146" s="103">
        <f>Igazgatás!N171+Községgazd!Q161+Vagyongazd!N146+Közút!N146+Sport!N148+Közművelődés!P187+Támogatás!T161</f>
        <v>0</v>
      </c>
      <c r="P146" s="106">
        <f>Igazgatás!O171+Községgazd!R161+Vagyongazd!O146+Közút!O146+Sport!O148+Közművelődés!Q187+Támogatás!U161</f>
        <v>0</v>
      </c>
      <c r="Q146" s="106">
        <f>Igazgatás!P171+Községgazd!S161+Vagyongazd!P146+Közút!P146+Sport!P148+Közművelődés!R187+Támogatás!V161</f>
        <v>0</v>
      </c>
      <c r="R146" s="103">
        <f>Igazgatás!Q171+Községgazd!T161+Vagyongazd!Q146+Közút!Q146+Sport!Q148+Közművelődés!S187+Támogatás!W161</f>
        <v>0</v>
      </c>
      <c r="S146" s="106">
        <f>Igazgatás!R171+Községgazd!U161+Vagyongazd!R146+Közút!R146+Sport!R148+Közművelődés!T187+Támogatás!X161</f>
        <v>0</v>
      </c>
      <c r="T146" s="106">
        <f>Igazgatás!S171+Községgazd!V161+Vagyongazd!S146+Közút!S146+Sport!S148+Közművelődés!U187+Támogatás!Y161</f>
        <v>0</v>
      </c>
      <c r="U146" s="107">
        <f>Igazgatás!T171+Községgazd!W161+Vagyongazd!T146+Közút!T146+Sport!T148+Közművelődés!V187+Támogatás!Z161</f>
        <v>0</v>
      </c>
      <c r="V146" s="345">
        <f>Igazgatás!U171+Községgazd!X161+Vagyongazd!U146+Közút!U146+Sport!U148+Közművelődés!W187+Támogatás!AA161</f>
        <v>0</v>
      </c>
      <c r="W146" s="106">
        <f>Igazgatás!V171+Községgazd!Y161+Vagyongazd!V146+Közút!V146+Sport!V148+Közművelődés!X187+Támogatás!AB161</f>
        <v>185479</v>
      </c>
      <c r="X146" s="106">
        <f>Igazgatás!W171+Községgazd!Z161+Vagyongazd!W146+Közút!W146+Sport!W148+Közművelődés!Y187+Támogatás!AC161</f>
        <v>0</v>
      </c>
      <c r="Y146" s="107">
        <f>Igazgatás!X171+Községgazd!AA161+Vagyongazd!X146+Szennyvíz!W145+Közút!X146+Sport!X148+Közművelődés!Z187+Támogatás!AD161</f>
        <v>2331637</v>
      </c>
      <c r="AB146" s="180"/>
    </row>
    <row r="147" spans="1:28" ht="15.75" thickBot="1" x14ac:dyDescent="0.3">
      <c r="B147" s="96" t="s">
        <v>245</v>
      </c>
      <c r="C147" s="632" t="s">
        <v>246</v>
      </c>
      <c r="D147" s="633"/>
      <c r="E147" s="633"/>
      <c r="F147" s="156">
        <v>39980582</v>
      </c>
      <c r="G147" s="156">
        <v>40480582</v>
      </c>
      <c r="H147" s="156">
        <v>40507582</v>
      </c>
      <c r="I147" s="571">
        <v>40070782</v>
      </c>
      <c r="J147" s="571">
        <f>J149+J153+J156</f>
        <v>73956039</v>
      </c>
      <c r="K147" s="156">
        <f>Igazgatás!J175+Községgazd!J162+Vagyongazd!J147+Szennyvíz!I146+Közút!J147+Sport!J149+Közművelődés!J188+Támogatás!J162</f>
        <v>74266039</v>
      </c>
      <c r="L147" s="156">
        <f>Igazgatás!K175+Községgazd!K162+Vagyongazd!K147+Szennyvíz!J146+Közút!K147+Sport!K149+Közművelődés!K188+Támogatás!K162</f>
        <v>0</v>
      </c>
      <c r="M147" s="156">
        <f>M149+M153+M156</f>
        <v>74266039</v>
      </c>
      <c r="N147" s="82">
        <f>Igazgatás!M175+Községgazd!P162+Vagyongazd!M147+Közút!M147+Sport!M149+Közművelődés!O188+Támogatás!S162</f>
        <v>0</v>
      </c>
      <c r="O147" s="83">
        <f>Igazgatás!N175+Községgazd!Q162+Vagyongazd!N147+Közút!N147+Sport!N149+Közművelődés!P188+Támogatás!T162</f>
        <v>27000</v>
      </c>
      <c r="P147" s="86">
        <f>Igazgatás!O175+Községgazd!R162+Vagyongazd!O147+Közút!O147+Sport!O149+Közművelődés!Q188+Támogatás!U162</f>
        <v>0</v>
      </c>
      <c r="Q147" s="86">
        <f>Igazgatás!P175+Községgazd!S162+Vagyongazd!P147+Közút!P147+Sport!P149+Közművelődés!R188+Támogatás!V162</f>
        <v>54475</v>
      </c>
      <c r="R147" s="83">
        <f>Igazgatás!Q175+Községgazd!T162+Vagyongazd!Q147+Közút!Q147+Sport!Q149+Közművelődés!S188+Támogatás!W162</f>
        <v>18990</v>
      </c>
      <c r="S147" s="86">
        <f>Igazgatás!R175+Községgazd!U162+Vagyongazd!R147+Szennyvíz!Q146+Közút!R147+Sport!R149+Közművelődés!T188+Támogatás!X162</f>
        <v>33766267</v>
      </c>
      <c r="T147" s="86">
        <f>Igazgatás!S175+Községgazd!V162+Vagyongazd!S147+Szennyvíz!R146+Közút!S147+Sport!S149+Közművelődés!U188+Támogatás!Y162</f>
        <v>0</v>
      </c>
      <c r="U147" s="87">
        <f>Igazgatás!T175+Községgazd!W162+Vagyongazd!T147+Közút!T147+Sport!T149+Közművelődés!V188+Támogatás!Z162</f>
        <v>0</v>
      </c>
      <c r="V147" s="338">
        <f>Igazgatás!U175+Községgazd!X162+Vagyongazd!U147+Szennyvíz!T146+Közút!U147+Sport!U149+Közművelődés!W188+Támogatás!AA162</f>
        <v>73855</v>
      </c>
      <c r="W147" s="86">
        <f>Igazgatás!V175+Községgazd!Y162+Vagyongazd!V147+Közút!V147+Sport!V149+Közművelődés!X188+Támogatás!AB162</f>
        <v>0</v>
      </c>
      <c r="X147" s="86">
        <f>Igazgatás!W175+Községgazd!Z162+Vagyongazd!W147+Közút!W147+Sport!W149+Közművelődés!Y188+Támogatás!AC162</f>
        <v>310000</v>
      </c>
      <c r="Y147" s="87">
        <f>Igazgatás!X175+Községgazd!AA162+Vagyongazd!X147+Szennyvíz!W146+Közút!X147+Sport!X149+Közművelődés!Z188+Támogatás!AD162</f>
        <v>39915452</v>
      </c>
      <c r="AB147" s="180"/>
    </row>
    <row r="148" spans="1:28" s="18" customFormat="1" hidden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158">
        <v>0</v>
      </c>
      <c r="H148" s="158">
        <v>0</v>
      </c>
      <c r="I148" s="256">
        <v>0</v>
      </c>
      <c r="J148" s="256">
        <v>0</v>
      </c>
      <c r="K148" s="158">
        <f>Igazgatás!J176+Községgazd!J163+Közút!J148+Sport!J150+Közművelődés!J189+Támogatás!J163</f>
        <v>0</v>
      </c>
      <c r="L148" s="158">
        <f>Igazgatás!K176+Községgazd!K163+Közút!K148+Sport!K150+Közművelődés!K189+Támogatás!K163</f>
        <v>0</v>
      </c>
      <c r="M148" s="158">
        <f>Igazgatás!L176+Községgazd!L163+Közút!L148+Sport!L150+Közművelődés!L189+Támogatás!L163</f>
        <v>0</v>
      </c>
      <c r="N148" s="90">
        <f>Igazgatás!M176+Községgazd!P163+Vagyongazd!M148+Közút!M148+Sport!M150+Közművelődés!O189+Támogatás!S163</f>
        <v>0</v>
      </c>
      <c r="O148" s="91">
        <f>Igazgatás!N176+Községgazd!Q163+Vagyongazd!N148+Közút!N148+Sport!N150+Közművelődés!P189+Támogatás!T163</f>
        <v>0</v>
      </c>
      <c r="P148" s="94">
        <f>Igazgatás!O176+Községgazd!R163+Vagyongazd!O148+Közút!O148+Sport!O150+Közművelődés!Q189+Támogatás!U163</f>
        <v>0</v>
      </c>
      <c r="Q148" s="94">
        <f>Igazgatás!P176+Községgazd!S163+Vagyongazd!P148+Közút!P148+Sport!P150+Közművelődés!R189+Támogatás!V163</f>
        <v>0</v>
      </c>
      <c r="R148" s="91">
        <f>Igazgatás!Q176+Községgazd!T163+Vagyongazd!Q148+Közút!Q148+Sport!Q150+Közművelődés!S189+Támogatás!W163</f>
        <v>0</v>
      </c>
      <c r="S148" s="94">
        <f>Igazgatás!R176+Községgazd!U163+Vagyongazd!R148+Közút!R148+Sport!R150+Közművelődés!T189+Támogatás!X163</f>
        <v>0</v>
      </c>
      <c r="T148" s="94">
        <f>Igazgatás!S176+Községgazd!V163+Vagyongazd!S148+Közút!S148+Sport!S150+Közművelődés!U189+Támogatás!Y163</f>
        <v>0</v>
      </c>
      <c r="U148" s="95">
        <f>Igazgatás!T176+Községgazd!W163+Vagyongazd!T148+Közút!T148+Sport!T150+Közművelődés!V189+Támogatás!Z163</f>
        <v>0</v>
      </c>
      <c r="V148" s="341">
        <f>Igazgatás!U176+Községgazd!X163+Vagyongazd!U148+Közút!U148+Sport!U150+Közművelődés!W189+Támogatás!AA163</f>
        <v>0</v>
      </c>
      <c r="W148" s="94">
        <f>Igazgatás!V176+Községgazd!Y163+Vagyongazd!V148+Közút!V148+Sport!V150+Közművelődés!X189+Támogatás!AB163</f>
        <v>0</v>
      </c>
      <c r="X148" s="94">
        <f>Igazgatás!W176+Községgazd!Z163+Vagyongazd!W148+Közút!W148+Sport!W150+Közművelődés!Y189+Támogatás!AC163</f>
        <v>0</v>
      </c>
      <c r="Y148" s="95">
        <f>Igazgatás!X176+Községgazd!AA163+Vagyongazd!X148+Közút!X148+Sport!X150+Közművelődés!Z189+Támogatás!AD163</f>
        <v>0</v>
      </c>
      <c r="AB148" s="180"/>
    </row>
    <row r="149" spans="1:28" s="18" customForma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29203410</v>
      </c>
      <c r="G149" s="158">
        <v>29203410</v>
      </c>
      <c r="H149" s="158">
        <v>29230410</v>
      </c>
      <c r="I149" s="256">
        <v>29243610</v>
      </c>
      <c r="J149" s="256">
        <v>55831222</v>
      </c>
      <c r="K149" s="158">
        <f>Igazgatás!J177+Községgazd!J164+Vagyongazd!J149+Szennyvíz!I148+Közút!J149+Sport!J151+Közművelődés!J190+Támogatás!J164</f>
        <v>55831222</v>
      </c>
      <c r="L149" s="158">
        <f>Igazgatás!K177+Községgazd!K164+Vagyongazd!K149+Szennyvíz!J148+Közút!K149+Sport!K151+Közművelődés!K190+Támogatás!K164</f>
        <v>0</v>
      </c>
      <c r="M149" s="158">
        <f>Igazgatás!L177+Községgazd!L164+Vagyongazd!L149+Szennyvíz!K148+Közút!L149+Sport!L151+Közművelődés!L190+Támogatás!L164</f>
        <v>55831222</v>
      </c>
      <c r="N149" s="90">
        <f>Igazgatás!M177+Községgazd!P164+Vagyongazd!M149+Közút!M149+Sport!M151+Közművelődés!O190+Támogatás!S164</f>
        <v>0</v>
      </c>
      <c r="O149" s="91">
        <f>Igazgatás!N177+Községgazd!Q164+Vagyongazd!N149+Közút!N149+Sport!N151+Közművelődés!P190+Támogatás!T164</f>
        <v>27000</v>
      </c>
      <c r="P149" s="94">
        <f>Igazgatás!O177+Községgazd!R164+Vagyongazd!O149+Közút!O149+Sport!O151+Közművelődés!Q190+Támogatás!U164</f>
        <v>0</v>
      </c>
      <c r="Q149" s="94">
        <f>Igazgatás!P177+Községgazd!S164+Vagyongazd!P149+Közút!P149+Sport!P151+Közművelődés!R190+Támogatás!V164</f>
        <v>13200</v>
      </c>
      <c r="R149" s="91">
        <f>Igazgatás!Q177+Községgazd!T164+Vagyongazd!Q149+Közút!Q149+Sport!Q151+Közművelődés!S190+Támogatás!W164</f>
        <v>0</v>
      </c>
      <c r="S149" s="94">
        <f>Igazgatás!R177+Községgazd!U164+Vagyongazd!R149+Szennyvíz!Q148+Közút!R149+Sport!R151+Közművelődés!T190+Támogatás!X164</f>
        <v>26587612</v>
      </c>
      <c r="T149" s="94">
        <f>Igazgatás!S177+Községgazd!V164+Vagyongazd!S149+Szennyvíz!R148+Közút!S149+Sport!S151+Közművelődés!U190+Támogatás!Y164</f>
        <v>0</v>
      </c>
      <c r="U149" s="95">
        <f>Igazgatás!T177+Községgazd!W164+Vagyongazd!T149+Közút!T149+Sport!T151+Közművelődés!V190+Támogatás!Z164</f>
        <v>0</v>
      </c>
      <c r="V149" s="341">
        <f>Igazgatás!U177+Községgazd!X164+Vagyongazd!U149+Szennyvíz!T148+Közút!U149+Sport!U151+Közművelődés!W190+Támogatás!AA164</f>
        <v>65130</v>
      </c>
      <c r="W149" s="94">
        <f>Igazgatás!V177+Községgazd!Y164+Vagyongazd!V149+Közút!V149+Sport!V151+Közművelődés!X190+Támogatás!AB164</f>
        <v>0</v>
      </c>
      <c r="X149" s="94">
        <f>Igazgatás!W177+Községgazd!Z164+Vagyongazd!W149+Közút!W149+Sport!W151+Közművelődés!Y190+Támogatás!AC164</f>
        <v>0</v>
      </c>
      <c r="Y149" s="95">
        <f>Igazgatás!X177+Községgazd!AA164+Vagyongazd!X149+Szennyvíz!W148+Közút!X149+Sport!X151+Közművelődés!Z190+Támogatás!AD164</f>
        <v>29138280</v>
      </c>
      <c r="AB149" s="180"/>
    </row>
    <row r="150" spans="1:28" x14ac:dyDescent="0.25">
      <c r="B150" s="54"/>
      <c r="C150" s="2"/>
      <c r="D150" s="624" t="s">
        <v>250</v>
      </c>
      <c r="E150" s="624"/>
      <c r="F150" s="159">
        <v>29203410</v>
      </c>
      <c r="G150" s="159">
        <v>29203410</v>
      </c>
      <c r="H150" s="159">
        <v>29230410</v>
      </c>
      <c r="I150" s="159">
        <v>29243610</v>
      </c>
      <c r="J150" s="159">
        <v>55831222</v>
      </c>
      <c r="K150" s="159">
        <f>Igazgatás!J178+Községgazd!J165+Vagyongazd!J150+Szennyvíz!I149+Közút!J150+Sport!J152+Közművelődés!J191+Támogatás!J165</f>
        <v>55831222</v>
      </c>
      <c r="L150" s="159">
        <f>Igazgatás!K178+Községgazd!K165+Vagyongazd!K150+Szennyvíz!J149+Közút!K150+Sport!K152+Közművelődés!K191+Támogatás!K165</f>
        <v>0</v>
      </c>
      <c r="M150" s="159">
        <f>26587612+29243610</f>
        <v>55831222</v>
      </c>
      <c r="N150" s="72">
        <f>Igazgatás!M178+Községgazd!P165+Vagyongazd!M150+Közút!M150+Sport!M152+Közművelődés!O191+Támogatás!S165</f>
        <v>0</v>
      </c>
      <c r="O150" s="1">
        <f>Igazgatás!N178+Községgazd!Q165+Vagyongazd!N150+Közút!N150+Sport!N152+Közművelődés!P191+Támogatás!T165</f>
        <v>27000</v>
      </c>
      <c r="P150" s="78">
        <f>Igazgatás!O178+Községgazd!R165+Vagyongazd!O150+Közút!O150+Sport!O152+Közművelődés!Q191+Támogatás!U165</f>
        <v>0</v>
      </c>
      <c r="Q150" s="78">
        <f>Igazgatás!P178+Községgazd!S165+Vagyongazd!P150+Közút!P150+Sport!P152+Közművelődés!R191+Támogatás!V165</f>
        <v>13200</v>
      </c>
      <c r="R150" s="1">
        <f>Igazgatás!Q178+Községgazd!T165+Vagyongazd!Q150+Közút!Q150+Sport!Q152+Közművelődés!S191+Támogatás!W165</f>
        <v>0</v>
      </c>
      <c r="S150" s="78">
        <f>Igazgatás!R178+Községgazd!U165+Vagyongazd!R150+Szennyvíz!Q149+Közút!R150+Sport!R152+Közművelődés!T191+Támogatás!X165</f>
        <v>26587612</v>
      </c>
      <c r="T150" s="78">
        <f>Igazgatás!S178+Községgazd!V165+Vagyongazd!S150+Szennyvíz!R149+Közút!S150+Sport!S152+Közművelődés!U191+Támogatás!Y165</f>
        <v>0</v>
      </c>
      <c r="U150" s="44">
        <f>Igazgatás!T178+Községgazd!W165+Vagyongazd!T150+Közút!T150+Sport!T152+Közművelődés!V191+Támogatás!Z165</f>
        <v>0</v>
      </c>
      <c r="V150" s="343">
        <f>Igazgatás!U178+Községgazd!X165+Vagyongazd!U150+Szennyvíz!T149+Közút!U150+Sport!U152+Közművelődés!W191+Támogatás!AA165</f>
        <v>65130</v>
      </c>
      <c r="W150" s="78">
        <f>Igazgatás!V178+Községgazd!Y165+Vagyongazd!V150+Közút!V150+Sport!V152+Közművelődés!X191+Támogatás!AB165</f>
        <v>0</v>
      </c>
      <c r="X150" s="78">
        <f>Igazgatás!W178+Községgazd!Z165+Vagyongazd!W150+Közút!W150+Sport!W152+Közművelődés!Y191+Támogatás!AC165</f>
        <v>0</v>
      </c>
      <c r="Y150" s="44">
        <f>Igazgatás!X178+Községgazd!AA165+Vagyongazd!X150+Szennyvíz!W149+Közút!X150+Sport!X152+Közművelődés!Z191+Támogatás!AD165</f>
        <v>29138280</v>
      </c>
      <c r="AB150" s="180"/>
    </row>
    <row r="151" spans="1:28" ht="15" hidden="1" customHeight="1" x14ac:dyDescent="0.25">
      <c r="B151" s="54"/>
      <c r="C151" s="2"/>
      <c r="D151" s="624" t="s">
        <v>349</v>
      </c>
      <c r="E151" s="624"/>
      <c r="F151" s="159" t="e">
        <v>#REF!</v>
      </c>
      <c r="G151" s="159" t="e">
        <v>#REF!</v>
      </c>
      <c r="H151" s="159" t="e">
        <v>#REF!</v>
      </c>
      <c r="I151" s="159" t="e">
        <v>#REF!</v>
      </c>
      <c r="J151" s="159" t="e">
        <v>#REF!</v>
      </c>
      <c r="K151" s="159" t="e">
        <f>Igazgatás!J179+Községgazd!J166+Vagyongazd!#REF!+Közút!J151+Sport!J153+Közművelődés!J192+Támogatás!J166</f>
        <v>#REF!</v>
      </c>
      <c r="L151" s="159" t="e">
        <f>Igazgatás!K179+Községgazd!K166+Vagyongazd!#REF!+Közút!K151+Sport!K153+Közművelődés!K192+Támogatás!K166</f>
        <v>#REF!</v>
      </c>
      <c r="M151" s="159" t="e">
        <f>Igazgatás!L179+Községgazd!L166+Vagyongazd!#REF!+Közút!L151+Sport!L153+Közművelődés!L192+Támogatás!L166</f>
        <v>#REF!</v>
      </c>
      <c r="N151" s="72">
        <f>Igazgatás!M179+Községgazd!P166+Vagyongazd!M151+Közút!M151+Sport!M153+Közművelődés!O192+Támogatás!S166</f>
        <v>0</v>
      </c>
      <c r="O151" s="1">
        <f>Igazgatás!N179+Községgazd!Q166+Vagyongazd!N151+Közút!N151+Sport!N153+Közművelődés!P192+Támogatás!T166</f>
        <v>0</v>
      </c>
      <c r="P151" s="78">
        <f>Igazgatás!O179+Községgazd!R166+Vagyongazd!O151+Közút!O151+Sport!O153+Közművelődés!Q192+Támogatás!U166</f>
        <v>0</v>
      </c>
      <c r="Q151" s="78">
        <f>Igazgatás!P179+Községgazd!S166+Vagyongazd!P151+Közút!P151+Sport!P153+Közművelődés!R192+Támogatás!V166</f>
        <v>0</v>
      </c>
      <c r="R151" s="1">
        <f>Igazgatás!Q179+Községgazd!T166+Vagyongazd!Q151+Közút!Q151+Sport!Q153+Közművelődés!S192+Támogatás!W166</f>
        <v>0</v>
      </c>
      <c r="S151" s="78">
        <f>Igazgatás!R179+Községgazd!U166+Vagyongazd!R151+Közút!R151+Sport!R153+Közművelődés!T192+Támogatás!X166</f>
        <v>0</v>
      </c>
      <c r="T151" s="78">
        <f>Igazgatás!S179+Községgazd!V166+Vagyongazd!S151+Közút!S151+Sport!S153+Közművelődés!U192+Támogatás!Y166</f>
        <v>0</v>
      </c>
      <c r="U151" s="44">
        <f>Igazgatás!T179+Községgazd!W166+Vagyongazd!T151+Közút!T151+Sport!T153+Közművelődés!V192+Támogatás!Z166</f>
        <v>0</v>
      </c>
      <c r="V151" s="343">
        <f>Igazgatás!U179+Községgazd!X166+Vagyongazd!U151+Közút!U151+Sport!U153+Közművelődés!W192+Támogatás!AA166</f>
        <v>0</v>
      </c>
      <c r="W151" s="78">
        <f>Igazgatás!V179+Községgazd!Y166+Vagyongazd!V151+Közút!V151+Sport!V153+Közművelődés!X192+Támogatás!AB166</f>
        <v>0</v>
      </c>
      <c r="X151" s="78">
        <f>Igazgatás!W179+Községgazd!Z166+Vagyongazd!W151+Közút!W151+Sport!W153+Közművelődés!Y192+Támogatás!AC166</f>
        <v>0</v>
      </c>
      <c r="Y151" s="44">
        <f>Igazgatás!X179+Községgazd!AA166+Vagyongazd!X151+Közút!X151+Sport!X153+Közművelődés!Z192+Támogatás!AD166</f>
        <v>0</v>
      </c>
      <c r="AB151" s="180"/>
    </row>
    <row r="152" spans="1:28" s="18" customFormat="1" ht="15" hidden="1" customHeight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 t="e">
        <v>#REF!</v>
      </c>
      <c r="G152" s="158" t="e">
        <v>#REF!</v>
      </c>
      <c r="H152" s="158" t="e">
        <v>#REF!</v>
      </c>
      <c r="I152" s="256" t="e">
        <v>#REF!</v>
      </c>
      <c r="J152" s="256" t="e">
        <v>#REF!</v>
      </c>
      <c r="K152" s="158" t="e">
        <f>Igazgatás!J180+Községgazd!J167+Vagyongazd!#REF!+Közút!J152+Sport!J154+Közművelődés!J193+Támogatás!J167</f>
        <v>#REF!</v>
      </c>
      <c r="L152" s="158" t="e">
        <f>Igazgatás!K180+Községgazd!K167+Vagyongazd!#REF!+Közút!K152+Sport!K154+Közművelődés!K193+Támogatás!K167</f>
        <v>#REF!</v>
      </c>
      <c r="M152" s="158" t="e">
        <f>Igazgatás!L180+Községgazd!L167+Vagyongazd!#REF!+Közút!L152+Sport!L154+Közművelődés!L193+Támogatás!L167</f>
        <v>#REF!</v>
      </c>
      <c r="N152" s="90">
        <f>Igazgatás!M180+Községgazd!P167+Vagyongazd!M152+Közút!M152+Sport!M154+Közművelődés!O193+Támogatás!S167</f>
        <v>0</v>
      </c>
      <c r="O152" s="91">
        <f>Igazgatás!N180+Községgazd!Q167+Vagyongazd!N152+Közút!N152+Sport!N154+Közművelődés!P193+Támogatás!T167</f>
        <v>0</v>
      </c>
      <c r="P152" s="94">
        <f>Igazgatás!O180+Községgazd!R167+Vagyongazd!O152+Közút!O152+Sport!O154+Közművelődés!Q193+Támogatás!U167</f>
        <v>0</v>
      </c>
      <c r="Q152" s="94">
        <f>Igazgatás!P180+Községgazd!S167+Vagyongazd!P152+Közút!P152+Sport!P154+Közművelődés!R193+Támogatás!V167</f>
        <v>0</v>
      </c>
      <c r="R152" s="91">
        <f>Igazgatás!Q180+Községgazd!T167+Vagyongazd!Q152+Közút!Q152+Sport!Q154+Közművelődés!S193+Támogatás!W167</f>
        <v>0</v>
      </c>
      <c r="S152" s="94">
        <f>Igazgatás!R180+Községgazd!U167+Vagyongazd!R152+Közút!R152+Sport!R154+Közművelődés!T193+Támogatás!X167</f>
        <v>0</v>
      </c>
      <c r="T152" s="94">
        <f>Igazgatás!S180+Községgazd!V167+Vagyongazd!S152+Közút!S152+Sport!S154+Közművelődés!U193+Támogatás!Y167</f>
        <v>0</v>
      </c>
      <c r="U152" s="95">
        <f>Igazgatás!T180+Községgazd!W167+Vagyongazd!T152+Közút!T152+Sport!T154+Közművelődés!V193+Támogatás!Z167</f>
        <v>0</v>
      </c>
      <c r="V152" s="341">
        <f>Igazgatás!U180+Községgazd!X167+Vagyongazd!U152+Közút!U152+Sport!U154+Közművelődés!W193+Támogatás!AA167</f>
        <v>0</v>
      </c>
      <c r="W152" s="94">
        <f>Igazgatás!V180+Községgazd!Y167+Vagyongazd!V152+Közút!V152+Sport!V154+Közművelődés!X193+Támogatás!AB167</f>
        <v>0</v>
      </c>
      <c r="X152" s="94">
        <f>Igazgatás!W180+Községgazd!Z167+Vagyongazd!W152+Közút!W152+Sport!W154+Közművelődés!Y193+Támogatás!AC167</f>
        <v>0</v>
      </c>
      <c r="Y152" s="95">
        <f>Igazgatás!X180+Községgazd!AA167+Vagyongazd!X152+Közút!X152+Sport!X154+Közművelődés!Z193+Támogatás!AD167</f>
        <v>0</v>
      </c>
      <c r="AB152" s="180"/>
    </row>
    <row r="153" spans="1:28" s="18" customFormat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/>
      <c r="G153" s="158">
        <v>500000</v>
      </c>
      <c r="H153" s="158">
        <v>500000</v>
      </c>
      <c r="I153" s="256">
        <v>50000</v>
      </c>
      <c r="J153" s="256">
        <v>143693</v>
      </c>
      <c r="K153" s="158">
        <f>Igazgatás!J181+Községgazd!J168+Közút!J153+Sport!J155+Közművelődés!J194+Támogatás!J168</f>
        <v>387788</v>
      </c>
      <c r="L153" s="158">
        <f>Igazgatás!K181+Községgazd!K168+Közút!K153+Sport!K155+Közművelődés!K194+Támogatás!K168</f>
        <v>0</v>
      </c>
      <c r="M153" s="158">
        <f>K153</f>
        <v>387788</v>
      </c>
      <c r="N153" s="90">
        <f>Igazgatás!M181+Községgazd!P168+Vagyongazd!M153+Közút!M153+Sport!M155+Közművelődés!O194+Támogatás!S168</f>
        <v>0</v>
      </c>
      <c r="O153" s="91">
        <f>Igazgatás!N181+Községgazd!Q168+Vagyongazd!N153+Közút!N153+Sport!N155+Közművelődés!P194+Támogatás!T168</f>
        <v>0</v>
      </c>
      <c r="P153" s="94">
        <f>Igazgatás!O181+Községgazd!R168+Vagyongazd!O153+Közút!O153+Sport!O155+Közművelődés!Q194+Támogatás!U168</f>
        <v>0</v>
      </c>
      <c r="Q153" s="94">
        <f>Igazgatás!P181+Községgazd!S168+Vagyongazd!P153+Közút!P153+Sport!P155+Közművelődés!R194+Támogatás!V168</f>
        <v>41275</v>
      </c>
      <c r="R153" s="91">
        <f>Igazgatás!Q181+Községgazd!T168+Vagyongazd!Q153+Közút!Q153+Sport!Q155+Közművelődés!S194+Támogatás!W168</f>
        <v>14953</v>
      </c>
      <c r="S153" s="94">
        <f>Igazgatás!R181+Községgazd!U168+Vagyongazd!R153+Közút!R153+Sport!R155+Közművelődés!T194+Támogatás!X168</f>
        <v>0</v>
      </c>
      <c r="T153" s="94">
        <f>Igazgatás!S181+Községgazd!V168+Vagyongazd!S153+Közút!S153+Sport!S155+Közművelődés!U194+Támogatás!Y168</f>
        <v>0</v>
      </c>
      <c r="U153" s="95">
        <f>Igazgatás!T181+Községgazd!W168+Vagyongazd!T153+Közút!T153+Sport!T155+Közművelődés!V194+Támogatás!Z168</f>
        <v>0</v>
      </c>
      <c r="V153" s="341">
        <f>Igazgatás!U181+Községgazd!X168+Vagyongazd!U153+Közút!U153+Sport!U155+Közművelődés!W194+Támogatás!AA168</f>
        <v>8725</v>
      </c>
      <c r="W153" s="94">
        <f>Igazgatás!V181+Községgazd!Y168+Vagyongazd!V153+Közút!V153+Sport!V155+Közművelődés!X194+Támogatás!AB168</f>
        <v>0</v>
      </c>
      <c r="X153" s="94">
        <f>Igazgatás!W181+Községgazd!Z168+Vagyongazd!W153+Közút!W153+Sport!W155+Közművelődés!Y194+Támogatás!AC168</f>
        <v>244095</v>
      </c>
      <c r="Y153" s="95">
        <f>Igazgatás!X181+Községgazd!AA168+Vagyongazd!X153+Közút!X153+Sport!X155+Közművelődés!Z194+Támogatás!AD168</f>
        <v>0</v>
      </c>
      <c r="AB153" s="180"/>
    </row>
    <row r="154" spans="1:28" s="18" customFormat="1" ht="15" hidden="1" customHeight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 t="e">
        <v>#REF!</v>
      </c>
      <c r="G154" s="158" t="e">
        <v>#REF!</v>
      </c>
      <c r="H154" s="158" t="e">
        <v>#REF!</v>
      </c>
      <c r="I154" s="256" t="e">
        <v>#REF!</v>
      </c>
      <c r="J154" s="256" t="e">
        <v>#REF!</v>
      </c>
      <c r="K154" s="158" t="e">
        <f>Igazgatás!J183+Községgazd!J169+Vagyongazd!#REF!+Közút!J154+Sport!J156+Közművelődés!J197+Támogatás!J169</f>
        <v>#REF!</v>
      </c>
      <c r="L154" s="158" t="e">
        <f>Igazgatás!K183+Községgazd!K169+Vagyongazd!#REF!+Közút!K154+Sport!K156+Közművelődés!K197+Támogatás!K169</f>
        <v>#REF!</v>
      </c>
      <c r="M154" s="158" t="e">
        <f>Igazgatás!L183+Községgazd!L169+Vagyongazd!#REF!+Közút!L154+Sport!L156+Közművelődés!L197+Támogatás!L169</f>
        <v>#REF!</v>
      </c>
      <c r="N154" s="90">
        <f>Igazgatás!M183+Községgazd!P169+Vagyongazd!M154+Közút!M154+Sport!M156+Közművelődés!O197+Támogatás!S169</f>
        <v>0</v>
      </c>
      <c r="O154" s="91">
        <f>Igazgatás!N183+Községgazd!Q169+Vagyongazd!N154+Közút!N154+Sport!N156+Közművelődés!P197+Támogatás!T169</f>
        <v>0</v>
      </c>
      <c r="P154" s="94">
        <f>Igazgatás!O183+Községgazd!R169+Vagyongazd!O154+Közút!O154+Sport!O156+Közművelődés!Q197+Támogatás!U169</f>
        <v>0</v>
      </c>
      <c r="Q154" s="94">
        <f>Igazgatás!P183+Községgazd!S169+Vagyongazd!P154+Közút!P154+Sport!P156+Közművelődés!R197+Támogatás!V169</f>
        <v>0</v>
      </c>
      <c r="R154" s="91">
        <f>Igazgatás!Q183+Községgazd!T169+Vagyongazd!Q154+Közút!Q154+Sport!Q156+Közművelődés!S197+Támogatás!W169</f>
        <v>0</v>
      </c>
      <c r="S154" s="94">
        <f>Igazgatás!R183+Községgazd!U169+Vagyongazd!R154+Közút!R154+Sport!R156+Közművelődés!T197+Támogatás!X169</f>
        <v>0</v>
      </c>
      <c r="T154" s="94">
        <f>Igazgatás!S183+Községgazd!V169+Vagyongazd!S154+Közút!S154+Sport!S156+Közművelődés!U197+Támogatás!Y169</f>
        <v>0</v>
      </c>
      <c r="U154" s="95">
        <f>Igazgatás!T183+Községgazd!W169+Vagyongazd!T154+Közút!T154+Sport!T156+Közművelődés!V197+Támogatás!Z169</f>
        <v>0</v>
      </c>
      <c r="V154" s="341">
        <f>Igazgatás!U183+Községgazd!X169+Vagyongazd!U154+Közút!U154+Sport!U156+Közművelődés!W197+Támogatás!AA169</f>
        <v>0</v>
      </c>
      <c r="W154" s="94">
        <f>Igazgatás!V183+Községgazd!Y169+Vagyongazd!V154+Közút!V154+Sport!V156+Közművelődés!X197+Támogatás!AB169</f>
        <v>0</v>
      </c>
      <c r="X154" s="94">
        <f>Igazgatás!W183+Községgazd!Z169+Vagyongazd!W154+Közút!W154+Sport!W156+Közművelődés!Y197+Támogatás!AC169</f>
        <v>0</v>
      </c>
      <c r="Y154" s="95">
        <f>Igazgatás!X183+Községgazd!AA169+Vagyongazd!X154+Közút!X154+Sport!X156+Közművelődés!Z197+Támogatás!AD169</f>
        <v>0</v>
      </c>
      <c r="AB154" s="180"/>
    </row>
    <row r="155" spans="1:28" s="18" customFormat="1" ht="15" hidden="1" customHeight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 t="e">
        <v>#REF!</v>
      </c>
      <c r="G155" s="158" t="e">
        <v>#REF!</v>
      </c>
      <c r="H155" s="158" t="e">
        <v>#REF!</v>
      </c>
      <c r="I155" s="256" t="e">
        <v>#REF!</v>
      </c>
      <c r="J155" s="256" t="e">
        <v>#REF!</v>
      </c>
      <c r="K155" s="158" t="e">
        <f>Igazgatás!J184+Községgazd!J170+Vagyongazd!#REF!+Közút!J155+Sport!J157+Közművelődés!J198+Támogatás!J170</f>
        <v>#REF!</v>
      </c>
      <c r="L155" s="158" t="e">
        <f>Igazgatás!K184+Községgazd!K170+Vagyongazd!#REF!+Közút!K155+Sport!K157+Közművelődés!K198+Támogatás!K170</f>
        <v>#REF!</v>
      </c>
      <c r="M155" s="158" t="e">
        <f>Igazgatás!L184+Községgazd!L170+Vagyongazd!#REF!+Közút!L155+Sport!L157+Közművelődés!L198+Támogatás!L170</f>
        <v>#REF!</v>
      </c>
      <c r="N155" s="90">
        <f>Igazgatás!M184+Községgazd!P170+Vagyongazd!M155+Közút!M155+Sport!M157+Közművelődés!O198+Támogatás!S170</f>
        <v>0</v>
      </c>
      <c r="O155" s="91">
        <f>Igazgatás!N184+Községgazd!Q170+Vagyongazd!N155+Közút!N155+Sport!N157+Közművelődés!P198+Támogatás!T170</f>
        <v>0</v>
      </c>
      <c r="P155" s="94">
        <f>Igazgatás!O184+Községgazd!R170+Vagyongazd!O155+Közút!O155+Sport!O157+Közművelődés!Q198+Támogatás!U170</f>
        <v>0</v>
      </c>
      <c r="Q155" s="94">
        <f>Igazgatás!P184+Községgazd!S170+Vagyongazd!P155+Közút!P155+Sport!P157+Közművelődés!R198+Támogatás!V170</f>
        <v>0</v>
      </c>
      <c r="R155" s="91">
        <f>Igazgatás!Q184+Községgazd!T170+Vagyongazd!Q155+Közút!Q155+Sport!Q157+Közművelődés!S198+Támogatás!W170</f>
        <v>0</v>
      </c>
      <c r="S155" s="94">
        <f>Igazgatás!R184+Községgazd!U170+Vagyongazd!R155+Közút!R155+Sport!R157+Közművelődés!T198+Támogatás!X170</f>
        <v>0</v>
      </c>
      <c r="T155" s="94">
        <f>Igazgatás!S184+Községgazd!V170+Vagyongazd!S155+Közút!S155+Sport!S157+Közművelődés!U198+Támogatás!Y170</f>
        <v>0</v>
      </c>
      <c r="U155" s="95">
        <f>Igazgatás!T184+Községgazd!W170+Vagyongazd!T155+Közút!T155+Sport!T157+Közművelődés!V198+Támogatás!Z170</f>
        <v>0</v>
      </c>
      <c r="V155" s="341">
        <f>Igazgatás!U184+Községgazd!X170+Vagyongazd!U155+Közút!U155+Sport!U157+Közművelődés!W198+Támogatás!AA170</f>
        <v>0</v>
      </c>
      <c r="W155" s="94">
        <f>Igazgatás!V184+Községgazd!Y170+Vagyongazd!V155+Közút!V155+Sport!V157+Közművelődés!X198+Támogatás!AB170</f>
        <v>0</v>
      </c>
      <c r="X155" s="94">
        <f>Igazgatás!W184+Községgazd!Z170+Vagyongazd!W155+Közút!W155+Sport!W157+Közművelődés!Y198+Támogatás!AC170</f>
        <v>0</v>
      </c>
      <c r="Y155" s="95">
        <f>Igazgatás!X184+Községgazd!AA170+Vagyongazd!X155+Közút!X155+Sport!X157+Közművelődés!Z198+Támogatás!AD170</f>
        <v>0</v>
      </c>
      <c r="AB155" s="180"/>
    </row>
    <row r="156" spans="1:28" s="18" customFormat="1" ht="15.75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10777172</v>
      </c>
      <c r="G156" s="158">
        <v>10777172</v>
      </c>
      <c r="H156" s="158">
        <v>10777172</v>
      </c>
      <c r="I156" s="256">
        <v>10777172</v>
      </c>
      <c r="J156" s="256">
        <v>17981124</v>
      </c>
      <c r="K156" s="158">
        <f>Igazgatás!J185+Községgazd!J171+Vagyongazd!J156+Szennyvíz!I155+Közút!J156+Sport!J158+Közművelődés!J199+Támogatás!J171</f>
        <v>18047029</v>
      </c>
      <c r="L156" s="158">
        <f>Igazgatás!K185+Községgazd!K171+Vagyongazd!K156+Szennyvíz!J155+Közút!K156+Sport!K158+Közművelődés!K199+Támogatás!K171</f>
        <v>0</v>
      </c>
      <c r="M156" s="158">
        <f>Igazgatás!L185+Községgazd!L171+Vagyongazd!L156+Szennyvíz!K155+Közút!L156+Sport!L158+Közművelődés!L199+Támogatás!L171</f>
        <v>18047029</v>
      </c>
      <c r="N156" s="90">
        <f>Igazgatás!M185+Községgazd!P171+Vagyongazd!M156+Közút!M156+Sport!M158+Közművelődés!O199+Támogatás!S171</f>
        <v>0</v>
      </c>
      <c r="O156" s="91">
        <f>Igazgatás!N185+Községgazd!Q171+Vagyongazd!N156+Közút!N156+Sport!N158+Közművelődés!P199+Támogatás!T171</f>
        <v>0</v>
      </c>
      <c r="P156" s="94">
        <f>Igazgatás!O185+Községgazd!R171+Vagyongazd!O156+Közút!O156+Sport!O158+Közművelődés!Q199+Támogatás!U171</f>
        <v>0</v>
      </c>
      <c r="Q156" s="94">
        <f>Igazgatás!P185+Községgazd!S171+Vagyongazd!P156+Közút!P156+Sport!P158+Közművelődés!R199+Támogatás!V171</f>
        <v>0</v>
      </c>
      <c r="R156" s="91">
        <f>Igazgatás!Q185+Községgazd!T171+Vagyongazd!Q156+Közút!Q156+Sport!Q158+Közművelődés!S199+Támogatás!W171</f>
        <v>4037</v>
      </c>
      <c r="S156" s="94">
        <f>Igazgatás!R185+Községgazd!U171+Vagyongazd!R156+Szennyvíz!Q155+Közút!R156+Sport!R158+Közművelődés!T199+Támogatás!X171</f>
        <v>7178655</v>
      </c>
      <c r="T156" s="94">
        <f>Igazgatás!S185+Községgazd!V171+Vagyongazd!S156+Közút!S156+Sport!S158+Közművelődés!U199+Támogatás!Y171</f>
        <v>0</v>
      </c>
      <c r="U156" s="95">
        <f>Igazgatás!T185+Községgazd!W171+Vagyongazd!T156+Közút!T156+Sport!T158+Közművelődés!V199+Támogatás!Z171</f>
        <v>0</v>
      </c>
      <c r="V156" s="341">
        <f>Igazgatás!U185+Községgazd!X171+Vagyongazd!U156+Közút!U156+Sport!U158+Közművelődés!W199+Támogatás!AA171</f>
        <v>0</v>
      </c>
      <c r="W156" s="94">
        <f>Igazgatás!V185+Községgazd!Y171+Vagyongazd!V156+Közút!V156+Sport!V158+Közművelődés!X199+Támogatás!AB171</f>
        <v>0</v>
      </c>
      <c r="X156" s="94">
        <f>Igazgatás!W185+Községgazd!Z171+Vagyongazd!W156+Közút!W156+Sport!W158+Közművelődés!Y199+Támogatás!AC171</f>
        <v>65905</v>
      </c>
      <c r="Y156" s="95">
        <f>Igazgatás!X185+Községgazd!AA171+Vagyongazd!X156+Szennyvíz!W155+Közút!X156+Sport!X158+Közművelődés!Z199+Támogatás!AD171</f>
        <v>10777172</v>
      </c>
      <c r="AB156" s="180"/>
    </row>
    <row r="157" spans="1:28" ht="15.75" thickBot="1" x14ac:dyDescent="0.3">
      <c r="B157" s="96" t="s">
        <v>261</v>
      </c>
      <c r="C157" s="632" t="s">
        <v>262</v>
      </c>
      <c r="D157" s="633"/>
      <c r="E157" s="633"/>
      <c r="F157" s="156">
        <v>45826659</v>
      </c>
      <c r="G157" s="156">
        <v>47168888</v>
      </c>
      <c r="H157" s="156">
        <v>48146554</v>
      </c>
      <c r="I157" s="571">
        <v>50998141</v>
      </c>
      <c r="J157" s="571">
        <v>51354297</v>
      </c>
      <c r="K157" s="156">
        <f>Igazgatás!J186+Községgazd!J172+Szennyvíz!I156+Közút!J157+Sport!J159+Közművelődés!J202+Támogatás!J172+Vagyongazd!J157</f>
        <v>51354297</v>
      </c>
      <c r="L157" s="156">
        <f>Igazgatás!K186+Községgazd!K172+Szennyvíz!J156+Közút!K157+Sport!K159+Közművelődés!K202+Támogatás!K172</f>
        <v>0</v>
      </c>
      <c r="M157" s="156">
        <f>Igazgatás!L186+Községgazd!L172+Szennyvíz!K156+Közút!L157+Sport!L159+Közművelődés!L202+Támogatás!L172+Vagyongazd!L157</f>
        <v>51354297</v>
      </c>
      <c r="N157" s="82">
        <f>Igazgatás!M186+Községgazd!P172+Vagyongazd!M157+Közút!M157+Sport!M159+Közművelődés!O202+Támogatás!S172</f>
        <v>3863466</v>
      </c>
      <c r="O157" s="83">
        <f>Igazgatás!N186+Községgazd!Q172+Vagyongazd!N157+Közút!N157+Sport!N159+Közművelődés!P202+Támogatás!T172</f>
        <v>0</v>
      </c>
      <c r="P157" s="86">
        <f>Igazgatás!O186+Községgazd!R172+Vagyongazd!O157+Közút!O157+Sport!O159+Közművelődés!Q202+Támogatás!U172</f>
        <v>92550</v>
      </c>
      <c r="Q157" s="86">
        <f>Igazgatás!P186+Községgazd!S172+Vagyongazd!P157+Közút!P157+Sport!P159+Közművelődés!R202+Támogatás!V172</f>
        <v>12236753</v>
      </c>
      <c r="R157" s="83">
        <f>Igazgatás!Q186+Községgazd!T172+Vagyongazd!Q157+Közút!Q157+Sport!Q159+Közművelődés!S202+Támogatás!W172</f>
        <v>839561</v>
      </c>
      <c r="S157" s="86">
        <f>Igazgatás!R186+Községgazd!U172+Vagyongazd!R157+Közút!R157+Sport!R159+Közművelődés!T202+Támogatás!X172</f>
        <v>424049</v>
      </c>
      <c r="T157" s="86">
        <f>Igazgatás!S186+Községgazd!V172+Vagyongazd!S157+Közút!S157+Sport!S159+Közművelődés!U202+Támogatás!Y172</f>
        <v>15352624</v>
      </c>
      <c r="U157" s="87">
        <f>Igazgatás!T186+Községgazd!W172+Vagyongazd!T157+Közút!T157+Sport!T159+Közművelődés!V202+Támogatás!Z172</f>
        <v>283700</v>
      </c>
      <c r="V157" s="338">
        <f>Igazgatás!U186+Községgazd!X172+Vagyongazd!U157+Szennyvíz!T156+Közút!U157+Sport!U159+Közművelődés!W202+Támogatás!AA172</f>
        <v>11566673</v>
      </c>
      <c r="W157" s="86">
        <f>Igazgatás!V186+Községgazd!Y172+Vagyongazd!V157+Közút!V157+Sport!V159+Közművelődés!X202+Támogatás!AB172</f>
        <v>753564</v>
      </c>
      <c r="X157" s="86">
        <f>Igazgatás!W186+Községgazd!Z172+Vagyongazd!W157+Szennyvíz!V156+Közút!W157+Sport!W159+Közművelődés!Y202+Támogatás!AC172</f>
        <v>0</v>
      </c>
      <c r="Y157" s="87">
        <f>Igazgatás!X186+Községgazd!AA172+Vagyongazd!X157+Közút!X157+Sport!X159+Közművelődés!Z202+Támogatás!AD172</f>
        <v>5792767</v>
      </c>
      <c r="AB157" s="180"/>
    </row>
    <row r="158" spans="1:28" s="18" customFormat="1" ht="15.75" customHeigh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256">
        <v>35486400</v>
      </c>
      <c r="G158" s="256">
        <v>36397040</v>
      </c>
      <c r="H158" s="256">
        <v>37199118</v>
      </c>
      <c r="I158" s="256">
        <v>39435261</v>
      </c>
      <c r="J158" s="256">
        <v>39675474</v>
      </c>
      <c r="K158" s="256">
        <f>Igazgatás!J187+Községgazd!J173+Szennyvíz!I157+Közút!J158+Sport!J160+Közművelődés!J203+Támogatás!J173+Vagyongazd!J158</f>
        <v>39675474</v>
      </c>
      <c r="L158" s="256">
        <f>Igazgatás!K187+Községgazd!K173+Szennyvíz!J157+Közút!K158+Sport!K160+Közművelődés!K203+Támogatás!K173</f>
        <v>0</v>
      </c>
      <c r="M158" s="256">
        <f>Igazgatás!L187+Községgazd!L173+Szennyvíz!K157+Közút!L158+Sport!L160+Közművelődés!L203+Támogatás!L173+Vagyongazd!L158</f>
        <v>39675474</v>
      </c>
      <c r="N158" s="257">
        <f>Igazgatás!M187+Községgazd!P173+Vagyongazd!M158+Közút!M158+Sport!M160+Közművelődés!O203+Támogatás!S173</f>
        <v>3042099</v>
      </c>
      <c r="O158" s="258">
        <f>Igazgatás!N187+Községgazd!Q173+Vagyongazd!N158+Közút!N158+Sport!N160+Közművelődés!P203+Támogatás!T173</f>
        <v>0</v>
      </c>
      <c r="P158" s="259">
        <f>Igazgatás!O187+Községgazd!R173+Vagyongazd!O158+Közút!O158+Sport!O160+Közművelődés!Q203+Támogatás!U173</f>
        <v>91498</v>
      </c>
      <c r="Q158" s="259">
        <f>Igazgatás!P187+Községgazd!S173+Vagyongazd!P158+Közút!P158+Sport!P160+Közművelődés!R203+Támogatás!V173</f>
        <v>9722223</v>
      </c>
      <c r="R158" s="258">
        <f>Igazgatás!Q187+Községgazd!T173+Vagyongazd!Q158+Közút!Q158+Sport!Q160+Közművelődés!S203+Támogatás!W173</f>
        <v>661072</v>
      </c>
      <c r="S158" s="259">
        <f>Igazgatás!R187+Községgazd!U173+Vagyongazd!R158+Közút!R158+Sport!R160+Közművelődés!T203+Támogatás!X173</f>
        <v>333896</v>
      </c>
      <c r="T158" s="259">
        <f>Igazgatás!S187+Községgazd!V173+Vagyongazd!S158+Közút!S158+Sport!S160+Közművelődés!U203+Támogatás!Y173</f>
        <v>12169681</v>
      </c>
      <c r="U158" s="261">
        <f>Igazgatás!T187+Községgazd!W173+Vagyongazd!T158+Szennyvíz!S157+Közút!T158+Sport!T160+Közművelődés!V203+Támogatás!Z173</f>
        <v>400700</v>
      </c>
      <c r="V158" s="346">
        <f>Igazgatás!U187+Községgazd!X173+Vagyongazd!U158+Szennyvíz!T157+Közút!U158+Sport!U160+Közművelődés!W203+Támogatás!AA173</f>
        <v>9176052</v>
      </c>
      <c r="W158" s="259">
        <f>Igazgatás!V187+Községgazd!Y173+Vagyongazd!V158+Közút!V158+Sport!V160+Közművelődés!X203+Támogatás!AB173</f>
        <v>495000</v>
      </c>
      <c r="X158" s="259">
        <f>Igazgatás!W187+Községgazd!Z173+Vagyongazd!W158+Szennyvíz!V157+Közút!W158+Sport!W160+Közművelődés!Y203+Támogatás!AC173</f>
        <v>0</v>
      </c>
      <c r="Y158" s="261">
        <f>Igazgatás!X187+Községgazd!AA173+Vagyongazd!X158+Közút!X158+Sport!X160+Közművelődés!Z203+Támogatás!AD173</f>
        <v>3583253</v>
      </c>
      <c r="AB158" s="180"/>
    </row>
    <row r="159" spans="1:28" s="18" customFormat="1" ht="15.75" hidden="1" customHeight="1" x14ac:dyDescent="0.25">
      <c r="A159" s="118" t="s">
        <v>265</v>
      </c>
      <c r="B159" s="262" t="s">
        <v>679</v>
      </c>
      <c r="C159" s="712" t="s">
        <v>884</v>
      </c>
      <c r="D159" s="713"/>
      <c r="E159" s="713"/>
      <c r="F159" s="256" t="e">
        <v>#REF!</v>
      </c>
      <c r="G159" s="256" t="e">
        <v>#REF!</v>
      </c>
      <c r="H159" s="256" t="e">
        <v>#REF!</v>
      </c>
      <c r="I159" s="256" t="e">
        <v>#REF!</v>
      </c>
      <c r="J159" s="256" t="e">
        <v>#REF!</v>
      </c>
      <c r="K159" s="256" t="e">
        <f>Igazgatás!J188+Községgazd!J174+Vagyongazd!#REF!+Közút!J161+Sport!J161+Közművelődés!J206+Támogatás!J174</f>
        <v>#REF!</v>
      </c>
      <c r="L159" s="256" t="e">
        <f>Igazgatás!K188+Községgazd!K174+Vagyongazd!#REF!+Közút!K161+Sport!K161+Közművelődés!K206+Támogatás!K174</f>
        <v>#REF!</v>
      </c>
      <c r="M159" s="256" t="e">
        <f>Igazgatás!L188+Községgazd!L174+Vagyongazd!#REF!+Közút!L161+Sport!L161+Közművelődés!L206+Támogatás!L174</f>
        <v>#REF!</v>
      </c>
      <c r="N159" s="257">
        <f>Igazgatás!M188+Községgazd!P174+Vagyongazd!M159+Közút!M161+Sport!M161+Közművelődés!O206+Támogatás!S174</f>
        <v>0</v>
      </c>
      <c r="O159" s="258">
        <f>Igazgatás!N188+Községgazd!Q174+Vagyongazd!N159+Közút!N161+Sport!N161+Közművelődés!P206+Támogatás!T174</f>
        <v>0</v>
      </c>
      <c r="P159" s="259">
        <f>Igazgatás!O188+Községgazd!R174+Vagyongazd!O159+Közút!O161+Sport!O161+Közművelődés!Q206+Támogatás!U174</f>
        <v>0</v>
      </c>
      <c r="Q159" s="259">
        <f>Igazgatás!P188+Községgazd!S174+Vagyongazd!P159+Közút!P161+Sport!P161+Közművelődés!R206+Támogatás!V174</f>
        <v>0</v>
      </c>
      <c r="R159" s="258">
        <f>Igazgatás!Q188+Községgazd!T174+Vagyongazd!Q159+Közút!Q161+Sport!Q161+Közművelődés!S206+Támogatás!W174</f>
        <v>0</v>
      </c>
      <c r="S159" s="259">
        <f>Igazgatás!R188+Községgazd!U174+Vagyongazd!R159+Közút!R161+Sport!R161+Közművelődés!T206+Támogatás!X174</f>
        <v>0</v>
      </c>
      <c r="T159" s="259">
        <f>Igazgatás!S188+Községgazd!V174+Vagyongazd!S159+Közút!S161+Sport!S161+Közművelődés!U206+Támogatás!Y174</f>
        <v>0</v>
      </c>
      <c r="U159" s="261">
        <f>Igazgatás!T188+Községgazd!W174+Vagyongazd!T159+Közút!T161+Sport!T161+Közművelődés!V206+Támogatás!Z174</f>
        <v>0</v>
      </c>
      <c r="V159" s="346">
        <f>Igazgatás!U188+Községgazd!X174+Vagyongazd!U159+Közút!U161+Sport!U161+Közművelődés!W206+Támogatás!AA174</f>
        <v>0</v>
      </c>
      <c r="W159" s="259">
        <f>Igazgatás!V188+Községgazd!Y174+Vagyongazd!V159+Közút!V161+Sport!V161+Közművelődés!X206+Támogatás!AB174</f>
        <v>0</v>
      </c>
      <c r="X159" s="259">
        <f>Igazgatás!W188+Községgazd!Z174+Vagyongazd!W159+Közút!W161+Sport!W161+Közművelődés!Y206+Támogatás!AC174</f>
        <v>0</v>
      </c>
      <c r="Y159" s="261">
        <f>Igazgatás!X188+Községgazd!AA174+Vagyongazd!X159+Közút!X161+Sport!X161+Közművelődés!Z206+Támogatás!AD174</f>
        <v>0</v>
      </c>
      <c r="AB159" s="180"/>
    </row>
    <row r="160" spans="1:28" s="18" customFormat="1" ht="15.75" hidden="1" customHeight="1" x14ac:dyDescent="0.25">
      <c r="A160" s="118" t="s">
        <v>266</v>
      </c>
      <c r="B160" s="262" t="s">
        <v>680</v>
      </c>
      <c r="C160" s="712" t="s">
        <v>267</v>
      </c>
      <c r="D160" s="713"/>
      <c r="E160" s="713"/>
      <c r="F160" s="256" t="e">
        <v>#REF!</v>
      </c>
      <c r="G160" s="256" t="e">
        <v>#REF!</v>
      </c>
      <c r="H160" s="256" t="e">
        <v>#REF!</v>
      </c>
      <c r="I160" s="256" t="e">
        <v>#REF!</v>
      </c>
      <c r="J160" s="256" t="e">
        <v>#REF!</v>
      </c>
      <c r="K160" s="256" t="e">
        <f>Igazgatás!J189+Községgazd!J175+Vagyongazd!#REF!+Közút!J162+Sport!J162+Közművelődés!J207+Támogatás!J175</f>
        <v>#REF!</v>
      </c>
      <c r="L160" s="256" t="e">
        <f>Igazgatás!K189+Községgazd!K175+Vagyongazd!#REF!+Közút!K162+Sport!K162+Közművelődés!K207+Támogatás!K175</f>
        <v>#REF!</v>
      </c>
      <c r="M160" s="256" t="e">
        <f>Igazgatás!L189+Községgazd!L175+Vagyongazd!#REF!+Közút!L162+Sport!L162+Közművelődés!L207+Támogatás!L175</f>
        <v>#REF!</v>
      </c>
      <c r="N160" s="257">
        <f>Igazgatás!M189+Községgazd!P175+Vagyongazd!M160+Közút!M162+Sport!M162+Közművelődés!O207+Támogatás!S175</f>
        <v>0</v>
      </c>
      <c r="O160" s="258">
        <f>Igazgatás!N189+Községgazd!Q175+Vagyongazd!N160+Közút!N162+Sport!N162+Közművelődés!P207+Támogatás!T175</f>
        <v>0</v>
      </c>
      <c r="P160" s="259">
        <f>Igazgatás!O189+Községgazd!R175+Vagyongazd!O160+Közút!O162+Sport!O162+Közművelődés!Q207+Támogatás!U175</f>
        <v>0</v>
      </c>
      <c r="Q160" s="259">
        <f>Igazgatás!P189+Községgazd!S175+Vagyongazd!P160+Közút!P162+Sport!P162+Közművelődés!R207+Támogatás!V175</f>
        <v>0</v>
      </c>
      <c r="R160" s="258">
        <f>Igazgatás!Q189+Községgazd!T175+Vagyongazd!Q160+Közút!Q162+Sport!Q162+Közművelődés!S207+Támogatás!W175</f>
        <v>0</v>
      </c>
      <c r="S160" s="259">
        <f>Igazgatás!R189+Községgazd!U175+Vagyongazd!R160+Közút!R162+Sport!R162+Közművelődés!T207+Támogatás!X175</f>
        <v>0</v>
      </c>
      <c r="T160" s="259">
        <f>Igazgatás!S189+Községgazd!V175+Vagyongazd!S160+Közút!S162+Sport!S162+Közművelődés!U207+Támogatás!Y175</f>
        <v>0</v>
      </c>
      <c r="U160" s="261">
        <f>Igazgatás!T189+Községgazd!W175+Vagyongazd!T160+Közút!T162+Sport!T162+Közművelődés!V207+Támogatás!Z175</f>
        <v>0</v>
      </c>
      <c r="V160" s="346">
        <f>Igazgatás!U189+Községgazd!X175+Vagyongazd!U160+Közút!U162+Sport!U162+Közművelődés!W207+Támogatás!AA175</f>
        <v>0</v>
      </c>
      <c r="W160" s="259">
        <f>Igazgatás!V189+Községgazd!Y175+Vagyongazd!V160+Közút!V162+Sport!V162+Közművelődés!X207+Támogatás!AB175</f>
        <v>0</v>
      </c>
      <c r="X160" s="259">
        <f>Igazgatás!W189+Községgazd!Z175+Vagyongazd!W160+Közút!W162+Sport!W162+Közművelődés!Y207+Támogatás!AC175</f>
        <v>0</v>
      </c>
      <c r="Y160" s="261">
        <f>Igazgatás!X189+Községgazd!AA175+Vagyongazd!X160+Közút!X162+Sport!X162+Közművelődés!Z207+Támogatás!AD175</f>
        <v>0</v>
      </c>
      <c r="AB160" s="180"/>
    </row>
    <row r="161" spans="1:28" s="18" customFormat="1" ht="15.75" customHeight="1" thickBot="1" x14ac:dyDescent="0.3">
      <c r="A161" s="118" t="s">
        <v>268</v>
      </c>
      <c r="B161" s="265" t="s">
        <v>681</v>
      </c>
      <c r="C161" s="714" t="s">
        <v>366</v>
      </c>
      <c r="D161" s="715"/>
      <c r="E161" s="715"/>
      <c r="F161" s="256">
        <v>10340259</v>
      </c>
      <c r="G161" s="256">
        <v>10771848</v>
      </c>
      <c r="H161" s="256">
        <v>10947436</v>
      </c>
      <c r="I161" s="256">
        <v>11562880</v>
      </c>
      <c r="J161" s="256">
        <v>11678823</v>
      </c>
      <c r="K161" s="256">
        <f>Igazgatás!J190+Községgazd!J176+Szennyvíz!I160+Közút!J163+Sport!J163+Közművelődés!J209+Támogatás!J176+Vagyongazd!J161</f>
        <v>11678823</v>
      </c>
      <c r="L161" s="256">
        <f>Igazgatás!K190+Községgazd!K176+Szennyvíz!J160+Közút!K163+Sport!K163+Közművelődés!K209+Támogatás!K176</f>
        <v>0</v>
      </c>
      <c r="M161" s="256">
        <f>Igazgatás!L190+Községgazd!L176+Szennyvíz!K160+Közút!L163+Sport!L163+Közművelődés!L209+Támogatás!L176+Vagyongazd!L161</f>
        <v>11678823</v>
      </c>
      <c r="N161" s="257">
        <f>Igazgatás!M190+Községgazd!P176+Vagyongazd!M161+Közút!M163+Sport!M163+Közművelődés!O209+Támogatás!S176</f>
        <v>821367</v>
      </c>
      <c r="O161" s="258">
        <f>Igazgatás!N190+Községgazd!Q176+Vagyongazd!N161+Közút!N163+Sport!N163+Közművelődés!P209+Támogatás!T176</f>
        <v>0</v>
      </c>
      <c r="P161" s="259">
        <f>Igazgatás!O190+Községgazd!R176+Vagyongazd!O161+Közút!O163+Sport!O163+Közművelődés!Q209+Támogatás!U176</f>
        <v>1052</v>
      </c>
      <c r="Q161" s="259">
        <f>Igazgatás!P190+Községgazd!S176+Vagyongazd!P161+Közút!P163+Sport!P163+Közművelődés!R209+Támogatás!V176</f>
        <v>2514530</v>
      </c>
      <c r="R161" s="258">
        <f>Igazgatás!Q190+Községgazd!T176+Vagyongazd!Q161+Közút!Q163+Sport!Q163+Közművelődés!S209+Támogatás!W176</f>
        <v>178489</v>
      </c>
      <c r="S161" s="259">
        <f>Igazgatás!R190+Községgazd!U176+Vagyongazd!R161+Közút!R163+Sport!R163+Közművelődés!T209+Támogatás!X176</f>
        <v>90153</v>
      </c>
      <c r="T161" s="259">
        <f>Igazgatás!S190+Községgazd!V176+Vagyongazd!S161+Közút!S163+Sport!S163+Közművelődés!U209+Támogatás!Y176</f>
        <v>3182943</v>
      </c>
      <c r="U161" s="261">
        <f>Igazgatás!T190+Községgazd!W176+Vagyongazd!T161+Szennyvíz!S160+Közút!T163+Sport!T163+Közművelődés!V209+Támogatás!Z176</f>
        <v>31590</v>
      </c>
      <c r="V161" s="346">
        <f>Igazgatás!U190+Községgazd!X176+Vagyongazd!U161+Szennyvíz!T160+Közút!U163+Sport!U163+Közművelődés!W209+Támogatás!AA176</f>
        <v>2390621</v>
      </c>
      <c r="W161" s="259">
        <f>Igazgatás!V190+Községgazd!Y176+Vagyongazd!V161+Közút!V163+Sport!V163+Közművelődés!X209+Támogatás!AB176</f>
        <v>258564</v>
      </c>
      <c r="X161" s="259">
        <f>Igazgatás!W190+Községgazd!Z176+Vagyongazd!W161+Szennyvíz!V160+Közút!W163+Sport!W163+Közművelődés!Y209+Támogatás!AC176</f>
        <v>0</v>
      </c>
      <c r="Y161" s="261">
        <f>Igazgatás!X190+Községgazd!AA176+Vagyongazd!X161+Közút!X163+Sport!X163+Közművelődés!Z209+Támogatás!AD176</f>
        <v>2209514</v>
      </c>
      <c r="AB161" s="180"/>
    </row>
    <row r="162" spans="1:28" ht="15.75" thickBot="1" x14ac:dyDescent="0.3">
      <c r="B162" s="96" t="s">
        <v>269</v>
      </c>
      <c r="C162" s="632" t="s">
        <v>270</v>
      </c>
      <c r="D162" s="633"/>
      <c r="E162" s="633"/>
      <c r="F162" s="156">
        <v>50000</v>
      </c>
      <c r="G162" s="156">
        <v>50000</v>
      </c>
      <c r="H162" s="156">
        <v>50000</v>
      </c>
      <c r="I162" s="571">
        <v>50000</v>
      </c>
      <c r="J162" s="571">
        <v>50000</v>
      </c>
      <c r="K162" s="156">
        <f>Igazgatás!J191+Községgazd!J177+Közút!J166+Sport!J164+Közművelődés!J213+Támogatás!J177</f>
        <v>50000</v>
      </c>
      <c r="L162" s="156">
        <f>Igazgatás!K191+Községgazd!K177+Közút!K166+Sport!K164+Közművelődés!K213+Támogatás!K177</f>
        <v>0</v>
      </c>
      <c r="M162" s="156">
        <f>Igazgatás!L191+Községgazd!L177+Közút!L166+Sport!L164+Közművelődés!L213+Támogatás!L177</f>
        <v>50000</v>
      </c>
      <c r="N162" s="82">
        <f>Igazgatás!M191+Községgazd!P177+Vagyongazd!M162+Közút!M166+Sport!M164+Közművelődés!O213+Támogatás!S177</f>
        <v>0</v>
      </c>
      <c r="O162" s="83">
        <f>Igazgatás!N191+Községgazd!Q177+Vagyongazd!N162+Közút!N166+Sport!N164+Közművelődés!P213+Támogatás!T177</f>
        <v>0</v>
      </c>
      <c r="P162" s="86">
        <f>Igazgatás!O191+Községgazd!R177+Vagyongazd!O162+Közút!O166+Sport!O164+Közművelődés!Q213+Támogatás!U177</f>
        <v>0</v>
      </c>
      <c r="Q162" s="86">
        <f>Igazgatás!P191+Községgazd!S177+Vagyongazd!P162+Közút!P166+Sport!P164+Közművelődés!R213+Támogatás!V177</f>
        <v>0</v>
      </c>
      <c r="R162" s="83">
        <f>Igazgatás!Q191+Községgazd!T177+Vagyongazd!Q162+Közút!Q166+Sport!Q164+Közművelődés!S213+Támogatás!W177</f>
        <v>0</v>
      </c>
      <c r="S162" s="86">
        <f>Igazgatás!R191+Községgazd!U177+Vagyongazd!R162+Közút!R166+Sport!R164+Közművelődés!T213+Támogatás!X177</f>
        <v>0</v>
      </c>
      <c r="T162" s="86">
        <f>Igazgatás!S191+Községgazd!V177+Vagyongazd!S162+Közút!S166+Sport!S164+Közművelődés!U213+Támogatás!Y177</f>
        <v>0</v>
      </c>
      <c r="U162" s="87">
        <f>Igazgatás!T191+Községgazd!W177+Vagyongazd!T162+Közút!T166+Sport!T164+Közművelődés!V213+Támogatás!Z177</f>
        <v>0</v>
      </c>
      <c r="V162" s="338">
        <f>Igazgatás!U191+Községgazd!X177+Vagyongazd!U162+Közút!U166+Sport!U164+Közművelődés!W213+Támogatás!AA177</f>
        <v>0</v>
      </c>
      <c r="W162" s="86">
        <f>Igazgatás!V191+Községgazd!Y177+Vagyongazd!V162+Közút!V166+Sport!V164+Közművelődés!X213+Támogatás!AB177</f>
        <v>50000</v>
      </c>
      <c r="X162" s="86">
        <f>Igazgatás!W191+Községgazd!Z177+Vagyongazd!W162+Közút!W166+Sport!W164+Közművelődés!Y213+Támogatás!AC177</f>
        <v>0</v>
      </c>
      <c r="Y162" s="87">
        <f>Igazgatás!X191+Községgazd!AA177+Vagyongazd!X162+Közút!X166+Sport!X164+Közművelődés!Z213+Támogatás!AD177</f>
        <v>0</v>
      </c>
      <c r="AB162" s="180"/>
    </row>
    <row r="163" spans="1:28" s="18" customFormat="1" ht="25.5" hidden="1" customHeight="1" x14ac:dyDescent="0.25">
      <c r="A163" s="118" t="s">
        <v>271</v>
      </c>
      <c r="B163" s="88" t="s">
        <v>682</v>
      </c>
      <c r="C163" s="646" t="s">
        <v>367</v>
      </c>
      <c r="D163" s="647"/>
      <c r="E163" s="647"/>
      <c r="F163" s="158" t="e">
        <v>#REF!</v>
      </c>
      <c r="G163" s="158" t="e">
        <v>#REF!</v>
      </c>
      <c r="H163" s="158" t="e">
        <v>#REF!</v>
      </c>
      <c r="I163" s="256" t="e">
        <v>#REF!</v>
      </c>
      <c r="J163" s="256" t="e">
        <v>#REF!</v>
      </c>
      <c r="K163" s="158" t="e">
        <f>Igazgatás!J192+Községgazd!J178+Vagyongazd!#REF!+Közút!J167+Sport!J165+Közművelődés!J214+Támogatás!J178</f>
        <v>#REF!</v>
      </c>
      <c r="L163" s="158" t="e">
        <f>Igazgatás!K192+Községgazd!K178+Vagyongazd!#REF!+Közút!K167+Sport!K165+Közművelődés!K214+Támogatás!K178</f>
        <v>#REF!</v>
      </c>
      <c r="M163" s="158" t="e">
        <f>Igazgatás!L192+Községgazd!L178+Vagyongazd!#REF!+Közút!L167+Sport!L165+Közművelődés!L214+Támogatás!L178</f>
        <v>#REF!</v>
      </c>
      <c r="N163" s="90">
        <f>Igazgatás!M192+Községgazd!P178+Vagyongazd!M163+Közút!M167+Sport!M165+Közművelődés!O214+Támogatás!S178</f>
        <v>0</v>
      </c>
      <c r="O163" s="91">
        <f>Igazgatás!N192+Községgazd!Q178+Vagyongazd!N163+Közút!N167+Sport!N165+Közművelődés!P214+Támogatás!T178</f>
        <v>0</v>
      </c>
      <c r="P163" s="94">
        <f>Igazgatás!O192+Községgazd!R178+Vagyongazd!O163+Közút!O167+Sport!O165+Közművelődés!Q214+Támogatás!U178</f>
        <v>0</v>
      </c>
      <c r="Q163" s="94">
        <f>Igazgatás!P192+Községgazd!S178+Vagyongazd!P163+Közút!P167+Sport!P165+Közművelődés!R214+Támogatás!V178</f>
        <v>0</v>
      </c>
      <c r="R163" s="91">
        <f>Igazgatás!Q192+Községgazd!T178+Vagyongazd!Q163+Közút!Q167+Sport!Q165+Közművelődés!S214+Támogatás!W178</f>
        <v>0</v>
      </c>
      <c r="S163" s="94">
        <f>Igazgatás!R192+Községgazd!U178+Vagyongazd!R163+Közút!R167+Sport!R165+Közművelődés!T214+Támogatás!X178</f>
        <v>0</v>
      </c>
      <c r="T163" s="94">
        <f>Igazgatás!S192+Községgazd!V178+Vagyongazd!S163+Közút!S167+Sport!S165+Közművelődés!U214+Támogatás!Y178</f>
        <v>0</v>
      </c>
      <c r="U163" s="95">
        <f>Igazgatás!T192+Községgazd!W178+Vagyongazd!T163+Közút!T167+Sport!T165+Közművelődés!V214+Támogatás!Z178</f>
        <v>0</v>
      </c>
      <c r="V163" s="341">
        <f>Igazgatás!U192+Községgazd!X178+Vagyongazd!U163+Közút!U167+Sport!U165+Közművelődés!W214+Támogatás!AA178</f>
        <v>0</v>
      </c>
      <c r="W163" s="94">
        <f>Igazgatás!V192+Községgazd!Y178+Vagyongazd!V163+Közút!V167+Sport!V165+Közművelődés!X214+Támogatás!AB178</f>
        <v>0</v>
      </c>
      <c r="X163" s="94">
        <f>Igazgatás!W192+Községgazd!Z178+Vagyongazd!W163+Közút!W167+Sport!W165+Közművelődés!Y214+Támogatás!AC178</f>
        <v>0</v>
      </c>
      <c r="Y163" s="95">
        <f>Igazgatás!X192+Községgazd!AA178+Vagyongazd!X163+Közút!X167+Sport!X165+Közművelődés!Z214+Támogatás!AD178</f>
        <v>0</v>
      </c>
      <c r="AB163" s="180"/>
    </row>
    <row r="164" spans="1:28" s="18" customFormat="1" ht="16.350000000000001" hidden="1" customHeight="1" x14ac:dyDescent="0.25">
      <c r="A164" s="118" t="s">
        <v>272</v>
      </c>
      <c r="B164" s="88" t="s">
        <v>683</v>
      </c>
      <c r="C164" s="716" t="s">
        <v>811</v>
      </c>
      <c r="D164" s="717"/>
      <c r="E164" s="717"/>
      <c r="F164" s="158" t="e">
        <v>#REF!</v>
      </c>
      <c r="G164" s="158" t="e">
        <v>#REF!</v>
      </c>
      <c r="H164" s="158" t="e">
        <v>#REF!</v>
      </c>
      <c r="I164" s="256" t="e">
        <v>#REF!</v>
      </c>
      <c r="J164" s="256" t="e">
        <v>#REF!</v>
      </c>
      <c r="K164" s="158" t="e">
        <f>Igazgatás!J193+Községgazd!J179+Vagyongazd!#REF!+Közút!J168+Sport!J166+Közművelődés!J215+Támogatás!J179</f>
        <v>#REF!</v>
      </c>
      <c r="L164" s="158" t="e">
        <f>Igazgatás!K193+Községgazd!K179+Vagyongazd!#REF!+Közút!K168+Sport!K166+Közművelődés!K215+Támogatás!K179</f>
        <v>#REF!</v>
      </c>
      <c r="M164" s="158" t="e">
        <f>Igazgatás!L193+Községgazd!L179+Vagyongazd!#REF!+Közút!L168+Sport!L166+Közművelődés!L215+Támogatás!L179</f>
        <v>#REF!</v>
      </c>
      <c r="N164" s="90">
        <f>Igazgatás!M193+Községgazd!P179+Vagyongazd!M164+Közút!M168+Sport!M166+Közművelődés!O215+Támogatás!S179</f>
        <v>0</v>
      </c>
      <c r="O164" s="91">
        <f>Igazgatás!N193+Községgazd!Q179+Vagyongazd!N164+Közút!N168+Sport!N166+Közművelődés!P215+Támogatás!T179</f>
        <v>0</v>
      </c>
      <c r="P164" s="94">
        <f>Igazgatás!O193+Községgazd!R179+Vagyongazd!O164+Közút!O168+Sport!O166+Közművelődés!Q215+Támogatás!U179</f>
        <v>0</v>
      </c>
      <c r="Q164" s="94">
        <f>Igazgatás!P193+Községgazd!S179+Vagyongazd!P164+Közút!P168+Sport!P166+Közművelődés!R215+Támogatás!V179</f>
        <v>0</v>
      </c>
      <c r="R164" s="91">
        <f>Igazgatás!Q193+Községgazd!T179+Vagyongazd!Q164+Közút!Q168+Sport!Q166+Közművelődés!S215+Támogatás!W179</f>
        <v>0</v>
      </c>
      <c r="S164" s="94">
        <f>Igazgatás!R193+Községgazd!U179+Vagyongazd!R164+Közút!R168+Sport!R166+Közművelődés!T215+Támogatás!X179</f>
        <v>0</v>
      </c>
      <c r="T164" s="94">
        <f>Igazgatás!S193+Községgazd!V179+Vagyongazd!S164+Közút!S168+Sport!S166+Közművelődés!U215+Támogatás!Y179</f>
        <v>0</v>
      </c>
      <c r="U164" s="95">
        <f>Igazgatás!T193+Községgazd!W179+Vagyongazd!T164+Közút!T168+Sport!T166+Közművelődés!V215+Támogatás!Z179</f>
        <v>0</v>
      </c>
      <c r="V164" s="341">
        <f>Igazgatás!U193+Községgazd!X179+Vagyongazd!U164+Közút!U168+Sport!U166+Közművelődés!W215+Támogatás!AA179</f>
        <v>0</v>
      </c>
      <c r="W164" s="94">
        <f>Igazgatás!V193+Községgazd!Y179+Vagyongazd!V164+Közút!V168+Sport!V166+Közművelődés!X215+Támogatás!AB179</f>
        <v>0</v>
      </c>
      <c r="X164" s="94">
        <f>Igazgatás!W193+Községgazd!Z179+Vagyongazd!W164+Közút!W168+Sport!W166+Közművelődés!Y215+Támogatás!AC179</f>
        <v>0</v>
      </c>
      <c r="Y164" s="95">
        <f>Igazgatás!X193+Községgazd!AA179+Vagyongazd!X164+Közút!X168+Sport!X166+Közművelődés!Z215+Támogatás!AD179</f>
        <v>0</v>
      </c>
      <c r="AB164" s="180"/>
    </row>
    <row r="165" spans="1:28" ht="15.75" hidden="1" customHeight="1" x14ac:dyDescent="0.25">
      <c r="B165" s="54"/>
      <c r="C165" s="2"/>
      <c r="D165" s="624" t="s">
        <v>812</v>
      </c>
      <c r="E165" s="624"/>
      <c r="F165" s="159" t="e">
        <v>#REF!</v>
      </c>
      <c r="G165" s="159" t="e">
        <v>#REF!</v>
      </c>
      <c r="H165" s="159" t="e">
        <v>#REF!</v>
      </c>
      <c r="I165" s="159" t="e">
        <v>#REF!</v>
      </c>
      <c r="J165" s="159" t="e">
        <v>#REF!</v>
      </c>
      <c r="K165" s="159" t="e">
        <f>Igazgatás!J194+Községgazd!J180+Vagyongazd!#REF!+Közút!J169+Sport!J167+Közművelődés!J216+Támogatás!J180</f>
        <v>#REF!</v>
      </c>
      <c r="L165" s="159" t="e">
        <f>Igazgatás!K194+Községgazd!K180+Vagyongazd!#REF!+Közút!K169+Sport!K167+Közművelődés!K216+Támogatás!K180</f>
        <v>#REF!</v>
      </c>
      <c r="M165" s="159" t="e">
        <f>Igazgatás!L194+Községgazd!L180+Vagyongazd!#REF!+Közút!L169+Sport!L167+Közművelődés!L216+Támogatás!L180</f>
        <v>#REF!</v>
      </c>
      <c r="N165" s="72">
        <f>Igazgatás!M194+Községgazd!P180+Vagyongazd!M165+Közút!M169+Sport!M167+Közművelődés!O216+Támogatás!S180</f>
        <v>0</v>
      </c>
      <c r="O165" s="1">
        <f>Igazgatás!N194+Községgazd!Q180+Vagyongazd!N165+Közút!N169+Sport!N167+Közművelődés!P216+Támogatás!T180</f>
        <v>0</v>
      </c>
      <c r="P165" s="78">
        <f>Igazgatás!O194+Községgazd!R180+Vagyongazd!O165+Közút!O169+Sport!O167+Közművelődés!Q216+Támogatás!U180</f>
        <v>0</v>
      </c>
      <c r="Q165" s="78">
        <f>Igazgatás!P194+Községgazd!S180+Vagyongazd!P165+Közút!P169+Sport!P167+Közművelődés!R216+Támogatás!V180</f>
        <v>0</v>
      </c>
      <c r="R165" s="1">
        <f>Igazgatás!Q194+Községgazd!T180+Vagyongazd!Q165+Közút!Q169+Sport!Q167+Közművelődés!S216+Támogatás!W180</f>
        <v>0</v>
      </c>
      <c r="S165" s="78">
        <f>Igazgatás!R194+Községgazd!U180+Vagyongazd!R165+Közút!R169+Sport!R167+Közművelődés!T216+Támogatás!X180</f>
        <v>0</v>
      </c>
      <c r="T165" s="78">
        <f>Igazgatás!S194+Községgazd!V180+Vagyongazd!S165+Közút!S169+Sport!S167+Közművelődés!U216+Támogatás!Y180</f>
        <v>0</v>
      </c>
      <c r="U165" s="44">
        <f>Igazgatás!T194+Községgazd!W180+Vagyongazd!T165+Közút!T169+Sport!T167+Közművelődés!V216+Támogatás!Z180</f>
        <v>0</v>
      </c>
      <c r="V165" s="343">
        <f>Igazgatás!U194+Községgazd!X180+Vagyongazd!U165+Közút!U169+Sport!U167+Közművelődés!W216+Támogatás!AA180</f>
        <v>0</v>
      </c>
      <c r="W165" s="78">
        <f>Igazgatás!V194+Községgazd!Y180+Vagyongazd!V165+Közút!V169+Sport!V167+Közművelődés!X216+Támogatás!AB180</f>
        <v>0</v>
      </c>
      <c r="X165" s="78">
        <f>Igazgatás!W194+Községgazd!Z180+Vagyongazd!W165+Közút!W169+Sport!W167+Közművelődés!Y216+Támogatás!AC180</f>
        <v>0</v>
      </c>
      <c r="Y165" s="44">
        <f>Igazgatás!X194+Községgazd!AA180+Vagyongazd!X165+Közút!X169+Sport!X167+Közművelődés!Z216+Támogatás!AD180</f>
        <v>0</v>
      </c>
      <c r="AB165" s="180"/>
    </row>
    <row r="166" spans="1:28" ht="15.75" hidden="1" customHeight="1" x14ac:dyDescent="0.25">
      <c r="B166" s="54"/>
      <c r="C166" s="2"/>
      <c r="D166" s="624" t="s">
        <v>813</v>
      </c>
      <c r="E166" s="624"/>
      <c r="F166" s="159" t="e">
        <v>#REF!</v>
      </c>
      <c r="G166" s="159" t="e">
        <v>#REF!</v>
      </c>
      <c r="H166" s="159" t="e">
        <v>#REF!</v>
      </c>
      <c r="I166" s="159" t="e">
        <v>#REF!</v>
      </c>
      <c r="J166" s="159" t="e">
        <v>#REF!</v>
      </c>
      <c r="K166" s="159" t="e">
        <f>Igazgatás!J195+Községgazd!J181+Vagyongazd!#REF!+Közút!J170+Sport!J168+Közművelődés!J217+Támogatás!J181</f>
        <v>#REF!</v>
      </c>
      <c r="L166" s="159" t="e">
        <f>Igazgatás!K195+Községgazd!K181+Vagyongazd!#REF!+Közút!K170+Sport!K168+Közművelődés!K217+Támogatás!K181</f>
        <v>#REF!</v>
      </c>
      <c r="M166" s="159" t="e">
        <f>Igazgatás!L195+Községgazd!L181+Vagyongazd!#REF!+Közút!L170+Sport!L168+Közművelődés!L217+Támogatás!L181</f>
        <v>#REF!</v>
      </c>
      <c r="N166" s="72">
        <f>Igazgatás!M195+Községgazd!P181+Vagyongazd!M166+Közút!M170+Sport!M168+Közművelődés!O217+Támogatás!S181</f>
        <v>0</v>
      </c>
      <c r="O166" s="1">
        <f>Igazgatás!N195+Községgazd!Q181+Vagyongazd!N166+Közút!N170+Sport!N168+Közművelődés!P217+Támogatás!T181</f>
        <v>0</v>
      </c>
      <c r="P166" s="78">
        <f>Igazgatás!O195+Községgazd!R181+Vagyongazd!O166+Közút!O170+Sport!O168+Közművelődés!Q217+Támogatás!U181</f>
        <v>0</v>
      </c>
      <c r="Q166" s="78">
        <f>Igazgatás!P195+Községgazd!S181+Vagyongazd!P166+Közút!P170+Sport!P168+Közművelődés!R217+Támogatás!V181</f>
        <v>0</v>
      </c>
      <c r="R166" s="1">
        <f>Igazgatás!Q195+Községgazd!T181+Vagyongazd!Q166+Közút!Q170+Sport!Q168+Közművelődés!S217+Támogatás!W181</f>
        <v>0</v>
      </c>
      <c r="S166" s="78">
        <f>Igazgatás!R195+Községgazd!U181+Vagyongazd!R166+Közút!R170+Sport!R168+Közművelődés!T217+Támogatás!X181</f>
        <v>0</v>
      </c>
      <c r="T166" s="78">
        <f>Igazgatás!S195+Községgazd!V181+Vagyongazd!S166+Közút!S170+Sport!S168+Közművelődés!U217+Támogatás!Y181</f>
        <v>0</v>
      </c>
      <c r="U166" s="44">
        <f>Igazgatás!T195+Községgazd!W181+Vagyongazd!T166+Közút!T170+Sport!T168+Közművelődés!V217+Támogatás!Z181</f>
        <v>0</v>
      </c>
      <c r="V166" s="343">
        <f>Igazgatás!U195+Községgazd!X181+Vagyongazd!U166+Közút!U170+Sport!U168+Közművelődés!W217+Támogatás!AA181</f>
        <v>0</v>
      </c>
      <c r="W166" s="78">
        <f>Igazgatás!V195+Községgazd!Y181+Vagyongazd!V166+Közút!V170+Sport!V168+Közművelődés!X217+Támogatás!AB181</f>
        <v>0</v>
      </c>
      <c r="X166" s="78">
        <f>Igazgatás!W195+Községgazd!Z181+Vagyongazd!W166+Közút!W170+Sport!W168+Közművelődés!Y217+Támogatás!AC181</f>
        <v>0</v>
      </c>
      <c r="Y166" s="44">
        <f>Igazgatás!X195+Községgazd!AA181+Vagyongazd!X166+Közút!X170+Sport!X168+Közművelődés!Z217+Támogatás!AD181</f>
        <v>0</v>
      </c>
      <c r="AB166" s="180"/>
    </row>
    <row r="167" spans="1:28" ht="15.75" hidden="1" customHeight="1" x14ac:dyDescent="0.25">
      <c r="B167" s="54"/>
      <c r="C167" s="2"/>
      <c r="D167" s="624" t="s">
        <v>545</v>
      </c>
      <c r="E167" s="624"/>
      <c r="F167" s="159" t="e">
        <v>#REF!</v>
      </c>
      <c r="G167" s="159" t="e">
        <v>#REF!</v>
      </c>
      <c r="H167" s="159" t="e">
        <v>#REF!</v>
      </c>
      <c r="I167" s="159" t="e">
        <v>#REF!</v>
      </c>
      <c r="J167" s="159" t="e">
        <v>#REF!</v>
      </c>
      <c r="K167" s="159" t="e">
        <f>Igazgatás!J196+Községgazd!J182+Vagyongazd!#REF!+Közút!J171+Sport!J169+Közművelődés!J218+Támogatás!J182</f>
        <v>#REF!</v>
      </c>
      <c r="L167" s="159" t="e">
        <f>Igazgatás!K196+Községgazd!K182+Vagyongazd!#REF!+Közút!K171+Sport!K169+Közművelődés!K218+Támogatás!K182</f>
        <v>#REF!</v>
      </c>
      <c r="M167" s="159" t="e">
        <f>Igazgatás!L196+Községgazd!L182+Vagyongazd!#REF!+Közút!L171+Sport!L169+Közművelődés!L218+Támogatás!L182</f>
        <v>#REF!</v>
      </c>
      <c r="N167" s="72">
        <f>Igazgatás!M196+Községgazd!P182+Vagyongazd!M167+Közút!M171+Sport!M169+Közművelődés!O218+Támogatás!S182</f>
        <v>0</v>
      </c>
      <c r="O167" s="1">
        <f>Igazgatás!N196+Községgazd!Q182+Vagyongazd!N167+Közút!N171+Sport!N169+Közművelődés!P218+Támogatás!T182</f>
        <v>0</v>
      </c>
      <c r="P167" s="78">
        <f>Igazgatás!O196+Községgazd!R182+Vagyongazd!O167+Közút!O171+Sport!O169+Közművelődés!Q218+Támogatás!U182</f>
        <v>0</v>
      </c>
      <c r="Q167" s="78">
        <f>Igazgatás!P196+Községgazd!S182+Vagyongazd!P167+Közút!P171+Sport!P169+Közművelődés!R218+Támogatás!V182</f>
        <v>0</v>
      </c>
      <c r="R167" s="1">
        <f>Igazgatás!Q196+Községgazd!T182+Vagyongazd!Q167+Közút!Q171+Sport!Q169+Közművelődés!S218+Támogatás!W182</f>
        <v>0</v>
      </c>
      <c r="S167" s="78">
        <f>Igazgatás!R196+Községgazd!U182+Vagyongazd!R167+Közút!R171+Sport!R169+Közművelődés!T218+Támogatás!X182</f>
        <v>0</v>
      </c>
      <c r="T167" s="78">
        <f>Igazgatás!S196+Községgazd!V182+Vagyongazd!S167+Közút!S171+Sport!S169+Közművelődés!U218+Támogatás!Y182</f>
        <v>0</v>
      </c>
      <c r="U167" s="44">
        <f>Igazgatás!T196+Községgazd!W182+Vagyongazd!T167+Közút!T171+Sport!T169+Közművelődés!V218+Támogatás!Z182</f>
        <v>0</v>
      </c>
      <c r="V167" s="343">
        <f>Igazgatás!U196+Községgazd!X182+Vagyongazd!U167+Közút!U171+Sport!U169+Közművelődés!W218+Támogatás!AA182</f>
        <v>0</v>
      </c>
      <c r="W167" s="78">
        <f>Igazgatás!V196+Községgazd!Y182+Vagyongazd!V167+Közút!V171+Sport!V169+Közművelődés!X218+Támogatás!AB182</f>
        <v>0</v>
      </c>
      <c r="X167" s="78">
        <f>Igazgatás!W196+Községgazd!Z182+Vagyongazd!W167+Közút!W171+Sport!W169+Közművelődés!Y218+Támogatás!AC182</f>
        <v>0</v>
      </c>
      <c r="Y167" s="44">
        <f>Igazgatás!X196+Községgazd!AA182+Vagyongazd!X167+Közút!X171+Sport!X169+Közművelődés!Z218+Támogatás!AD182</f>
        <v>0</v>
      </c>
      <c r="AB167" s="180"/>
    </row>
    <row r="168" spans="1:28" ht="25.5" hidden="1" customHeight="1" x14ac:dyDescent="0.25">
      <c r="B168" s="54"/>
      <c r="C168" s="2"/>
      <c r="D168" s="625" t="s">
        <v>548</v>
      </c>
      <c r="E168" s="625"/>
      <c r="F168" s="159" t="e">
        <v>#REF!</v>
      </c>
      <c r="G168" s="159" t="e">
        <v>#REF!</v>
      </c>
      <c r="H168" s="159" t="e">
        <v>#REF!</v>
      </c>
      <c r="I168" s="159" t="e">
        <v>#REF!</v>
      </c>
      <c r="J168" s="159" t="e">
        <v>#REF!</v>
      </c>
      <c r="K168" s="159" t="e">
        <f>Igazgatás!J197+Községgazd!J183+Vagyongazd!#REF!+Közút!J172+Sport!J170+Közművelődés!J219+Támogatás!J183</f>
        <v>#REF!</v>
      </c>
      <c r="L168" s="159" t="e">
        <f>Igazgatás!K197+Községgazd!K183+Vagyongazd!#REF!+Közút!K172+Sport!K170+Közművelődés!K219+Támogatás!K183</f>
        <v>#REF!</v>
      </c>
      <c r="M168" s="159" t="e">
        <f>Igazgatás!L197+Községgazd!L183+Vagyongazd!#REF!+Közút!L172+Sport!L170+Közművelődés!L219+Támogatás!L183</f>
        <v>#REF!</v>
      </c>
      <c r="N168" s="72">
        <f>Igazgatás!M197+Községgazd!P183+Vagyongazd!M168+Közút!M172+Sport!M170+Közművelődés!O219+Támogatás!S183</f>
        <v>0</v>
      </c>
      <c r="O168" s="1">
        <f>Igazgatás!N197+Községgazd!Q183+Vagyongazd!N168+Közút!N172+Sport!N170+Közművelődés!P219+Támogatás!T183</f>
        <v>0</v>
      </c>
      <c r="P168" s="78">
        <f>Igazgatás!O197+Községgazd!R183+Vagyongazd!O168+Közút!O172+Sport!O170+Közművelődés!Q219+Támogatás!U183</f>
        <v>0</v>
      </c>
      <c r="Q168" s="78">
        <f>Igazgatás!P197+Községgazd!S183+Vagyongazd!P168+Közút!P172+Sport!P170+Közművelődés!R219+Támogatás!V183</f>
        <v>0</v>
      </c>
      <c r="R168" s="1">
        <f>Igazgatás!Q197+Községgazd!T183+Vagyongazd!Q168+Közút!Q172+Sport!Q170+Közművelődés!S219+Támogatás!W183</f>
        <v>0</v>
      </c>
      <c r="S168" s="78">
        <f>Igazgatás!R197+Községgazd!U183+Vagyongazd!R168+Közút!R172+Sport!R170+Közművelődés!T219+Támogatás!X183</f>
        <v>0</v>
      </c>
      <c r="T168" s="78">
        <f>Igazgatás!S197+Községgazd!V183+Vagyongazd!S168+Közút!S172+Sport!S170+Közművelődés!U219+Támogatás!Y183</f>
        <v>0</v>
      </c>
      <c r="U168" s="44">
        <f>Igazgatás!T197+Községgazd!W183+Vagyongazd!T168+Közút!T172+Sport!T170+Közművelődés!V219+Támogatás!Z183</f>
        <v>0</v>
      </c>
      <c r="V168" s="343">
        <f>Igazgatás!U197+Községgazd!X183+Vagyongazd!U168+Közút!U172+Sport!U170+Közművelődés!W219+Támogatás!AA183</f>
        <v>0</v>
      </c>
      <c r="W168" s="78">
        <f>Igazgatás!V197+Községgazd!Y183+Vagyongazd!V168+Közút!V172+Sport!V170+Közművelődés!X219+Támogatás!AB183</f>
        <v>0</v>
      </c>
      <c r="X168" s="78">
        <f>Igazgatás!W197+Községgazd!Z183+Vagyongazd!W168+Közút!W172+Sport!W170+Közművelődés!Y219+Támogatás!AC183</f>
        <v>0</v>
      </c>
      <c r="Y168" s="44">
        <f>Igazgatás!X197+Községgazd!AA183+Vagyongazd!X168+Közút!X172+Sport!X170+Közművelődés!Z219+Támogatás!AD183</f>
        <v>0</v>
      </c>
      <c r="AB168" s="180"/>
    </row>
    <row r="169" spans="1:28" ht="15.75" hidden="1" customHeight="1" x14ac:dyDescent="0.25">
      <c r="B169" s="54"/>
      <c r="C169" s="2"/>
      <c r="D169" s="624" t="s">
        <v>550</v>
      </c>
      <c r="E169" s="624"/>
      <c r="F169" s="159" t="e">
        <v>#REF!</v>
      </c>
      <c r="G169" s="159" t="e">
        <v>#REF!</v>
      </c>
      <c r="H169" s="159" t="e">
        <v>#REF!</v>
      </c>
      <c r="I169" s="159" t="e">
        <v>#REF!</v>
      </c>
      <c r="J169" s="159" t="e">
        <v>#REF!</v>
      </c>
      <c r="K169" s="159" t="e">
        <f>Igazgatás!J198+Községgazd!J184+Vagyongazd!#REF!+Közút!J173+Sport!J171+Közművelődés!J220+Támogatás!J184</f>
        <v>#REF!</v>
      </c>
      <c r="L169" s="159" t="e">
        <f>Igazgatás!K198+Községgazd!K184+Vagyongazd!#REF!+Közút!K173+Sport!K171+Közművelődés!K220+Támogatás!K184</f>
        <v>#REF!</v>
      </c>
      <c r="M169" s="159" t="e">
        <f>Igazgatás!L198+Községgazd!L184+Vagyongazd!#REF!+Közút!L173+Sport!L171+Közművelődés!L220+Támogatás!L184</f>
        <v>#REF!</v>
      </c>
      <c r="N169" s="72">
        <f>Igazgatás!M198+Községgazd!P184+Vagyongazd!M169+Közút!M173+Sport!M171+Közművelődés!O220+Támogatás!S184</f>
        <v>0</v>
      </c>
      <c r="O169" s="1">
        <f>Igazgatás!N198+Községgazd!Q184+Vagyongazd!N169+Közút!N173+Sport!N171+Közművelődés!P220+Támogatás!T184</f>
        <v>0</v>
      </c>
      <c r="P169" s="78">
        <f>Igazgatás!O198+Községgazd!R184+Vagyongazd!O169+Közút!O173+Sport!O171+Közművelődés!Q220+Támogatás!U184</f>
        <v>0</v>
      </c>
      <c r="Q169" s="78">
        <f>Igazgatás!P198+Községgazd!S184+Vagyongazd!P169+Közút!P173+Sport!P171+Közművelődés!R220+Támogatás!V184</f>
        <v>0</v>
      </c>
      <c r="R169" s="1">
        <f>Igazgatás!Q198+Községgazd!T184+Vagyongazd!Q169+Közút!Q173+Sport!Q171+Közművelődés!S220+Támogatás!W184</f>
        <v>0</v>
      </c>
      <c r="S169" s="78">
        <f>Igazgatás!R198+Községgazd!U184+Vagyongazd!R169+Közút!R173+Sport!R171+Közművelődés!T220+Támogatás!X184</f>
        <v>0</v>
      </c>
      <c r="T169" s="78">
        <f>Igazgatás!S198+Községgazd!V184+Vagyongazd!S169+Közút!S173+Sport!S171+Közművelődés!U220+Támogatás!Y184</f>
        <v>0</v>
      </c>
      <c r="U169" s="44">
        <f>Igazgatás!T198+Községgazd!W184+Vagyongazd!T169+Közút!T173+Sport!T171+Közművelődés!V220+Támogatás!Z184</f>
        <v>0</v>
      </c>
      <c r="V169" s="343">
        <f>Igazgatás!U198+Községgazd!X184+Vagyongazd!U169+Közút!U173+Sport!U171+Közművelődés!W220+Támogatás!AA184</f>
        <v>0</v>
      </c>
      <c r="W169" s="78">
        <f>Igazgatás!V198+Községgazd!Y184+Vagyongazd!V169+Közút!V173+Sport!V171+Közművelődés!X220+Támogatás!AB184</f>
        <v>0</v>
      </c>
      <c r="X169" s="78">
        <f>Igazgatás!W198+Községgazd!Z184+Vagyongazd!W169+Közút!W173+Sport!W171+Közművelődés!Y220+Támogatás!AC184</f>
        <v>0</v>
      </c>
      <c r="Y169" s="44">
        <f>Igazgatás!X198+Községgazd!AA184+Vagyongazd!X169+Közút!X173+Sport!X171+Közművelődés!Z220+Támogatás!AD184</f>
        <v>0</v>
      </c>
      <c r="AB169" s="180"/>
    </row>
    <row r="170" spans="1:28" ht="15.75" hidden="1" customHeight="1" x14ac:dyDescent="0.25">
      <c r="B170" s="54"/>
      <c r="C170" s="2"/>
      <c r="D170" s="624" t="s">
        <v>551</v>
      </c>
      <c r="E170" s="624"/>
      <c r="F170" s="159" t="e">
        <v>#REF!</v>
      </c>
      <c r="G170" s="159" t="e">
        <v>#REF!</v>
      </c>
      <c r="H170" s="159" t="e">
        <v>#REF!</v>
      </c>
      <c r="I170" s="159" t="e">
        <v>#REF!</v>
      </c>
      <c r="J170" s="159" t="e">
        <v>#REF!</v>
      </c>
      <c r="K170" s="159" t="e">
        <f>Igazgatás!J199+Községgazd!J185+Vagyongazd!#REF!+Közút!J174+Sport!J172+Közművelődés!J221+Támogatás!J185</f>
        <v>#REF!</v>
      </c>
      <c r="L170" s="159" t="e">
        <f>Igazgatás!K199+Községgazd!K185+Vagyongazd!#REF!+Közút!K174+Sport!K172+Közművelődés!K221+Támogatás!K185</f>
        <v>#REF!</v>
      </c>
      <c r="M170" s="159" t="e">
        <f>Igazgatás!L199+Községgazd!L185+Vagyongazd!#REF!+Közút!L174+Sport!L172+Közművelődés!L221+Támogatás!L185</f>
        <v>#REF!</v>
      </c>
      <c r="N170" s="72">
        <f>Igazgatás!M199+Községgazd!P185+Vagyongazd!M170+Közút!M174+Sport!M172+Közművelődés!O221+Támogatás!S185</f>
        <v>0</v>
      </c>
      <c r="O170" s="1">
        <f>Igazgatás!N199+Községgazd!Q185+Vagyongazd!N170+Közút!N174+Sport!N172+Közművelődés!P221+Támogatás!T185</f>
        <v>0</v>
      </c>
      <c r="P170" s="78">
        <f>Igazgatás!O199+Községgazd!R185+Vagyongazd!O170+Közút!O174+Sport!O172+Közművelődés!Q221+Támogatás!U185</f>
        <v>0</v>
      </c>
      <c r="Q170" s="78">
        <f>Igazgatás!P199+Községgazd!S185+Vagyongazd!P170+Közút!P174+Sport!P172+Közművelődés!R221+Támogatás!V185</f>
        <v>0</v>
      </c>
      <c r="R170" s="1">
        <f>Igazgatás!Q199+Községgazd!T185+Vagyongazd!Q170+Közút!Q174+Sport!Q172+Közművelődés!S221+Támogatás!W185</f>
        <v>0</v>
      </c>
      <c r="S170" s="78">
        <f>Igazgatás!R199+Községgazd!U185+Vagyongazd!R170+Közút!R174+Sport!R172+Közművelődés!T221+Támogatás!X185</f>
        <v>0</v>
      </c>
      <c r="T170" s="78">
        <f>Igazgatás!S199+Községgazd!V185+Vagyongazd!S170+Közút!S174+Sport!S172+Közművelődés!U221+Támogatás!Y185</f>
        <v>0</v>
      </c>
      <c r="U170" s="44">
        <f>Igazgatás!T199+Községgazd!W185+Vagyongazd!T170+Közút!T174+Sport!T172+Közművelődés!V221+Támogatás!Z185</f>
        <v>0</v>
      </c>
      <c r="V170" s="343">
        <f>Igazgatás!U199+Községgazd!X185+Vagyongazd!U170+Közút!U174+Sport!U172+Közművelődés!W221+Támogatás!AA185</f>
        <v>0</v>
      </c>
      <c r="W170" s="78">
        <f>Igazgatás!V199+Községgazd!Y185+Vagyongazd!V170+Közút!V174+Sport!V172+Közművelődés!X221+Támogatás!AB185</f>
        <v>0</v>
      </c>
      <c r="X170" s="78">
        <f>Igazgatás!W199+Községgazd!Z185+Vagyongazd!W170+Közút!W174+Sport!W172+Közművelődés!Y221+Támogatás!AC185</f>
        <v>0</v>
      </c>
      <c r="Y170" s="44">
        <f>Igazgatás!X199+Községgazd!AA185+Vagyongazd!X170+Közút!X174+Sport!X172+Közművelődés!Z221+Támogatás!AD185</f>
        <v>0</v>
      </c>
      <c r="AB170" s="180"/>
    </row>
    <row r="171" spans="1:28" ht="25.5" hidden="1" customHeight="1" x14ac:dyDescent="0.25">
      <c r="B171" s="54"/>
      <c r="C171" s="2"/>
      <c r="D171" s="625" t="s">
        <v>555</v>
      </c>
      <c r="E171" s="625"/>
      <c r="F171" s="159" t="e">
        <v>#REF!</v>
      </c>
      <c r="G171" s="159" t="e">
        <v>#REF!</v>
      </c>
      <c r="H171" s="159" t="e">
        <v>#REF!</v>
      </c>
      <c r="I171" s="159" t="e">
        <v>#REF!</v>
      </c>
      <c r="J171" s="159" t="e">
        <v>#REF!</v>
      </c>
      <c r="K171" s="159" t="e">
        <f>Igazgatás!J200+Községgazd!J186+Vagyongazd!#REF!+Közút!J175+Sport!J173+Közművelődés!J222+Támogatás!J186</f>
        <v>#REF!</v>
      </c>
      <c r="L171" s="159" t="e">
        <f>Igazgatás!K200+Községgazd!K186+Vagyongazd!#REF!+Közút!K175+Sport!K173+Közművelődés!K222+Támogatás!K186</f>
        <v>#REF!</v>
      </c>
      <c r="M171" s="159" t="e">
        <f>Igazgatás!L200+Községgazd!L186+Vagyongazd!#REF!+Közút!L175+Sport!L173+Közművelődés!L222+Támogatás!L186</f>
        <v>#REF!</v>
      </c>
      <c r="N171" s="72">
        <f>Igazgatás!M200+Községgazd!P186+Vagyongazd!M171+Közút!M175+Sport!M173+Közművelődés!O222+Támogatás!S186</f>
        <v>0</v>
      </c>
      <c r="O171" s="1">
        <f>Igazgatás!N200+Községgazd!Q186+Vagyongazd!N171+Közút!N175+Sport!N173+Közművelődés!P222+Támogatás!T186</f>
        <v>0</v>
      </c>
      <c r="P171" s="78">
        <f>Igazgatás!O200+Községgazd!R186+Vagyongazd!O171+Közút!O175+Sport!O173+Közművelődés!Q222+Támogatás!U186</f>
        <v>0</v>
      </c>
      <c r="Q171" s="78">
        <f>Igazgatás!P200+Községgazd!S186+Vagyongazd!P171+Közút!P175+Sport!P173+Közművelődés!R222+Támogatás!V186</f>
        <v>0</v>
      </c>
      <c r="R171" s="1">
        <f>Igazgatás!Q200+Községgazd!T186+Vagyongazd!Q171+Közút!Q175+Sport!Q173+Közművelődés!S222+Támogatás!W186</f>
        <v>0</v>
      </c>
      <c r="S171" s="78">
        <f>Igazgatás!R200+Községgazd!U186+Vagyongazd!R171+Közút!R175+Sport!R173+Közművelődés!T222+Támogatás!X186</f>
        <v>0</v>
      </c>
      <c r="T171" s="78">
        <f>Igazgatás!S200+Községgazd!V186+Vagyongazd!S171+Közút!S175+Sport!S173+Közművelődés!U222+Támogatás!Y186</f>
        <v>0</v>
      </c>
      <c r="U171" s="44">
        <f>Igazgatás!T200+Községgazd!W186+Vagyongazd!T171+Közút!T175+Sport!T173+Közművelődés!V222+Támogatás!Z186</f>
        <v>0</v>
      </c>
      <c r="V171" s="343">
        <f>Igazgatás!U200+Községgazd!X186+Vagyongazd!U171+Közút!U175+Sport!U173+Közművelődés!W222+Támogatás!AA186</f>
        <v>0</v>
      </c>
      <c r="W171" s="78">
        <f>Igazgatás!V200+Községgazd!Y186+Vagyongazd!V171+Közút!V175+Sport!V173+Közművelődés!X222+Támogatás!AB186</f>
        <v>0</v>
      </c>
      <c r="X171" s="78">
        <f>Igazgatás!W200+Községgazd!Z186+Vagyongazd!W171+Közút!W175+Sport!W173+Közművelődés!Y222+Támogatás!AC186</f>
        <v>0</v>
      </c>
      <c r="Y171" s="44">
        <f>Igazgatás!X200+Községgazd!AA186+Vagyongazd!X171+Közút!X175+Sport!X173+Közművelődés!Z222+Támogatás!AD186</f>
        <v>0</v>
      </c>
      <c r="AB171" s="180"/>
    </row>
    <row r="172" spans="1:28" ht="25.5" hidden="1" customHeight="1" x14ac:dyDescent="0.25">
      <c r="B172" s="54"/>
      <c r="C172" s="2"/>
      <c r="D172" s="625" t="s">
        <v>558</v>
      </c>
      <c r="E172" s="625"/>
      <c r="F172" s="159" t="e">
        <v>#REF!</v>
      </c>
      <c r="G172" s="159" t="e">
        <v>#REF!</v>
      </c>
      <c r="H172" s="159" t="e">
        <v>#REF!</v>
      </c>
      <c r="I172" s="159" t="e">
        <v>#REF!</v>
      </c>
      <c r="J172" s="159" t="e">
        <v>#REF!</v>
      </c>
      <c r="K172" s="159" t="e">
        <f>Igazgatás!J201+Községgazd!J187+Vagyongazd!#REF!+Közút!J176+Sport!J174+Közművelődés!J223+Támogatás!J187</f>
        <v>#REF!</v>
      </c>
      <c r="L172" s="159" t="e">
        <f>Igazgatás!K201+Községgazd!K187+Vagyongazd!#REF!+Közút!K176+Sport!K174+Közművelődés!K223+Támogatás!K187</f>
        <v>#REF!</v>
      </c>
      <c r="M172" s="159" t="e">
        <f>Igazgatás!L201+Községgazd!L187+Vagyongazd!#REF!+Közút!L176+Sport!L174+Közművelődés!L223+Támogatás!L187</f>
        <v>#REF!</v>
      </c>
      <c r="N172" s="72">
        <f>Igazgatás!M201+Községgazd!P187+Vagyongazd!M172+Közút!M176+Sport!M174+Közművelődés!O223+Támogatás!S187</f>
        <v>0</v>
      </c>
      <c r="O172" s="1">
        <f>Igazgatás!N201+Községgazd!Q187+Vagyongazd!N172+Közút!N176+Sport!N174+Közművelődés!P223+Támogatás!T187</f>
        <v>0</v>
      </c>
      <c r="P172" s="78">
        <f>Igazgatás!O201+Községgazd!R187+Vagyongazd!O172+Közút!O176+Sport!O174+Közművelődés!Q223+Támogatás!U187</f>
        <v>0</v>
      </c>
      <c r="Q172" s="78">
        <f>Igazgatás!P201+Községgazd!S187+Vagyongazd!P172+Közút!P176+Sport!P174+Közművelődés!R223+Támogatás!V187</f>
        <v>0</v>
      </c>
      <c r="R172" s="1">
        <f>Igazgatás!Q201+Községgazd!T187+Vagyongazd!Q172+Közút!Q176+Sport!Q174+Közművelődés!S223+Támogatás!W187</f>
        <v>0</v>
      </c>
      <c r="S172" s="78">
        <f>Igazgatás!R201+Községgazd!U187+Vagyongazd!R172+Közút!R176+Sport!R174+Közművelődés!T223+Támogatás!X187</f>
        <v>0</v>
      </c>
      <c r="T172" s="78">
        <f>Igazgatás!S201+Községgazd!V187+Vagyongazd!S172+Közút!S176+Sport!S174+Közművelődés!U223+Támogatás!Y187</f>
        <v>0</v>
      </c>
      <c r="U172" s="44">
        <f>Igazgatás!T201+Községgazd!W187+Vagyongazd!T172+Közút!T176+Sport!T174+Közművelődés!V223+Támogatás!Z187</f>
        <v>0</v>
      </c>
      <c r="V172" s="343">
        <f>Igazgatás!U201+Községgazd!X187+Vagyongazd!U172+Közút!U176+Sport!U174+Közművelődés!W223+Támogatás!AA187</f>
        <v>0</v>
      </c>
      <c r="W172" s="78">
        <f>Igazgatás!V201+Községgazd!Y187+Vagyongazd!V172+Közút!V176+Sport!V174+Közművelődés!X223+Támogatás!AB187</f>
        <v>0</v>
      </c>
      <c r="X172" s="78">
        <f>Igazgatás!W201+Községgazd!Z187+Vagyongazd!W172+Közút!W176+Sport!W174+Közművelődés!Y223+Támogatás!AC187</f>
        <v>0</v>
      </c>
      <c r="Y172" s="44">
        <f>Igazgatás!X201+Községgazd!AA187+Vagyongazd!X172+Közút!X176+Sport!X174+Közművelődés!Z223+Támogatás!AD187</f>
        <v>0</v>
      </c>
      <c r="AB172" s="180"/>
    </row>
    <row r="173" spans="1:28" ht="25.5" hidden="1" customHeight="1" x14ac:dyDescent="0.25">
      <c r="B173" s="54"/>
      <c r="C173" s="2"/>
      <c r="D173" s="625" t="s">
        <v>560</v>
      </c>
      <c r="E173" s="625"/>
      <c r="F173" s="159" t="e">
        <v>#REF!</v>
      </c>
      <c r="G173" s="159" t="e">
        <v>#REF!</v>
      </c>
      <c r="H173" s="159" t="e">
        <v>#REF!</v>
      </c>
      <c r="I173" s="159" t="e">
        <v>#REF!</v>
      </c>
      <c r="J173" s="159" t="e">
        <v>#REF!</v>
      </c>
      <c r="K173" s="159" t="e">
        <f>Igazgatás!J202+Községgazd!J188+Vagyongazd!#REF!+Közút!J177+Sport!J175+Közművelődés!J224+Támogatás!J188</f>
        <v>#REF!</v>
      </c>
      <c r="L173" s="159" t="e">
        <f>Igazgatás!K202+Községgazd!K188+Vagyongazd!#REF!+Közút!K177+Sport!K175+Közművelődés!K224+Támogatás!K188</f>
        <v>#REF!</v>
      </c>
      <c r="M173" s="159" t="e">
        <f>Igazgatás!L202+Községgazd!L188+Vagyongazd!#REF!+Közút!L177+Sport!L175+Közművelődés!L224+Támogatás!L188</f>
        <v>#REF!</v>
      </c>
      <c r="N173" s="72">
        <f>Igazgatás!M202+Községgazd!P188+Vagyongazd!M173+Közút!M177+Sport!M175+Közművelődés!O224+Támogatás!S188</f>
        <v>0</v>
      </c>
      <c r="O173" s="1">
        <f>Igazgatás!N202+Községgazd!Q188+Vagyongazd!N173+Közút!N177+Sport!N175+Közművelődés!P224+Támogatás!T188</f>
        <v>0</v>
      </c>
      <c r="P173" s="78">
        <f>Igazgatás!O202+Községgazd!R188+Vagyongazd!O173+Közút!O177+Sport!O175+Közművelődés!Q224+Támogatás!U188</f>
        <v>0</v>
      </c>
      <c r="Q173" s="78">
        <f>Igazgatás!P202+Községgazd!S188+Vagyongazd!P173+Közút!P177+Sport!P175+Közművelődés!R224+Támogatás!V188</f>
        <v>0</v>
      </c>
      <c r="R173" s="1">
        <f>Igazgatás!Q202+Községgazd!T188+Vagyongazd!Q173+Közút!Q177+Sport!Q175+Közművelődés!S224+Támogatás!W188</f>
        <v>0</v>
      </c>
      <c r="S173" s="78">
        <f>Igazgatás!R202+Községgazd!U188+Vagyongazd!R173+Közút!R177+Sport!R175+Közművelődés!T224+Támogatás!X188</f>
        <v>0</v>
      </c>
      <c r="T173" s="78">
        <f>Igazgatás!S202+Községgazd!V188+Vagyongazd!S173+Közút!S177+Sport!S175+Közművelődés!U224+Támogatás!Y188</f>
        <v>0</v>
      </c>
      <c r="U173" s="44">
        <f>Igazgatás!T202+Községgazd!W188+Vagyongazd!T173+Közút!T177+Sport!T175+Közművelődés!V224+Támogatás!Z188</f>
        <v>0</v>
      </c>
      <c r="V173" s="343">
        <f>Igazgatás!U202+Községgazd!X188+Vagyongazd!U173+Közút!U177+Sport!U175+Közművelődés!W224+Támogatás!AA188</f>
        <v>0</v>
      </c>
      <c r="W173" s="78">
        <f>Igazgatás!V202+Községgazd!Y188+Vagyongazd!V173+Közút!V177+Sport!V175+Közművelődés!X224+Támogatás!AB188</f>
        <v>0</v>
      </c>
      <c r="X173" s="78">
        <f>Igazgatás!W202+Községgazd!Z188+Vagyongazd!W173+Közút!W177+Sport!W175+Közművelődés!Y224+Támogatás!AC188</f>
        <v>0</v>
      </c>
      <c r="Y173" s="44">
        <f>Igazgatás!X202+Községgazd!AA188+Vagyongazd!X173+Közút!X177+Sport!X175+Közművelődés!Z224+Támogatás!AD188</f>
        <v>0</v>
      </c>
      <c r="AB173" s="180"/>
    </row>
    <row r="174" spans="1:28" ht="25.5" hidden="1" customHeight="1" x14ac:dyDescent="0.25">
      <c r="B174" s="54"/>
      <c r="C174" s="2"/>
      <c r="D174" s="625" t="s">
        <v>563</v>
      </c>
      <c r="E174" s="625"/>
      <c r="F174" s="159" t="e">
        <v>#REF!</v>
      </c>
      <c r="G174" s="159" t="e">
        <v>#REF!</v>
      </c>
      <c r="H174" s="159" t="e">
        <v>#REF!</v>
      </c>
      <c r="I174" s="159" t="e">
        <v>#REF!</v>
      </c>
      <c r="J174" s="159" t="e">
        <v>#REF!</v>
      </c>
      <c r="K174" s="159" t="e">
        <f>Igazgatás!J203+Községgazd!J189+Vagyongazd!#REF!+Közút!J178+Sport!J176+Közművelődés!J225+Támogatás!J189</f>
        <v>#REF!</v>
      </c>
      <c r="L174" s="159" t="e">
        <f>Igazgatás!K203+Községgazd!K189+Vagyongazd!#REF!+Közút!K178+Sport!K176+Közművelődés!K225+Támogatás!K189</f>
        <v>#REF!</v>
      </c>
      <c r="M174" s="159" t="e">
        <f>Igazgatás!L203+Községgazd!L189+Vagyongazd!#REF!+Közút!L178+Sport!L176+Közművelődés!L225+Támogatás!L189</f>
        <v>#REF!</v>
      </c>
      <c r="N174" s="72">
        <f>Igazgatás!M203+Községgazd!P189+Vagyongazd!M174+Közút!M178+Sport!M176+Közművelődés!O225+Támogatás!S189</f>
        <v>0</v>
      </c>
      <c r="O174" s="1">
        <f>Igazgatás!N203+Községgazd!Q189+Vagyongazd!N174+Közút!N178+Sport!N176+Közművelődés!P225+Támogatás!T189</f>
        <v>0</v>
      </c>
      <c r="P174" s="78">
        <f>Igazgatás!O203+Községgazd!R189+Vagyongazd!O174+Közút!O178+Sport!O176+Közművelődés!Q225+Támogatás!U189</f>
        <v>0</v>
      </c>
      <c r="Q174" s="78">
        <f>Igazgatás!P203+Községgazd!S189+Vagyongazd!P174+Közút!P178+Sport!P176+Közművelődés!R225+Támogatás!V189</f>
        <v>0</v>
      </c>
      <c r="R174" s="1">
        <f>Igazgatás!Q203+Községgazd!T189+Vagyongazd!Q174+Közút!Q178+Sport!Q176+Közművelődés!S225+Támogatás!W189</f>
        <v>0</v>
      </c>
      <c r="S174" s="78">
        <f>Igazgatás!R203+Községgazd!U189+Vagyongazd!R174+Közút!R178+Sport!R176+Közművelődés!T225+Támogatás!X189</f>
        <v>0</v>
      </c>
      <c r="T174" s="78">
        <f>Igazgatás!S203+Községgazd!V189+Vagyongazd!S174+Közút!S178+Sport!S176+Közművelődés!U225+Támogatás!Y189</f>
        <v>0</v>
      </c>
      <c r="U174" s="44">
        <f>Igazgatás!T203+Községgazd!W189+Vagyongazd!T174+Közút!T178+Sport!T176+Közművelődés!V225+Támogatás!Z189</f>
        <v>0</v>
      </c>
      <c r="V174" s="343">
        <f>Igazgatás!U203+Községgazd!X189+Vagyongazd!U174+Közút!U178+Sport!U176+Közművelődés!W225+Támogatás!AA189</f>
        <v>0</v>
      </c>
      <c r="W174" s="78">
        <f>Igazgatás!V203+Községgazd!Y189+Vagyongazd!V174+Közút!V178+Sport!V176+Közművelődés!X225+Támogatás!AB189</f>
        <v>0</v>
      </c>
      <c r="X174" s="78">
        <f>Igazgatás!W203+Községgazd!Z189+Vagyongazd!W174+Közút!W178+Sport!W176+Közművelődés!Y225+Támogatás!AC189</f>
        <v>0</v>
      </c>
      <c r="Y174" s="44">
        <f>Igazgatás!X203+Községgazd!AA189+Vagyongazd!X174+Közút!X178+Sport!X176+Közművelődés!Z225+Támogatás!AD189</f>
        <v>0</v>
      </c>
      <c r="AB174" s="180"/>
    </row>
    <row r="175" spans="1:28" s="18" customFormat="1" ht="25.5" hidden="1" customHeight="1" x14ac:dyDescent="0.25">
      <c r="A175" s="121" t="s">
        <v>273</v>
      </c>
      <c r="B175" s="88" t="s">
        <v>684</v>
      </c>
      <c r="C175" s="716" t="s">
        <v>605</v>
      </c>
      <c r="D175" s="717"/>
      <c r="E175" s="717"/>
      <c r="F175" s="158" t="e">
        <v>#REF!</v>
      </c>
      <c r="G175" s="158" t="e">
        <v>#REF!</v>
      </c>
      <c r="H175" s="158" t="e">
        <v>#REF!</v>
      </c>
      <c r="I175" s="256" t="e">
        <v>#REF!</v>
      </c>
      <c r="J175" s="256" t="e">
        <v>#REF!</v>
      </c>
      <c r="K175" s="158" t="e">
        <f>Igazgatás!J204+Községgazd!J190+Vagyongazd!#REF!+Közút!J179+Sport!J177+Közművelődés!J226+Támogatás!J190</f>
        <v>#REF!</v>
      </c>
      <c r="L175" s="158" t="e">
        <f>Igazgatás!K204+Községgazd!K190+Vagyongazd!#REF!+Közút!K179+Sport!K177+Közművelődés!K226+Támogatás!K190</f>
        <v>#REF!</v>
      </c>
      <c r="M175" s="158" t="e">
        <f>Igazgatás!L204+Községgazd!L190+Vagyongazd!#REF!+Közút!L179+Sport!L177+Közművelődés!L226+Támogatás!L190</f>
        <v>#REF!</v>
      </c>
      <c r="N175" s="90">
        <f>Igazgatás!M204+Községgazd!P190+Vagyongazd!M175+Közút!M179+Sport!M177+Közművelődés!O226+Támogatás!S190</f>
        <v>0</v>
      </c>
      <c r="O175" s="91">
        <f>Igazgatás!N204+Községgazd!Q190+Vagyongazd!N175+Közút!N179+Sport!N177+Közművelődés!P226+Támogatás!T190</f>
        <v>0</v>
      </c>
      <c r="P175" s="94">
        <f>Igazgatás!O204+Községgazd!R190+Vagyongazd!O175+Közút!O179+Sport!O177+Közművelődés!Q226+Támogatás!U190</f>
        <v>0</v>
      </c>
      <c r="Q175" s="94">
        <f>Igazgatás!P204+Községgazd!S190+Vagyongazd!P175+Közút!P179+Sport!P177+Közművelődés!R226+Támogatás!V190</f>
        <v>0</v>
      </c>
      <c r="R175" s="91">
        <f>Igazgatás!Q204+Községgazd!T190+Vagyongazd!Q175+Közút!Q179+Sport!Q177+Közművelődés!S226+Támogatás!W190</f>
        <v>0</v>
      </c>
      <c r="S175" s="94">
        <f>Igazgatás!R204+Községgazd!U190+Vagyongazd!R175+Közút!R179+Sport!R177+Közművelődés!T226+Támogatás!X190</f>
        <v>0</v>
      </c>
      <c r="T175" s="94">
        <f>Igazgatás!S204+Községgazd!V190+Vagyongazd!S175+Közút!S179+Sport!S177+Közművelődés!U226+Támogatás!Y190</f>
        <v>0</v>
      </c>
      <c r="U175" s="95">
        <f>Igazgatás!T204+Községgazd!W190+Vagyongazd!T175+Közút!T179+Sport!T177+Közművelődés!V226+Támogatás!Z190</f>
        <v>0</v>
      </c>
      <c r="V175" s="341">
        <f>Igazgatás!U204+Községgazd!X190+Vagyongazd!U175+Közút!U179+Sport!U177+Közművelődés!W226+Támogatás!AA190</f>
        <v>0</v>
      </c>
      <c r="W175" s="94">
        <f>Igazgatás!V204+Községgazd!Y190+Vagyongazd!V175+Közút!V179+Sport!V177+Közművelődés!X226+Támogatás!AB190</f>
        <v>0</v>
      </c>
      <c r="X175" s="94">
        <f>Igazgatás!W204+Községgazd!Z190+Vagyongazd!W175+Közút!W179+Sport!W177+Közművelődés!Y226+Támogatás!AC190</f>
        <v>0</v>
      </c>
      <c r="Y175" s="95">
        <f>Igazgatás!X204+Községgazd!AA190+Vagyongazd!X175+Közút!X179+Sport!X177+Közművelődés!Z226+Támogatás!AD190</f>
        <v>0</v>
      </c>
      <c r="AB175" s="180"/>
    </row>
    <row r="176" spans="1:28" ht="15.75" hidden="1" customHeight="1" x14ac:dyDescent="0.25">
      <c r="B176" s="54"/>
      <c r="C176" s="2"/>
      <c r="D176" s="624" t="s">
        <v>814</v>
      </c>
      <c r="E176" s="624"/>
      <c r="F176" s="159" t="e">
        <v>#REF!</v>
      </c>
      <c r="G176" s="159" t="e">
        <v>#REF!</v>
      </c>
      <c r="H176" s="159" t="e">
        <v>#REF!</v>
      </c>
      <c r="I176" s="159" t="e">
        <v>#REF!</v>
      </c>
      <c r="J176" s="159" t="e">
        <v>#REF!</v>
      </c>
      <c r="K176" s="159" t="e">
        <f>Igazgatás!J205+Községgazd!J191+Vagyongazd!#REF!+Közút!J180+Sport!J178+Közművelődés!J227+Támogatás!J191</f>
        <v>#REF!</v>
      </c>
      <c r="L176" s="159" t="e">
        <f>Igazgatás!K205+Községgazd!K191+Vagyongazd!#REF!+Közút!K180+Sport!K178+Közművelődés!K227+Támogatás!K191</f>
        <v>#REF!</v>
      </c>
      <c r="M176" s="159" t="e">
        <f>Igazgatás!L205+Községgazd!L191+Vagyongazd!#REF!+Közút!L180+Sport!L178+Közművelődés!L227+Támogatás!L191</f>
        <v>#REF!</v>
      </c>
      <c r="N176" s="72">
        <f>Igazgatás!M205+Községgazd!P191+Vagyongazd!M176+Közút!M180+Sport!M178+Közművelődés!O227+Támogatás!S191</f>
        <v>0</v>
      </c>
      <c r="O176" s="1">
        <f>Igazgatás!N205+Községgazd!Q191+Vagyongazd!N176+Közút!N180+Sport!N178+Közművelődés!P227+Támogatás!T191</f>
        <v>0</v>
      </c>
      <c r="P176" s="78">
        <f>Igazgatás!O205+Községgazd!R191+Vagyongazd!O176+Közút!O180+Sport!O178+Közművelődés!Q227+Támogatás!U191</f>
        <v>0</v>
      </c>
      <c r="Q176" s="78">
        <f>Igazgatás!P205+Községgazd!S191+Vagyongazd!P176+Közút!P180+Sport!P178+Közművelődés!R227+Támogatás!V191</f>
        <v>0</v>
      </c>
      <c r="R176" s="1">
        <f>Igazgatás!Q205+Községgazd!T191+Vagyongazd!Q176+Közút!Q180+Sport!Q178+Közművelődés!S227+Támogatás!W191</f>
        <v>0</v>
      </c>
      <c r="S176" s="78">
        <f>Igazgatás!R205+Községgazd!U191+Vagyongazd!R176+Közút!R180+Sport!R178+Közművelődés!T227+Támogatás!X191</f>
        <v>0</v>
      </c>
      <c r="T176" s="78">
        <f>Igazgatás!S205+Községgazd!V191+Vagyongazd!S176+Közút!S180+Sport!S178+Közművelődés!U227+Támogatás!Y191</f>
        <v>0</v>
      </c>
      <c r="U176" s="44">
        <f>Igazgatás!T205+Községgazd!W191+Vagyongazd!T176+Közút!T180+Sport!T178+Közművelődés!V227+Támogatás!Z191</f>
        <v>0</v>
      </c>
      <c r="V176" s="343">
        <f>Igazgatás!U205+Községgazd!X191+Vagyongazd!U176+Közút!U180+Sport!U178+Közművelődés!W227+Támogatás!AA191</f>
        <v>0</v>
      </c>
      <c r="W176" s="78">
        <f>Igazgatás!V205+Községgazd!Y191+Vagyongazd!V176+Közút!V180+Sport!V178+Közművelődés!X227+Támogatás!AB191</f>
        <v>0</v>
      </c>
      <c r="X176" s="78">
        <f>Igazgatás!W205+Községgazd!Z191+Vagyongazd!W176+Közút!W180+Sport!W178+Közművelődés!Y227+Támogatás!AC191</f>
        <v>0</v>
      </c>
      <c r="Y176" s="44">
        <f>Igazgatás!X205+Községgazd!AA191+Vagyongazd!X176+Közút!X180+Sport!X178+Közművelődés!Z227+Támogatás!AD191</f>
        <v>0</v>
      </c>
      <c r="AB176" s="180"/>
    </row>
    <row r="177" spans="1:28" ht="15.75" hidden="1" customHeight="1" x14ac:dyDescent="0.25">
      <c r="B177" s="54"/>
      <c r="C177" s="2"/>
      <c r="D177" s="624" t="s">
        <v>815</v>
      </c>
      <c r="E177" s="624"/>
      <c r="F177" s="159" t="e">
        <v>#REF!</v>
      </c>
      <c r="G177" s="159" t="e">
        <v>#REF!</v>
      </c>
      <c r="H177" s="159" t="e">
        <v>#REF!</v>
      </c>
      <c r="I177" s="159" t="e">
        <v>#REF!</v>
      </c>
      <c r="J177" s="159" t="e">
        <v>#REF!</v>
      </c>
      <c r="K177" s="159" t="e">
        <f>Igazgatás!J206+Községgazd!J192+Vagyongazd!#REF!+Közút!J181+Sport!J179+Közművelődés!J228+Támogatás!J192</f>
        <v>#REF!</v>
      </c>
      <c r="L177" s="159" t="e">
        <f>Igazgatás!K206+Községgazd!K192+Vagyongazd!#REF!+Közút!K181+Sport!K179+Közművelődés!K228+Támogatás!K192</f>
        <v>#REF!</v>
      </c>
      <c r="M177" s="159" t="e">
        <f>Igazgatás!L206+Községgazd!L192+Vagyongazd!#REF!+Közút!L181+Sport!L179+Közművelődés!L228+Támogatás!L192</f>
        <v>#REF!</v>
      </c>
      <c r="N177" s="72">
        <f>Igazgatás!M206+Községgazd!P192+Vagyongazd!M177+Közút!M181+Sport!M179+Közművelődés!O228+Támogatás!S192</f>
        <v>0</v>
      </c>
      <c r="O177" s="1">
        <f>Igazgatás!N206+Községgazd!Q192+Vagyongazd!N177+Közút!N181+Sport!N179+Közművelődés!P228+Támogatás!T192</f>
        <v>0</v>
      </c>
      <c r="P177" s="78">
        <f>Igazgatás!O206+Községgazd!R192+Vagyongazd!O177+Közút!O181+Sport!O179+Közművelődés!Q228+Támogatás!U192</f>
        <v>0</v>
      </c>
      <c r="Q177" s="78">
        <f>Igazgatás!P206+Községgazd!S192+Vagyongazd!P177+Közút!P181+Sport!P179+Közművelődés!R228+Támogatás!V192</f>
        <v>0</v>
      </c>
      <c r="R177" s="1">
        <f>Igazgatás!Q206+Községgazd!T192+Vagyongazd!Q177+Közút!Q181+Sport!Q179+Közművelődés!S228+Támogatás!W192</f>
        <v>0</v>
      </c>
      <c r="S177" s="78">
        <f>Igazgatás!R206+Községgazd!U192+Vagyongazd!R177+Közút!R181+Sport!R179+Közművelődés!T228+Támogatás!X192</f>
        <v>0</v>
      </c>
      <c r="T177" s="78">
        <f>Igazgatás!S206+Községgazd!V192+Vagyongazd!S177+Közút!S181+Sport!S179+Közművelődés!U228+Támogatás!Y192</f>
        <v>0</v>
      </c>
      <c r="U177" s="44">
        <f>Igazgatás!T206+Községgazd!W192+Vagyongazd!T177+Közút!T181+Sport!T179+Közművelődés!V228+Támogatás!Z192</f>
        <v>0</v>
      </c>
      <c r="V177" s="343">
        <f>Igazgatás!U206+Községgazd!X192+Vagyongazd!U177+Közút!U181+Sport!U179+Közművelődés!W228+Támogatás!AA192</f>
        <v>0</v>
      </c>
      <c r="W177" s="78">
        <f>Igazgatás!V206+Községgazd!Y192+Vagyongazd!V177+Közút!V181+Sport!V179+Közművelődés!X228+Támogatás!AB192</f>
        <v>0</v>
      </c>
      <c r="X177" s="78">
        <f>Igazgatás!W206+Községgazd!Z192+Vagyongazd!W177+Közút!W181+Sport!W179+Közművelődés!Y228+Támogatás!AC192</f>
        <v>0</v>
      </c>
      <c r="Y177" s="44">
        <f>Igazgatás!X206+Községgazd!AA192+Vagyongazd!X177+Közút!X181+Sport!X179+Közművelődés!Z228+Támogatás!AD192</f>
        <v>0</v>
      </c>
      <c r="AB177" s="180"/>
    </row>
    <row r="178" spans="1:28" ht="15.75" hidden="1" customHeight="1" x14ac:dyDescent="0.25">
      <c r="B178" s="54"/>
      <c r="C178" s="2"/>
      <c r="D178" s="624" t="s">
        <v>546</v>
      </c>
      <c r="E178" s="624"/>
      <c r="F178" s="159" t="e">
        <v>#REF!</v>
      </c>
      <c r="G178" s="159" t="e">
        <v>#REF!</v>
      </c>
      <c r="H178" s="159" t="e">
        <v>#REF!</v>
      </c>
      <c r="I178" s="159" t="e">
        <v>#REF!</v>
      </c>
      <c r="J178" s="159" t="e">
        <v>#REF!</v>
      </c>
      <c r="K178" s="159" t="e">
        <f>Igazgatás!J207+Községgazd!J193+Vagyongazd!#REF!+Közút!J182+Sport!J180+Közművelődés!J229+Támogatás!J193</f>
        <v>#REF!</v>
      </c>
      <c r="L178" s="159" t="e">
        <f>Igazgatás!K207+Községgazd!K193+Vagyongazd!#REF!+Közút!K182+Sport!K180+Közművelődés!K229+Támogatás!K193</f>
        <v>#REF!</v>
      </c>
      <c r="M178" s="159" t="e">
        <f>Igazgatás!L207+Községgazd!L193+Vagyongazd!#REF!+Közút!L182+Sport!L180+Közművelődés!L229+Támogatás!L193</f>
        <v>#REF!</v>
      </c>
      <c r="N178" s="72">
        <f>Igazgatás!M207+Községgazd!P193+Vagyongazd!M178+Közút!M182+Sport!M180+Közművelődés!O229+Támogatás!S193</f>
        <v>0</v>
      </c>
      <c r="O178" s="1">
        <f>Igazgatás!N207+Községgazd!Q193+Vagyongazd!N178+Közút!N182+Sport!N180+Közművelődés!P229+Támogatás!T193</f>
        <v>0</v>
      </c>
      <c r="P178" s="78">
        <f>Igazgatás!O207+Községgazd!R193+Vagyongazd!O178+Közút!O182+Sport!O180+Közművelődés!Q229+Támogatás!U193</f>
        <v>0</v>
      </c>
      <c r="Q178" s="78">
        <f>Igazgatás!P207+Községgazd!S193+Vagyongazd!P178+Közút!P182+Sport!P180+Közművelődés!R229+Támogatás!V193</f>
        <v>0</v>
      </c>
      <c r="R178" s="1">
        <f>Igazgatás!Q207+Községgazd!T193+Vagyongazd!Q178+Közút!Q182+Sport!Q180+Közművelődés!S229+Támogatás!W193</f>
        <v>0</v>
      </c>
      <c r="S178" s="78">
        <f>Igazgatás!R207+Községgazd!U193+Vagyongazd!R178+Közút!R182+Sport!R180+Közművelődés!T229+Támogatás!X193</f>
        <v>0</v>
      </c>
      <c r="T178" s="78">
        <f>Igazgatás!S207+Községgazd!V193+Vagyongazd!S178+Közút!S182+Sport!S180+Közművelődés!U229+Támogatás!Y193</f>
        <v>0</v>
      </c>
      <c r="U178" s="44">
        <f>Igazgatás!T207+Községgazd!W193+Vagyongazd!T178+Közút!T182+Sport!T180+Közművelődés!V229+Támogatás!Z193</f>
        <v>0</v>
      </c>
      <c r="V178" s="343">
        <f>Igazgatás!U207+Községgazd!X193+Vagyongazd!U178+Közút!U182+Sport!U180+Közművelődés!W229+Támogatás!AA193</f>
        <v>0</v>
      </c>
      <c r="W178" s="78">
        <f>Igazgatás!V207+Községgazd!Y193+Vagyongazd!V178+Közút!V182+Sport!V180+Közművelődés!X229+Támogatás!AB193</f>
        <v>0</v>
      </c>
      <c r="X178" s="78">
        <f>Igazgatás!W207+Községgazd!Z193+Vagyongazd!W178+Közút!W182+Sport!W180+Közművelődés!Y229+Támogatás!AC193</f>
        <v>0</v>
      </c>
      <c r="Y178" s="44">
        <f>Igazgatás!X207+Községgazd!AA193+Vagyongazd!X178+Közút!X182+Sport!X180+Közművelődés!Z229+Támogatás!AD193</f>
        <v>0</v>
      </c>
      <c r="AB178" s="180"/>
    </row>
    <row r="179" spans="1:28" ht="25.5" hidden="1" customHeight="1" x14ac:dyDescent="0.25">
      <c r="B179" s="54"/>
      <c r="C179" s="2"/>
      <c r="D179" s="625" t="s">
        <v>549</v>
      </c>
      <c r="E179" s="625"/>
      <c r="F179" s="159" t="e">
        <v>#REF!</v>
      </c>
      <c r="G179" s="159" t="e">
        <v>#REF!</v>
      </c>
      <c r="H179" s="159" t="e">
        <v>#REF!</v>
      </c>
      <c r="I179" s="159" t="e">
        <v>#REF!</v>
      </c>
      <c r="J179" s="159" t="e">
        <v>#REF!</v>
      </c>
      <c r="K179" s="159" t="e">
        <f>Igazgatás!J208+Községgazd!J194+Vagyongazd!#REF!+Közút!J183+Sport!J181+Közművelődés!J230+Támogatás!J194</f>
        <v>#REF!</v>
      </c>
      <c r="L179" s="159" t="e">
        <f>Igazgatás!K208+Községgazd!K194+Vagyongazd!#REF!+Közút!K183+Sport!K181+Közművelődés!K230+Támogatás!K194</f>
        <v>#REF!</v>
      </c>
      <c r="M179" s="159" t="e">
        <f>Igazgatás!L208+Községgazd!L194+Vagyongazd!#REF!+Közút!L183+Sport!L181+Közművelődés!L230+Támogatás!L194</f>
        <v>#REF!</v>
      </c>
      <c r="N179" s="72">
        <f>Igazgatás!M208+Községgazd!P194+Vagyongazd!M179+Közút!M183+Sport!M181+Közművelődés!O230+Támogatás!S194</f>
        <v>0</v>
      </c>
      <c r="O179" s="1">
        <f>Igazgatás!N208+Községgazd!Q194+Vagyongazd!N179+Közút!N183+Sport!N181+Közművelődés!P230+Támogatás!T194</f>
        <v>0</v>
      </c>
      <c r="P179" s="78">
        <f>Igazgatás!O208+Községgazd!R194+Vagyongazd!O179+Közút!O183+Sport!O181+Közművelődés!Q230+Támogatás!U194</f>
        <v>0</v>
      </c>
      <c r="Q179" s="78">
        <f>Igazgatás!P208+Községgazd!S194+Vagyongazd!P179+Közút!P183+Sport!P181+Közművelődés!R230+Támogatás!V194</f>
        <v>0</v>
      </c>
      <c r="R179" s="1">
        <f>Igazgatás!Q208+Községgazd!T194+Vagyongazd!Q179+Közút!Q183+Sport!Q181+Közművelődés!S230+Támogatás!W194</f>
        <v>0</v>
      </c>
      <c r="S179" s="78">
        <f>Igazgatás!R208+Községgazd!U194+Vagyongazd!R179+Közút!R183+Sport!R181+Közművelődés!T230+Támogatás!X194</f>
        <v>0</v>
      </c>
      <c r="T179" s="78">
        <f>Igazgatás!S208+Községgazd!V194+Vagyongazd!S179+Közút!S183+Sport!S181+Közművelődés!U230+Támogatás!Y194</f>
        <v>0</v>
      </c>
      <c r="U179" s="44">
        <f>Igazgatás!T208+Községgazd!W194+Vagyongazd!T179+Közút!T183+Sport!T181+Közművelődés!V230+Támogatás!Z194</f>
        <v>0</v>
      </c>
      <c r="V179" s="343">
        <f>Igazgatás!U208+Községgazd!X194+Vagyongazd!U179+Közút!U183+Sport!U181+Közművelődés!W230+Támogatás!AA194</f>
        <v>0</v>
      </c>
      <c r="W179" s="78">
        <f>Igazgatás!V208+Községgazd!Y194+Vagyongazd!V179+Közút!V183+Sport!V181+Közművelődés!X230+Támogatás!AB194</f>
        <v>0</v>
      </c>
      <c r="X179" s="78">
        <f>Igazgatás!W208+Községgazd!Z194+Vagyongazd!W179+Közút!W183+Sport!W181+Közművelődés!Y230+Támogatás!AC194</f>
        <v>0</v>
      </c>
      <c r="Y179" s="44">
        <f>Igazgatás!X208+Községgazd!AA194+Vagyongazd!X179+Közút!X183+Sport!X181+Közművelődés!Z230+Támogatás!AD194</f>
        <v>0</v>
      </c>
      <c r="AB179" s="180"/>
    </row>
    <row r="180" spans="1:28" ht="15.75" hidden="1" customHeight="1" x14ac:dyDescent="0.25">
      <c r="B180" s="54"/>
      <c r="C180" s="2"/>
      <c r="D180" s="624" t="s">
        <v>552</v>
      </c>
      <c r="E180" s="624"/>
      <c r="F180" s="159" t="e">
        <v>#REF!</v>
      </c>
      <c r="G180" s="159" t="e">
        <v>#REF!</v>
      </c>
      <c r="H180" s="159" t="e">
        <v>#REF!</v>
      </c>
      <c r="I180" s="159" t="e">
        <v>#REF!</v>
      </c>
      <c r="J180" s="159" t="e">
        <v>#REF!</v>
      </c>
      <c r="K180" s="159" t="e">
        <f>Igazgatás!J209+Községgazd!J195+Vagyongazd!#REF!+Közút!J184+Sport!J182+Közművelődés!J231+Támogatás!J195</f>
        <v>#REF!</v>
      </c>
      <c r="L180" s="159" t="e">
        <f>Igazgatás!K209+Községgazd!K195+Vagyongazd!#REF!+Közút!K184+Sport!K182+Közművelődés!K231+Támogatás!K195</f>
        <v>#REF!</v>
      </c>
      <c r="M180" s="159" t="e">
        <f>Igazgatás!L209+Községgazd!L195+Vagyongazd!#REF!+Közút!L184+Sport!L182+Közművelődés!L231+Támogatás!L195</f>
        <v>#REF!</v>
      </c>
      <c r="N180" s="72">
        <f>Igazgatás!M209+Községgazd!P195+Vagyongazd!M180+Közút!M184+Sport!M182+Közművelődés!O231+Támogatás!S195</f>
        <v>0</v>
      </c>
      <c r="O180" s="1">
        <f>Igazgatás!N209+Községgazd!Q195+Vagyongazd!N180+Közút!N184+Sport!N182+Közművelődés!P231+Támogatás!T195</f>
        <v>0</v>
      </c>
      <c r="P180" s="78">
        <f>Igazgatás!O209+Községgazd!R195+Vagyongazd!O180+Közút!O184+Sport!O182+Közművelődés!Q231+Támogatás!U195</f>
        <v>0</v>
      </c>
      <c r="Q180" s="78">
        <f>Igazgatás!P209+Községgazd!S195+Vagyongazd!P180+Közút!P184+Sport!P182+Közművelődés!R231+Támogatás!V195</f>
        <v>0</v>
      </c>
      <c r="R180" s="1">
        <f>Igazgatás!Q209+Községgazd!T195+Vagyongazd!Q180+Közút!Q184+Sport!Q182+Közművelődés!S231+Támogatás!W195</f>
        <v>0</v>
      </c>
      <c r="S180" s="78">
        <f>Igazgatás!R209+Községgazd!U195+Vagyongazd!R180+Közút!R184+Sport!R182+Közművelődés!T231+Támogatás!X195</f>
        <v>0</v>
      </c>
      <c r="T180" s="78">
        <f>Igazgatás!S209+Községgazd!V195+Vagyongazd!S180+Közút!S184+Sport!S182+Közművelődés!U231+Támogatás!Y195</f>
        <v>0</v>
      </c>
      <c r="U180" s="44">
        <f>Igazgatás!T209+Községgazd!W195+Vagyongazd!T180+Közút!T184+Sport!T182+Közművelődés!V231+Támogatás!Z195</f>
        <v>0</v>
      </c>
      <c r="V180" s="343">
        <f>Igazgatás!U209+Községgazd!X195+Vagyongazd!U180+Közút!U184+Sport!U182+Közművelődés!W231+Támogatás!AA195</f>
        <v>0</v>
      </c>
      <c r="W180" s="78">
        <f>Igazgatás!V209+Községgazd!Y195+Vagyongazd!V180+Közút!V184+Sport!V182+Közművelődés!X231+Támogatás!AB195</f>
        <v>0</v>
      </c>
      <c r="X180" s="78">
        <f>Igazgatás!W209+Községgazd!Z195+Vagyongazd!W180+Közút!W184+Sport!W182+Közművelődés!Y231+Támogatás!AC195</f>
        <v>0</v>
      </c>
      <c r="Y180" s="44">
        <f>Igazgatás!X209+Községgazd!AA195+Vagyongazd!X180+Közút!X184+Sport!X182+Közművelődés!Z231+Támogatás!AD195</f>
        <v>0</v>
      </c>
      <c r="AB180" s="180"/>
    </row>
    <row r="181" spans="1:28" ht="15.75" hidden="1" customHeight="1" x14ac:dyDescent="0.25">
      <c r="B181" s="54"/>
      <c r="C181" s="2"/>
      <c r="D181" s="624" t="s">
        <v>816</v>
      </c>
      <c r="E181" s="624"/>
      <c r="F181" s="159" t="e">
        <v>#REF!</v>
      </c>
      <c r="G181" s="159" t="e">
        <v>#REF!</v>
      </c>
      <c r="H181" s="159" t="e">
        <v>#REF!</v>
      </c>
      <c r="I181" s="159" t="e">
        <v>#REF!</v>
      </c>
      <c r="J181" s="159" t="e">
        <v>#REF!</v>
      </c>
      <c r="K181" s="159" t="e">
        <f>Igazgatás!J210+Községgazd!J196+Vagyongazd!#REF!+Közút!J185+Sport!J183+Közművelődés!J232+Támogatás!J196</f>
        <v>#REF!</v>
      </c>
      <c r="L181" s="159" t="e">
        <f>Igazgatás!K210+Községgazd!K196+Vagyongazd!#REF!+Közút!K185+Sport!K183+Közművelődés!K232+Támogatás!K196</f>
        <v>#REF!</v>
      </c>
      <c r="M181" s="159" t="e">
        <f>Igazgatás!L210+Községgazd!L196+Vagyongazd!#REF!+Közút!L185+Sport!L183+Közművelődés!L232+Támogatás!L196</f>
        <v>#REF!</v>
      </c>
      <c r="N181" s="72">
        <f>Igazgatás!M210+Községgazd!P196+Vagyongazd!M181+Közút!M185+Sport!M183+Közművelődés!O232+Támogatás!S196</f>
        <v>0</v>
      </c>
      <c r="O181" s="1">
        <f>Igazgatás!N210+Községgazd!Q196+Vagyongazd!N181+Közút!N185+Sport!N183+Közművelődés!P232+Támogatás!T196</f>
        <v>0</v>
      </c>
      <c r="P181" s="78">
        <f>Igazgatás!O210+Községgazd!R196+Vagyongazd!O181+Közút!O185+Sport!O183+Közművelődés!Q232+Támogatás!U196</f>
        <v>0</v>
      </c>
      <c r="Q181" s="78">
        <f>Igazgatás!P210+Községgazd!S196+Vagyongazd!P181+Közút!P185+Sport!P183+Közművelődés!R232+Támogatás!V196</f>
        <v>0</v>
      </c>
      <c r="R181" s="1">
        <f>Igazgatás!Q210+Községgazd!T196+Vagyongazd!Q181+Közút!Q185+Sport!Q183+Közművelődés!S232+Támogatás!W196</f>
        <v>0</v>
      </c>
      <c r="S181" s="78">
        <f>Igazgatás!R210+Községgazd!U196+Vagyongazd!R181+Közút!R185+Sport!R183+Közművelődés!T232+Támogatás!X196</f>
        <v>0</v>
      </c>
      <c r="T181" s="78">
        <f>Igazgatás!S210+Községgazd!V196+Vagyongazd!S181+Közút!S185+Sport!S183+Közművelődés!U232+Támogatás!Y196</f>
        <v>0</v>
      </c>
      <c r="U181" s="44">
        <f>Igazgatás!T210+Községgazd!W196+Vagyongazd!T181+Közút!T185+Sport!T183+Közművelődés!V232+Támogatás!Z196</f>
        <v>0</v>
      </c>
      <c r="V181" s="343">
        <f>Igazgatás!U210+Községgazd!X196+Vagyongazd!U181+Közút!U185+Sport!U183+Közművelődés!W232+Támogatás!AA196</f>
        <v>0</v>
      </c>
      <c r="W181" s="78">
        <f>Igazgatás!V210+Községgazd!Y196+Vagyongazd!V181+Közút!V185+Sport!V183+Közművelődés!X232+Támogatás!AB196</f>
        <v>0</v>
      </c>
      <c r="X181" s="78">
        <f>Igazgatás!W210+Községgazd!Z196+Vagyongazd!W181+Közút!W185+Sport!W183+Közművelődés!Y232+Támogatás!AC196</f>
        <v>0</v>
      </c>
      <c r="Y181" s="44">
        <f>Igazgatás!X210+Községgazd!AA196+Vagyongazd!X181+Közút!X185+Sport!X183+Közművelődés!Z232+Támogatás!AD196</f>
        <v>0</v>
      </c>
      <c r="AB181" s="180"/>
    </row>
    <row r="182" spans="1:28" ht="25.5" hidden="1" customHeight="1" x14ac:dyDescent="0.25">
      <c r="B182" s="54"/>
      <c r="C182" s="2"/>
      <c r="D182" s="625" t="s">
        <v>556</v>
      </c>
      <c r="E182" s="625"/>
      <c r="F182" s="159" t="e">
        <v>#REF!</v>
      </c>
      <c r="G182" s="159" t="e">
        <v>#REF!</v>
      </c>
      <c r="H182" s="159" t="e">
        <v>#REF!</v>
      </c>
      <c r="I182" s="159" t="e">
        <v>#REF!</v>
      </c>
      <c r="J182" s="159" t="e">
        <v>#REF!</v>
      </c>
      <c r="K182" s="159" t="e">
        <f>Igazgatás!J211+Községgazd!J197+Vagyongazd!#REF!+Közút!J186+Sport!J184+Közművelődés!J233+Támogatás!J197</f>
        <v>#REF!</v>
      </c>
      <c r="L182" s="159" t="e">
        <f>Igazgatás!K211+Községgazd!K197+Vagyongazd!#REF!+Közút!K186+Sport!K184+Közművelődés!K233+Támogatás!K197</f>
        <v>#REF!</v>
      </c>
      <c r="M182" s="159" t="e">
        <f>Igazgatás!L211+Községgazd!L197+Vagyongazd!#REF!+Közút!L186+Sport!L184+Közművelődés!L233+Támogatás!L197</f>
        <v>#REF!</v>
      </c>
      <c r="N182" s="72">
        <f>Igazgatás!M211+Községgazd!P197+Vagyongazd!M182+Közút!M186+Sport!M184+Közművelődés!O233+Támogatás!S197</f>
        <v>0</v>
      </c>
      <c r="O182" s="1">
        <f>Igazgatás!N211+Községgazd!Q197+Vagyongazd!N182+Közút!N186+Sport!N184+Közművelődés!P233+Támogatás!T197</f>
        <v>0</v>
      </c>
      <c r="P182" s="78">
        <f>Igazgatás!O211+Községgazd!R197+Vagyongazd!O182+Közút!O186+Sport!O184+Közművelődés!Q233+Támogatás!U197</f>
        <v>0</v>
      </c>
      <c r="Q182" s="78">
        <f>Igazgatás!P211+Községgazd!S197+Vagyongazd!P182+Közút!P186+Sport!P184+Közművelődés!R233+Támogatás!V197</f>
        <v>0</v>
      </c>
      <c r="R182" s="1">
        <f>Igazgatás!Q211+Községgazd!T197+Vagyongazd!Q182+Közút!Q186+Sport!Q184+Közművelődés!S233+Támogatás!W197</f>
        <v>0</v>
      </c>
      <c r="S182" s="78">
        <f>Igazgatás!R211+Községgazd!U197+Vagyongazd!R182+Közút!R186+Sport!R184+Közművelődés!T233+Támogatás!X197</f>
        <v>0</v>
      </c>
      <c r="T182" s="78">
        <f>Igazgatás!S211+Községgazd!V197+Vagyongazd!S182+Közút!S186+Sport!S184+Közművelődés!U233+Támogatás!Y197</f>
        <v>0</v>
      </c>
      <c r="U182" s="44">
        <f>Igazgatás!T211+Községgazd!W197+Vagyongazd!T182+Közút!T186+Sport!T184+Közművelődés!V233+Támogatás!Z197</f>
        <v>0</v>
      </c>
      <c r="V182" s="343">
        <f>Igazgatás!U211+Községgazd!X197+Vagyongazd!U182+Közút!U186+Sport!U184+Közművelődés!W233+Támogatás!AA197</f>
        <v>0</v>
      </c>
      <c r="W182" s="78">
        <f>Igazgatás!V211+Községgazd!Y197+Vagyongazd!V182+Közút!V186+Sport!V184+Közművelődés!X233+Támogatás!AB197</f>
        <v>0</v>
      </c>
      <c r="X182" s="78">
        <f>Igazgatás!W211+Községgazd!Z197+Vagyongazd!W182+Közút!W186+Sport!W184+Közművelődés!Y233+Támogatás!AC197</f>
        <v>0</v>
      </c>
      <c r="Y182" s="44">
        <f>Igazgatás!X211+Községgazd!AA197+Vagyongazd!X182+Közút!X186+Sport!X184+Közművelődés!Z233+Támogatás!AD197</f>
        <v>0</v>
      </c>
      <c r="AB182" s="180"/>
    </row>
    <row r="183" spans="1:28" ht="25.5" hidden="1" customHeight="1" x14ac:dyDescent="0.25">
      <c r="B183" s="54"/>
      <c r="C183" s="2"/>
      <c r="D183" s="625" t="s">
        <v>559</v>
      </c>
      <c r="E183" s="625"/>
      <c r="F183" s="159" t="e">
        <v>#REF!</v>
      </c>
      <c r="G183" s="159" t="e">
        <v>#REF!</v>
      </c>
      <c r="H183" s="159" t="e">
        <v>#REF!</v>
      </c>
      <c r="I183" s="159" t="e">
        <v>#REF!</v>
      </c>
      <c r="J183" s="159" t="e">
        <v>#REF!</v>
      </c>
      <c r="K183" s="159" t="e">
        <f>Igazgatás!J212+Községgazd!J198+Vagyongazd!#REF!+Közút!J187+Sport!J185+Közművelődés!J234+Támogatás!J198</f>
        <v>#REF!</v>
      </c>
      <c r="L183" s="159" t="e">
        <f>Igazgatás!K212+Községgazd!K198+Vagyongazd!#REF!+Közút!K187+Sport!K185+Közművelődés!K234+Támogatás!K198</f>
        <v>#REF!</v>
      </c>
      <c r="M183" s="159" t="e">
        <f>Igazgatás!L212+Községgazd!L198+Vagyongazd!#REF!+Közút!L187+Sport!L185+Közművelődés!L234+Támogatás!L198</f>
        <v>#REF!</v>
      </c>
      <c r="N183" s="72">
        <f>Igazgatás!M212+Községgazd!P198+Vagyongazd!M183+Közút!M187+Sport!M185+Közművelődés!O234+Támogatás!S198</f>
        <v>0</v>
      </c>
      <c r="O183" s="1">
        <f>Igazgatás!N212+Községgazd!Q198+Vagyongazd!N183+Közút!N187+Sport!N185+Közművelődés!P234+Támogatás!T198</f>
        <v>0</v>
      </c>
      <c r="P183" s="78">
        <f>Igazgatás!O212+Községgazd!R198+Vagyongazd!O183+Közút!O187+Sport!O185+Közművelődés!Q234+Támogatás!U198</f>
        <v>0</v>
      </c>
      <c r="Q183" s="78">
        <f>Igazgatás!P212+Községgazd!S198+Vagyongazd!P183+Közút!P187+Sport!P185+Közművelődés!R234+Támogatás!V198</f>
        <v>0</v>
      </c>
      <c r="R183" s="1">
        <f>Igazgatás!Q212+Községgazd!T198+Vagyongazd!Q183+Közút!Q187+Sport!Q185+Közművelődés!S234+Támogatás!W198</f>
        <v>0</v>
      </c>
      <c r="S183" s="78">
        <f>Igazgatás!R212+Községgazd!U198+Vagyongazd!R183+Közút!R187+Sport!R185+Közművelődés!T234+Támogatás!X198</f>
        <v>0</v>
      </c>
      <c r="T183" s="78">
        <f>Igazgatás!S212+Községgazd!V198+Vagyongazd!S183+Közút!S187+Sport!S185+Közművelődés!U234+Támogatás!Y198</f>
        <v>0</v>
      </c>
      <c r="U183" s="44">
        <f>Igazgatás!T212+Községgazd!W198+Vagyongazd!T183+Közút!T187+Sport!T185+Közművelődés!V234+Támogatás!Z198</f>
        <v>0</v>
      </c>
      <c r="V183" s="343">
        <f>Igazgatás!U212+Községgazd!X198+Vagyongazd!U183+Közút!U187+Sport!U185+Közművelődés!W234+Támogatás!AA198</f>
        <v>0</v>
      </c>
      <c r="W183" s="78">
        <f>Igazgatás!V212+Községgazd!Y198+Vagyongazd!V183+Közút!V187+Sport!V185+Közművelődés!X234+Támogatás!AB198</f>
        <v>0</v>
      </c>
      <c r="X183" s="78">
        <f>Igazgatás!W212+Községgazd!Z198+Vagyongazd!W183+Közút!W187+Sport!W185+Közművelődés!Y234+Támogatás!AC198</f>
        <v>0</v>
      </c>
      <c r="Y183" s="44">
        <f>Igazgatás!X212+Községgazd!AA198+Vagyongazd!X183+Közút!X187+Sport!X185+Közművelődés!Z234+Támogatás!AD198</f>
        <v>0</v>
      </c>
      <c r="AB183" s="180"/>
    </row>
    <row r="184" spans="1:28" ht="25.5" hidden="1" customHeight="1" x14ac:dyDescent="0.25">
      <c r="B184" s="54"/>
      <c r="C184" s="2"/>
      <c r="D184" s="625" t="s">
        <v>561</v>
      </c>
      <c r="E184" s="625"/>
      <c r="F184" s="159" t="e">
        <v>#REF!</v>
      </c>
      <c r="G184" s="159" t="e">
        <v>#REF!</v>
      </c>
      <c r="H184" s="159" t="e">
        <v>#REF!</v>
      </c>
      <c r="I184" s="159" t="e">
        <v>#REF!</v>
      </c>
      <c r="J184" s="159" t="e">
        <v>#REF!</v>
      </c>
      <c r="K184" s="159" t="e">
        <f>Igazgatás!J213+Községgazd!J199+Vagyongazd!#REF!+Közút!J188+Sport!J186+Közművelődés!J235+Támogatás!J199</f>
        <v>#REF!</v>
      </c>
      <c r="L184" s="159" t="e">
        <f>Igazgatás!K213+Községgazd!K199+Vagyongazd!#REF!+Közút!K188+Sport!K186+Közművelődés!K235+Támogatás!K199</f>
        <v>#REF!</v>
      </c>
      <c r="M184" s="159" t="e">
        <f>Igazgatás!L213+Községgazd!L199+Vagyongazd!#REF!+Közút!L188+Sport!L186+Közművelődés!L235+Támogatás!L199</f>
        <v>#REF!</v>
      </c>
      <c r="N184" s="72">
        <f>Igazgatás!M213+Községgazd!P199+Vagyongazd!M184+Közút!M188+Sport!M186+Közművelődés!O235+Támogatás!S199</f>
        <v>0</v>
      </c>
      <c r="O184" s="1">
        <f>Igazgatás!N213+Községgazd!Q199+Vagyongazd!N184+Közút!N188+Sport!N186+Közművelődés!P235+Támogatás!T199</f>
        <v>0</v>
      </c>
      <c r="P184" s="78">
        <f>Igazgatás!O213+Községgazd!R199+Vagyongazd!O184+Közút!O188+Sport!O186+Közművelődés!Q235+Támogatás!U199</f>
        <v>0</v>
      </c>
      <c r="Q184" s="78">
        <f>Igazgatás!P213+Községgazd!S199+Vagyongazd!P184+Közút!P188+Sport!P186+Közművelődés!R235+Támogatás!V199</f>
        <v>0</v>
      </c>
      <c r="R184" s="1">
        <f>Igazgatás!Q213+Községgazd!T199+Vagyongazd!Q184+Közút!Q188+Sport!Q186+Közművelődés!S235+Támogatás!W199</f>
        <v>0</v>
      </c>
      <c r="S184" s="78">
        <f>Igazgatás!R213+Községgazd!U199+Vagyongazd!R184+Közút!R188+Sport!R186+Közművelődés!T235+Támogatás!X199</f>
        <v>0</v>
      </c>
      <c r="T184" s="78">
        <f>Igazgatás!S213+Községgazd!V199+Vagyongazd!S184+Közút!S188+Sport!S186+Közművelődés!U235+Támogatás!Y199</f>
        <v>0</v>
      </c>
      <c r="U184" s="44">
        <f>Igazgatás!T213+Községgazd!W199+Vagyongazd!T184+Közút!T188+Sport!T186+Közművelődés!V235+Támogatás!Z199</f>
        <v>0</v>
      </c>
      <c r="V184" s="343">
        <f>Igazgatás!U213+Községgazd!X199+Vagyongazd!U184+Közút!U188+Sport!U186+Közművelődés!W235+Támogatás!AA199</f>
        <v>0</v>
      </c>
      <c r="W184" s="78">
        <f>Igazgatás!V213+Községgazd!Y199+Vagyongazd!V184+Közút!V188+Sport!V186+Közművelődés!X235+Támogatás!AB199</f>
        <v>0</v>
      </c>
      <c r="X184" s="78">
        <f>Igazgatás!W213+Községgazd!Z199+Vagyongazd!W184+Közút!W188+Sport!W186+Közművelődés!Y235+Támogatás!AC199</f>
        <v>0</v>
      </c>
      <c r="Y184" s="44">
        <f>Igazgatás!X213+Községgazd!AA199+Vagyongazd!X184+Közút!X188+Sport!X186+Közművelődés!Z235+Támogatás!AD199</f>
        <v>0</v>
      </c>
      <c r="AB184" s="180"/>
    </row>
    <row r="185" spans="1:28" ht="25.5" hidden="1" customHeight="1" x14ac:dyDescent="0.25">
      <c r="B185" s="54"/>
      <c r="C185" s="2"/>
      <c r="D185" s="625" t="s">
        <v>564</v>
      </c>
      <c r="E185" s="625"/>
      <c r="F185" s="159" t="e">
        <v>#REF!</v>
      </c>
      <c r="G185" s="159" t="e">
        <v>#REF!</v>
      </c>
      <c r="H185" s="159" t="e">
        <v>#REF!</v>
      </c>
      <c r="I185" s="159" t="e">
        <v>#REF!</v>
      </c>
      <c r="J185" s="159" t="e">
        <v>#REF!</v>
      </c>
      <c r="K185" s="159" t="e">
        <f>Igazgatás!J214+Községgazd!J200+Vagyongazd!#REF!+Közút!J189+Sport!J187+Közművelődés!J236+Támogatás!J200</f>
        <v>#REF!</v>
      </c>
      <c r="L185" s="159" t="e">
        <f>Igazgatás!K214+Községgazd!K200+Vagyongazd!#REF!+Közút!K189+Sport!K187+Közművelődés!K236+Támogatás!K200</f>
        <v>#REF!</v>
      </c>
      <c r="M185" s="159" t="e">
        <f>Igazgatás!L214+Községgazd!L200+Vagyongazd!#REF!+Közút!L189+Sport!L187+Közművelődés!L236+Támogatás!L200</f>
        <v>#REF!</v>
      </c>
      <c r="N185" s="72">
        <f>Igazgatás!M214+Községgazd!P200+Vagyongazd!M185+Közút!M189+Sport!M187+Közművelődés!O236+Támogatás!S200</f>
        <v>0</v>
      </c>
      <c r="O185" s="1">
        <f>Igazgatás!N214+Községgazd!Q200+Vagyongazd!N185+Közút!N189+Sport!N187+Közművelődés!P236+Támogatás!T200</f>
        <v>0</v>
      </c>
      <c r="P185" s="78">
        <f>Igazgatás!O214+Községgazd!R200+Vagyongazd!O185+Közút!O189+Sport!O187+Közművelődés!Q236+Támogatás!U200</f>
        <v>0</v>
      </c>
      <c r="Q185" s="78">
        <f>Igazgatás!P214+Községgazd!S200+Vagyongazd!P185+Közút!P189+Sport!P187+Közművelődés!R236+Támogatás!V200</f>
        <v>0</v>
      </c>
      <c r="R185" s="1">
        <f>Igazgatás!Q214+Községgazd!T200+Vagyongazd!Q185+Közút!Q189+Sport!Q187+Közművelődés!S236+Támogatás!W200</f>
        <v>0</v>
      </c>
      <c r="S185" s="78">
        <f>Igazgatás!R214+Községgazd!U200+Vagyongazd!R185+Közút!R189+Sport!R187+Közművelődés!T236+Támogatás!X200</f>
        <v>0</v>
      </c>
      <c r="T185" s="78">
        <f>Igazgatás!S214+Községgazd!V200+Vagyongazd!S185+Közút!S189+Sport!S187+Közművelődés!U236+Támogatás!Y200</f>
        <v>0</v>
      </c>
      <c r="U185" s="44">
        <f>Igazgatás!T214+Községgazd!W200+Vagyongazd!T185+Közút!T189+Sport!T187+Közművelődés!V236+Támogatás!Z200</f>
        <v>0</v>
      </c>
      <c r="V185" s="343">
        <f>Igazgatás!U214+Községgazd!X200+Vagyongazd!U185+Közút!U189+Sport!U187+Közművelődés!W236+Támogatás!AA200</f>
        <v>0</v>
      </c>
      <c r="W185" s="78">
        <f>Igazgatás!V214+Községgazd!Y200+Vagyongazd!V185+Közút!V189+Sport!V187+Közművelődés!X236+Támogatás!AB200</f>
        <v>0</v>
      </c>
      <c r="X185" s="78">
        <f>Igazgatás!W214+Községgazd!Z200+Vagyongazd!W185+Közút!W189+Sport!W187+Közművelődés!Y236+Támogatás!AC200</f>
        <v>0</v>
      </c>
      <c r="Y185" s="44">
        <f>Igazgatás!X214+Községgazd!AA200+Vagyongazd!X185+Közút!X189+Sport!X187+Közművelődés!Z236+Támogatás!AD200</f>
        <v>0</v>
      </c>
      <c r="AB185" s="180"/>
    </row>
    <row r="186" spans="1:28" s="18" customFormat="1" ht="15.75" hidden="1" customHeight="1" x14ac:dyDescent="0.25">
      <c r="A186" s="118" t="s">
        <v>274</v>
      </c>
      <c r="B186" s="88" t="s">
        <v>685</v>
      </c>
      <c r="C186" s="626" t="s">
        <v>275</v>
      </c>
      <c r="D186" s="627"/>
      <c r="E186" s="627"/>
      <c r="F186" s="158" t="e">
        <v>#REF!</v>
      </c>
      <c r="G186" s="158" t="e">
        <v>#REF!</v>
      </c>
      <c r="H186" s="158" t="e">
        <v>#REF!</v>
      </c>
      <c r="I186" s="256" t="e">
        <v>#REF!</v>
      </c>
      <c r="J186" s="256" t="e">
        <v>#REF!</v>
      </c>
      <c r="K186" s="158" t="e">
        <f>Igazgatás!J215+Községgazd!J201+Vagyongazd!#REF!+Közút!J190+Sport!J188+Közművelődés!J237+Támogatás!J201</f>
        <v>#REF!</v>
      </c>
      <c r="L186" s="158" t="e">
        <f>Igazgatás!K215+Községgazd!K201+Vagyongazd!#REF!+Közút!K190+Sport!K188+Közművelődés!K237+Támogatás!K201</f>
        <v>#REF!</v>
      </c>
      <c r="M186" s="158" t="e">
        <f>Igazgatás!L215+Községgazd!L201+Vagyongazd!#REF!+Közút!L190+Sport!L188+Közművelődés!L237+Támogatás!L201</f>
        <v>#REF!</v>
      </c>
      <c r="N186" s="90">
        <f>Igazgatás!M215+Községgazd!P201+Vagyongazd!M186+Közút!M190+Sport!M188+Közművelődés!O237+Támogatás!S201</f>
        <v>0</v>
      </c>
      <c r="O186" s="91">
        <f>Igazgatás!N215+Községgazd!Q201+Vagyongazd!N186+Közút!N190+Sport!N188+Közművelődés!P237+Támogatás!T201</f>
        <v>0</v>
      </c>
      <c r="P186" s="94">
        <f>Igazgatás!O215+Községgazd!R201+Vagyongazd!O186+Közút!O190+Sport!O188+Közművelődés!Q237+Támogatás!U201</f>
        <v>0</v>
      </c>
      <c r="Q186" s="94">
        <f>Igazgatás!P215+Községgazd!S201+Vagyongazd!P186+Közút!P190+Sport!P188+Közművelődés!R237+Támogatás!V201</f>
        <v>0</v>
      </c>
      <c r="R186" s="91">
        <f>Igazgatás!Q215+Községgazd!T201+Vagyongazd!Q186+Közút!Q190+Sport!Q188+Közművelődés!S237+Támogatás!W201</f>
        <v>0</v>
      </c>
      <c r="S186" s="94">
        <f>Igazgatás!R215+Községgazd!U201+Vagyongazd!R186+Közút!R190+Sport!R188+Közművelődés!T237+Támogatás!X201</f>
        <v>0</v>
      </c>
      <c r="T186" s="94">
        <f>Igazgatás!S215+Községgazd!V201+Vagyongazd!S186+Közút!S190+Sport!S188+Közművelődés!U237+Támogatás!Y201</f>
        <v>0</v>
      </c>
      <c r="U186" s="95">
        <f>Igazgatás!T215+Községgazd!W201+Vagyongazd!T186+Közút!T190+Sport!T188+Közművelődés!V237+Támogatás!Z201</f>
        <v>0</v>
      </c>
      <c r="V186" s="341">
        <f>Igazgatás!U215+Községgazd!X201+Vagyongazd!U186+Közút!U190+Sport!U188+Közművelődés!W237+Támogatás!AA201</f>
        <v>0</v>
      </c>
      <c r="W186" s="94">
        <f>Igazgatás!V215+Községgazd!Y201+Vagyongazd!V186+Közút!V190+Sport!V188+Közművelődés!X237+Támogatás!AB201</f>
        <v>0</v>
      </c>
      <c r="X186" s="94">
        <f>Igazgatás!W215+Községgazd!Z201+Vagyongazd!W186+Közút!W190+Sport!W188+Közművelődés!Y237+Támogatás!AC201</f>
        <v>0</v>
      </c>
      <c r="Y186" s="95">
        <f>Igazgatás!X215+Községgazd!AA201+Vagyongazd!X186+Közút!X190+Sport!X188+Közművelődés!Z237+Támogatás!AD201</f>
        <v>0</v>
      </c>
      <c r="AB186" s="180"/>
    </row>
    <row r="187" spans="1:28" ht="15.75" hidden="1" customHeight="1" x14ac:dyDescent="0.25">
      <c r="B187" s="54"/>
      <c r="C187" s="2"/>
      <c r="D187" s="624" t="s">
        <v>371</v>
      </c>
      <c r="E187" s="624"/>
      <c r="F187" s="159" t="e">
        <v>#REF!</v>
      </c>
      <c r="G187" s="159" t="e">
        <v>#REF!</v>
      </c>
      <c r="H187" s="159" t="e">
        <v>#REF!</v>
      </c>
      <c r="I187" s="159" t="e">
        <v>#REF!</v>
      </c>
      <c r="J187" s="159" t="e">
        <v>#REF!</v>
      </c>
      <c r="K187" s="159" t="e">
        <f>Igazgatás!J216+Községgazd!J202+Vagyongazd!#REF!+Közút!J191+Sport!J189+Közművelődés!J238+Támogatás!J202</f>
        <v>#REF!</v>
      </c>
      <c r="L187" s="159" t="e">
        <f>Igazgatás!K216+Községgazd!K202+Vagyongazd!#REF!+Közút!K191+Sport!K189+Közművelődés!K238+Támogatás!K202</f>
        <v>#REF!</v>
      </c>
      <c r="M187" s="159" t="e">
        <f>Igazgatás!L216+Községgazd!L202+Vagyongazd!#REF!+Közút!L191+Sport!L189+Közművelődés!L238+Támogatás!L202</f>
        <v>#REF!</v>
      </c>
      <c r="N187" s="72">
        <f>Igazgatás!M216+Községgazd!P202+Vagyongazd!M187+Közút!M191+Sport!M189+Közművelődés!O238+Támogatás!S202</f>
        <v>0</v>
      </c>
      <c r="O187" s="1">
        <f>Igazgatás!N216+Községgazd!Q202+Vagyongazd!N187+Közút!N191+Sport!N189+Közművelődés!P238+Támogatás!T202</f>
        <v>0</v>
      </c>
      <c r="P187" s="78">
        <f>Igazgatás!O216+Községgazd!R202+Vagyongazd!O187+Közút!O191+Sport!O189+Közművelődés!Q238+Támogatás!U202</f>
        <v>0</v>
      </c>
      <c r="Q187" s="78">
        <f>Igazgatás!P216+Községgazd!S202+Vagyongazd!P187+Közút!P191+Sport!P189+Közművelődés!R238+Támogatás!V202</f>
        <v>0</v>
      </c>
      <c r="R187" s="1">
        <f>Igazgatás!Q216+Községgazd!T202+Vagyongazd!Q187+Közút!Q191+Sport!Q189+Közművelődés!S238+Támogatás!W202</f>
        <v>0</v>
      </c>
      <c r="S187" s="78">
        <f>Igazgatás!R216+Községgazd!U202+Vagyongazd!R187+Közút!R191+Sport!R189+Közművelődés!T238+Támogatás!X202</f>
        <v>0</v>
      </c>
      <c r="T187" s="78">
        <f>Igazgatás!S216+Községgazd!V202+Vagyongazd!S187+Közút!S191+Sport!S189+Közművelődés!U238+Támogatás!Y202</f>
        <v>0</v>
      </c>
      <c r="U187" s="44">
        <f>Igazgatás!T216+Községgazd!W202+Vagyongazd!T187+Közút!T191+Sport!T189+Közművelődés!V238+Támogatás!Z202</f>
        <v>0</v>
      </c>
      <c r="V187" s="343">
        <f>Igazgatás!U216+Községgazd!X202+Vagyongazd!U187+Közút!U191+Sport!U189+Közművelődés!W238+Támogatás!AA202</f>
        <v>0</v>
      </c>
      <c r="W187" s="78">
        <f>Igazgatás!V216+Községgazd!Y202+Vagyongazd!V187+Közút!V191+Sport!V189+Közművelődés!X238+Támogatás!AB202</f>
        <v>0</v>
      </c>
      <c r="X187" s="78">
        <f>Igazgatás!W216+Községgazd!Z202+Vagyongazd!W187+Közút!W191+Sport!W189+Közművelődés!Y238+Támogatás!AC202</f>
        <v>0</v>
      </c>
      <c r="Y187" s="44">
        <f>Igazgatás!X216+Községgazd!AA202+Vagyongazd!X187+Közút!X191+Sport!X189+Közművelődés!Z238+Támogatás!AD202</f>
        <v>0</v>
      </c>
      <c r="AB187" s="180"/>
    </row>
    <row r="188" spans="1:28" ht="15.75" hidden="1" customHeight="1" x14ac:dyDescent="0.25">
      <c r="B188" s="54"/>
      <c r="C188" s="2"/>
      <c r="D188" s="624" t="s">
        <v>544</v>
      </c>
      <c r="E188" s="624"/>
      <c r="F188" s="159" t="e">
        <v>#REF!</v>
      </c>
      <c r="G188" s="159" t="e">
        <v>#REF!</v>
      </c>
      <c r="H188" s="159" t="e">
        <v>#REF!</v>
      </c>
      <c r="I188" s="159" t="e">
        <v>#REF!</v>
      </c>
      <c r="J188" s="159" t="e">
        <v>#REF!</v>
      </c>
      <c r="K188" s="159" t="e">
        <f>Igazgatás!J217+Községgazd!J203+Vagyongazd!#REF!+Közút!J192+Sport!J190+Közművelődés!J239+Támogatás!J203</f>
        <v>#REF!</v>
      </c>
      <c r="L188" s="159" t="e">
        <f>Igazgatás!K217+Községgazd!K203+Vagyongazd!#REF!+Közút!K192+Sport!K190+Közművelődés!K239+Támogatás!K203</f>
        <v>#REF!</v>
      </c>
      <c r="M188" s="159" t="e">
        <f>Igazgatás!L217+Községgazd!L203+Vagyongazd!#REF!+Közút!L192+Sport!L190+Közművelődés!L239+Támogatás!L203</f>
        <v>#REF!</v>
      </c>
      <c r="N188" s="72">
        <f>Igazgatás!M217+Községgazd!P203+Vagyongazd!M188+Közút!M192+Sport!M190+Közművelődés!O239+Támogatás!S203</f>
        <v>0</v>
      </c>
      <c r="O188" s="1">
        <f>Igazgatás!N217+Községgazd!Q203+Vagyongazd!N188+Közút!N192+Sport!N190+Közművelődés!P239+Támogatás!T203</f>
        <v>0</v>
      </c>
      <c r="P188" s="78">
        <f>Igazgatás!O217+Községgazd!R203+Vagyongazd!O188+Közút!O192+Sport!O190+Közművelődés!Q239+Támogatás!U203</f>
        <v>0</v>
      </c>
      <c r="Q188" s="78">
        <f>Igazgatás!P217+Községgazd!S203+Vagyongazd!P188+Közút!P192+Sport!P190+Közművelődés!R239+Támogatás!V203</f>
        <v>0</v>
      </c>
      <c r="R188" s="1">
        <f>Igazgatás!Q217+Községgazd!T203+Vagyongazd!Q188+Közút!Q192+Sport!Q190+Közművelődés!S239+Támogatás!W203</f>
        <v>0</v>
      </c>
      <c r="S188" s="78">
        <f>Igazgatás!R217+Községgazd!U203+Vagyongazd!R188+Közút!R192+Sport!R190+Közművelődés!T239+Támogatás!X203</f>
        <v>0</v>
      </c>
      <c r="T188" s="78">
        <f>Igazgatás!S217+Községgazd!V203+Vagyongazd!S188+Közút!S192+Sport!S190+Közművelődés!U239+Támogatás!Y203</f>
        <v>0</v>
      </c>
      <c r="U188" s="44">
        <f>Igazgatás!T217+Községgazd!W203+Vagyongazd!T188+Közút!T192+Sport!T190+Közművelődés!V239+Támogatás!Z203</f>
        <v>0</v>
      </c>
      <c r="V188" s="343">
        <f>Igazgatás!U217+Községgazd!X203+Vagyongazd!U188+Közút!U192+Sport!U190+Közművelődés!W239+Támogatás!AA203</f>
        <v>0</v>
      </c>
      <c r="W188" s="78">
        <f>Igazgatás!V217+Községgazd!Y203+Vagyongazd!V188+Közút!V192+Sport!V190+Közművelődés!X239+Támogatás!AB203</f>
        <v>0</v>
      </c>
      <c r="X188" s="78">
        <f>Igazgatás!W217+Községgazd!Z203+Vagyongazd!W188+Közút!W192+Sport!W190+Közművelődés!Y239+Támogatás!AC203</f>
        <v>0</v>
      </c>
      <c r="Y188" s="44">
        <f>Igazgatás!X217+Községgazd!AA203+Vagyongazd!X188+Közút!X192+Sport!X190+Közművelődés!Z239+Támogatás!AD203</f>
        <v>0</v>
      </c>
      <c r="AB188" s="180"/>
    </row>
    <row r="189" spans="1:28" ht="15.75" hidden="1" customHeight="1" x14ac:dyDescent="0.25">
      <c r="B189" s="54"/>
      <c r="C189" s="2"/>
      <c r="D189" s="624" t="s">
        <v>547</v>
      </c>
      <c r="E189" s="624"/>
      <c r="F189" s="159" t="e">
        <v>#REF!</v>
      </c>
      <c r="G189" s="159" t="e">
        <v>#REF!</v>
      </c>
      <c r="H189" s="159" t="e">
        <v>#REF!</v>
      </c>
      <c r="I189" s="159" t="e">
        <v>#REF!</v>
      </c>
      <c r="J189" s="159" t="e">
        <v>#REF!</v>
      </c>
      <c r="K189" s="159" t="e">
        <f>Igazgatás!J218+Községgazd!J204+Vagyongazd!#REF!+Közút!J193+Sport!J191+Közművelődés!J240+Támogatás!J204</f>
        <v>#REF!</v>
      </c>
      <c r="L189" s="159" t="e">
        <f>Igazgatás!K218+Községgazd!K204+Vagyongazd!#REF!+Közút!K193+Sport!K191+Közművelődés!K240+Támogatás!K204</f>
        <v>#REF!</v>
      </c>
      <c r="M189" s="159" t="e">
        <f>Igazgatás!L218+Községgazd!L204+Vagyongazd!#REF!+Közút!L193+Sport!L191+Közművelődés!L240+Támogatás!L204</f>
        <v>#REF!</v>
      </c>
      <c r="N189" s="72">
        <f>Igazgatás!M218+Községgazd!P204+Vagyongazd!M189+Közút!M193+Sport!M191+Közművelődés!O240+Támogatás!S204</f>
        <v>0</v>
      </c>
      <c r="O189" s="1">
        <f>Igazgatás!N218+Községgazd!Q204+Vagyongazd!N189+Közút!N193+Sport!N191+Közművelődés!P240+Támogatás!T204</f>
        <v>0</v>
      </c>
      <c r="P189" s="78">
        <f>Igazgatás!O218+Községgazd!R204+Vagyongazd!O189+Közút!O193+Sport!O191+Közművelődés!Q240+Támogatás!U204</f>
        <v>0</v>
      </c>
      <c r="Q189" s="78">
        <f>Igazgatás!P218+Községgazd!S204+Vagyongazd!P189+Közút!P193+Sport!P191+Közművelődés!R240+Támogatás!V204</f>
        <v>0</v>
      </c>
      <c r="R189" s="1">
        <f>Igazgatás!Q218+Községgazd!T204+Vagyongazd!Q189+Közút!Q193+Sport!Q191+Közművelődés!S240+Támogatás!W204</f>
        <v>0</v>
      </c>
      <c r="S189" s="78">
        <f>Igazgatás!R218+Községgazd!U204+Vagyongazd!R189+Közút!R193+Sport!R191+Közművelődés!T240+Támogatás!X204</f>
        <v>0</v>
      </c>
      <c r="T189" s="78">
        <f>Igazgatás!S218+Községgazd!V204+Vagyongazd!S189+Közút!S193+Sport!S191+Közművelődés!U240+Támogatás!Y204</f>
        <v>0</v>
      </c>
      <c r="U189" s="44">
        <f>Igazgatás!T218+Községgazd!W204+Vagyongazd!T189+Közút!T193+Sport!T191+Közművelődés!V240+Támogatás!Z204</f>
        <v>0</v>
      </c>
      <c r="V189" s="343">
        <f>Igazgatás!U218+Községgazd!X204+Vagyongazd!U189+Közút!U193+Sport!U191+Közművelődés!W240+Támogatás!AA204</f>
        <v>0</v>
      </c>
      <c r="W189" s="78">
        <f>Igazgatás!V218+Községgazd!Y204+Vagyongazd!V189+Közút!V193+Sport!V191+Közművelődés!X240+Támogatás!AB204</f>
        <v>0</v>
      </c>
      <c r="X189" s="78">
        <f>Igazgatás!W218+Községgazd!Z204+Vagyongazd!W189+Közút!W193+Sport!W191+Közművelődés!Y240+Támogatás!AC204</f>
        <v>0</v>
      </c>
      <c r="Y189" s="44">
        <f>Igazgatás!X218+Községgazd!AA204+Vagyongazd!X189+Közút!X193+Sport!X191+Közművelődés!Z240+Támogatás!AD204</f>
        <v>0</v>
      </c>
      <c r="AB189" s="180"/>
    </row>
    <row r="190" spans="1:28" ht="15.75" hidden="1" customHeight="1" x14ac:dyDescent="0.25">
      <c r="B190" s="54"/>
      <c r="C190" s="2"/>
      <c r="D190" s="625" t="s">
        <v>817</v>
      </c>
      <c r="E190" s="625"/>
      <c r="F190" s="159" t="e">
        <v>#REF!</v>
      </c>
      <c r="G190" s="159" t="e">
        <v>#REF!</v>
      </c>
      <c r="H190" s="159" t="e">
        <v>#REF!</v>
      </c>
      <c r="I190" s="159" t="e">
        <v>#REF!</v>
      </c>
      <c r="J190" s="159" t="e">
        <v>#REF!</v>
      </c>
      <c r="K190" s="159" t="e">
        <f>Igazgatás!J219+Községgazd!J205+Vagyongazd!#REF!+Közút!J194+Sport!J192+Közművelődés!J241+Támogatás!J205</f>
        <v>#REF!</v>
      </c>
      <c r="L190" s="159" t="e">
        <f>Igazgatás!K219+Községgazd!K205+Vagyongazd!#REF!+Közút!K194+Sport!K192+Közművelődés!K241+Támogatás!K205</f>
        <v>#REF!</v>
      </c>
      <c r="M190" s="159" t="e">
        <f>Igazgatás!L219+Községgazd!L205+Vagyongazd!#REF!+Közút!L194+Sport!L192+Közművelődés!L241+Támogatás!L205</f>
        <v>#REF!</v>
      </c>
      <c r="N190" s="72">
        <f>Igazgatás!M219+Községgazd!P205+Vagyongazd!M190+Közút!M194+Sport!M192+Közművelődés!O241+Támogatás!S205</f>
        <v>0</v>
      </c>
      <c r="O190" s="1">
        <f>Igazgatás!N219+Községgazd!Q205+Vagyongazd!N190+Közút!N194+Sport!N192+Közművelődés!P241+Támogatás!T205</f>
        <v>0</v>
      </c>
      <c r="P190" s="78">
        <f>Igazgatás!O219+Községgazd!R205+Vagyongazd!O190+Közút!O194+Sport!O192+Közművelődés!Q241+Támogatás!U205</f>
        <v>0</v>
      </c>
      <c r="Q190" s="78">
        <f>Igazgatás!P219+Községgazd!S205+Vagyongazd!P190+Közút!P194+Sport!P192+Közművelődés!R241+Támogatás!V205</f>
        <v>0</v>
      </c>
      <c r="R190" s="1">
        <f>Igazgatás!Q219+Községgazd!T205+Vagyongazd!Q190+Közút!Q194+Sport!Q192+Közművelődés!S241+Támogatás!W205</f>
        <v>0</v>
      </c>
      <c r="S190" s="78">
        <f>Igazgatás!R219+Községgazd!U205+Vagyongazd!R190+Közút!R194+Sport!R192+Közművelődés!T241+Támogatás!X205</f>
        <v>0</v>
      </c>
      <c r="T190" s="78">
        <f>Igazgatás!S219+Községgazd!V205+Vagyongazd!S190+Közút!S194+Sport!S192+Közművelődés!U241+Támogatás!Y205</f>
        <v>0</v>
      </c>
      <c r="U190" s="44">
        <f>Igazgatás!T219+Községgazd!W205+Vagyongazd!T190+Közút!T194+Sport!T192+Közművelődés!V241+Támogatás!Z205</f>
        <v>0</v>
      </c>
      <c r="V190" s="343">
        <f>Igazgatás!U219+Községgazd!X205+Vagyongazd!U190+Közút!U194+Sport!U192+Közművelődés!W241+Támogatás!AA205</f>
        <v>0</v>
      </c>
      <c r="W190" s="78">
        <f>Igazgatás!V219+Községgazd!Y205+Vagyongazd!V190+Közút!V194+Sport!V192+Közművelődés!X241+Támogatás!AB205</f>
        <v>0</v>
      </c>
      <c r="X190" s="78">
        <f>Igazgatás!W219+Községgazd!Z205+Vagyongazd!W190+Közút!W194+Sport!W192+Közművelődés!Y241+Támogatás!AC205</f>
        <v>0</v>
      </c>
      <c r="Y190" s="44">
        <f>Igazgatás!X219+Községgazd!AA205+Vagyongazd!X190+Közút!X194+Sport!X192+Közművelődés!Z241+Támogatás!AD205</f>
        <v>0</v>
      </c>
      <c r="AB190" s="180"/>
    </row>
    <row r="191" spans="1:28" ht="15.75" hidden="1" customHeight="1" x14ac:dyDescent="0.25">
      <c r="B191" s="54"/>
      <c r="C191" s="2"/>
      <c r="D191" s="624" t="s">
        <v>554</v>
      </c>
      <c r="E191" s="624"/>
      <c r="F191" s="159" t="e">
        <v>#REF!</v>
      </c>
      <c r="G191" s="159" t="e">
        <v>#REF!</v>
      </c>
      <c r="H191" s="159" t="e">
        <v>#REF!</v>
      </c>
      <c r="I191" s="159" t="e">
        <v>#REF!</v>
      </c>
      <c r="J191" s="159" t="e">
        <v>#REF!</v>
      </c>
      <c r="K191" s="159" t="e">
        <f>Igazgatás!J220+Községgazd!J206+Vagyongazd!#REF!+Közút!J195+Sport!J193+Közművelődés!J242+Támogatás!J206</f>
        <v>#REF!</v>
      </c>
      <c r="L191" s="159" t="e">
        <f>Igazgatás!K220+Községgazd!K206+Vagyongazd!#REF!+Közút!K195+Sport!K193+Közművelődés!K242+Támogatás!K206</f>
        <v>#REF!</v>
      </c>
      <c r="M191" s="159" t="e">
        <f>Igazgatás!L220+Községgazd!L206+Vagyongazd!#REF!+Közút!L195+Sport!L193+Közművelődés!L242+Támogatás!L206</f>
        <v>#REF!</v>
      </c>
      <c r="N191" s="72">
        <f>Igazgatás!M220+Községgazd!P206+Vagyongazd!M191+Közút!M195+Sport!M193+Közművelődés!O242+Támogatás!S206</f>
        <v>0</v>
      </c>
      <c r="O191" s="1">
        <f>Igazgatás!N220+Községgazd!Q206+Vagyongazd!N191+Közút!N195+Sport!N193+Közművelődés!P242+Támogatás!T206</f>
        <v>0</v>
      </c>
      <c r="P191" s="78">
        <f>Igazgatás!O220+Községgazd!R206+Vagyongazd!O191+Közút!O195+Sport!O193+Közművelődés!Q242+Támogatás!U206</f>
        <v>0</v>
      </c>
      <c r="Q191" s="78">
        <f>Igazgatás!P220+Községgazd!S206+Vagyongazd!P191+Közút!P195+Sport!P193+Közművelődés!R242+Támogatás!V206</f>
        <v>0</v>
      </c>
      <c r="R191" s="1">
        <f>Igazgatás!Q220+Községgazd!T206+Vagyongazd!Q191+Közút!Q195+Sport!Q193+Közművelődés!S242+Támogatás!W206</f>
        <v>0</v>
      </c>
      <c r="S191" s="78">
        <f>Igazgatás!R220+Községgazd!U206+Vagyongazd!R191+Közút!R195+Sport!R193+Közművelődés!T242+Támogatás!X206</f>
        <v>0</v>
      </c>
      <c r="T191" s="78">
        <f>Igazgatás!S220+Községgazd!V206+Vagyongazd!S191+Közút!S195+Sport!S193+Közművelődés!U242+Támogatás!Y206</f>
        <v>0</v>
      </c>
      <c r="U191" s="44">
        <f>Igazgatás!T220+Községgazd!W206+Vagyongazd!T191+Közút!T195+Sport!T193+Közművelődés!V242+Támogatás!Z206</f>
        <v>0</v>
      </c>
      <c r="V191" s="343">
        <f>Igazgatás!U220+Községgazd!X206+Vagyongazd!U191+Közút!U195+Sport!U193+Közművelődés!W242+Támogatás!AA206</f>
        <v>0</v>
      </c>
      <c r="W191" s="78">
        <f>Igazgatás!V220+Községgazd!Y206+Vagyongazd!V191+Közút!V195+Sport!V193+Közművelődés!X242+Támogatás!AB206</f>
        <v>0</v>
      </c>
      <c r="X191" s="78">
        <f>Igazgatás!W220+Községgazd!Z206+Vagyongazd!W191+Közút!W195+Sport!W193+Közművelődés!Y242+Támogatás!AC206</f>
        <v>0</v>
      </c>
      <c r="Y191" s="44">
        <f>Igazgatás!X220+Községgazd!AA206+Vagyongazd!X191+Közút!X195+Sport!X193+Közművelődés!Z242+Támogatás!AD206</f>
        <v>0</v>
      </c>
      <c r="AB191" s="180"/>
    </row>
    <row r="192" spans="1:28" ht="15.75" hidden="1" customHeight="1" x14ac:dyDescent="0.25">
      <c r="B192" s="54"/>
      <c r="C192" s="2"/>
      <c r="D192" s="624" t="s">
        <v>553</v>
      </c>
      <c r="E192" s="624"/>
      <c r="F192" s="159" t="e">
        <v>#REF!</v>
      </c>
      <c r="G192" s="159" t="e">
        <v>#REF!</v>
      </c>
      <c r="H192" s="159" t="e">
        <v>#REF!</v>
      </c>
      <c r="I192" s="159" t="e">
        <v>#REF!</v>
      </c>
      <c r="J192" s="159" t="e">
        <v>#REF!</v>
      </c>
      <c r="K192" s="159" t="e">
        <f>Igazgatás!J221+Községgazd!J207+Vagyongazd!#REF!+Közút!J196+Sport!J194+Közművelődés!J243+Támogatás!J207</f>
        <v>#REF!</v>
      </c>
      <c r="L192" s="159" t="e">
        <f>Igazgatás!K221+Községgazd!K207+Vagyongazd!#REF!+Közút!K196+Sport!K194+Közművelődés!K243+Támogatás!K207</f>
        <v>#REF!</v>
      </c>
      <c r="M192" s="159" t="e">
        <f>Igazgatás!L221+Községgazd!L207+Vagyongazd!#REF!+Közút!L196+Sport!L194+Közművelődés!L243+Támogatás!L207</f>
        <v>#REF!</v>
      </c>
      <c r="N192" s="72">
        <f>Igazgatás!M221+Községgazd!P207+Vagyongazd!M192+Közút!M196+Sport!M194+Közművelődés!O243+Támogatás!S207</f>
        <v>0</v>
      </c>
      <c r="O192" s="1">
        <f>Igazgatás!N221+Községgazd!Q207+Vagyongazd!N192+Közút!N196+Sport!N194+Közművelődés!P243+Támogatás!T207</f>
        <v>0</v>
      </c>
      <c r="P192" s="78">
        <f>Igazgatás!O221+Községgazd!R207+Vagyongazd!O192+Közút!O196+Sport!O194+Közművelődés!Q243+Támogatás!U207</f>
        <v>0</v>
      </c>
      <c r="Q192" s="78">
        <f>Igazgatás!P221+Községgazd!S207+Vagyongazd!P192+Közút!P196+Sport!P194+Közművelődés!R243+Támogatás!V207</f>
        <v>0</v>
      </c>
      <c r="R192" s="1">
        <f>Igazgatás!Q221+Községgazd!T207+Vagyongazd!Q192+Közút!Q196+Sport!Q194+Közművelődés!S243+Támogatás!W207</f>
        <v>0</v>
      </c>
      <c r="S192" s="78">
        <f>Igazgatás!R221+Községgazd!U207+Vagyongazd!R192+Közút!R196+Sport!R194+Közművelődés!T243+Támogatás!X207</f>
        <v>0</v>
      </c>
      <c r="T192" s="78">
        <f>Igazgatás!S221+Községgazd!V207+Vagyongazd!S192+Közút!S196+Sport!S194+Közművelődés!U243+Támogatás!Y207</f>
        <v>0</v>
      </c>
      <c r="U192" s="44">
        <f>Igazgatás!T221+Községgazd!W207+Vagyongazd!T192+Közút!T196+Sport!T194+Közművelődés!V243+Támogatás!Z207</f>
        <v>0</v>
      </c>
      <c r="V192" s="343">
        <f>Igazgatás!U221+Községgazd!X207+Vagyongazd!U192+Közút!U196+Sport!U194+Közművelődés!W243+Támogatás!AA207</f>
        <v>0</v>
      </c>
      <c r="W192" s="78">
        <f>Igazgatás!V221+Községgazd!Y207+Vagyongazd!V192+Közút!V196+Sport!V194+Közművelődés!X243+Támogatás!AB207</f>
        <v>0</v>
      </c>
      <c r="X192" s="78">
        <f>Igazgatás!W221+Községgazd!Z207+Vagyongazd!W192+Közút!W196+Sport!W194+Közművelődés!Y243+Támogatás!AC207</f>
        <v>0</v>
      </c>
      <c r="Y192" s="44">
        <f>Igazgatás!X221+Községgazd!AA207+Vagyongazd!X192+Közút!X196+Sport!X194+Közművelődés!Z243+Támogatás!AD207</f>
        <v>0</v>
      </c>
      <c r="AB192" s="180"/>
    </row>
    <row r="193" spans="1:28" ht="25.5" hidden="1" customHeight="1" x14ac:dyDescent="0.25">
      <c r="B193" s="54"/>
      <c r="C193" s="2"/>
      <c r="D193" s="625" t="s">
        <v>557</v>
      </c>
      <c r="E193" s="625"/>
      <c r="F193" s="159" t="e">
        <v>#REF!</v>
      </c>
      <c r="G193" s="159" t="e">
        <v>#REF!</v>
      </c>
      <c r="H193" s="159" t="e">
        <v>#REF!</v>
      </c>
      <c r="I193" s="159" t="e">
        <v>#REF!</v>
      </c>
      <c r="J193" s="159" t="e">
        <v>#REF!</v>
      </c>
      <c r="K193" s="159" t="e">
        <f>Igazgatás!J222+Községgazd!J208+Vagyongazd!#REF!+Közút!J197+Sport!J195+Közművelődés!J244+Támogatás!J208</f>
        <v>#REF!</v>
      </c>
      <c r="L193" s="159" t="e">
        <f>Igazgatás!K222+Községgazd!K208+Vagyongazd!#REF!+Közút!K197+Sport!K195+Közművelődés!K244+Támogatás!K208</f>
        <v>#REF!</v>
      </c>
      <c r="M193" s="159" t="e">
        <f>Igazgatás!L222+Községgazd!L208+Vagyongazd!#REF!+Közút!L197+Sport!L195+Közművelődés!L244+Támogatás!L208</f>
        <v>#REF!</v>
      </c>
      <c r="N193" s="72">
        <f>Igazgatás!M222+Községgazd!P208+Vagyongazd!M193+Közút!M197+Sport!M195+Közművelődés!O244+Támogatás!S208</f>
        <v>0</v>
      </c>
      <c r="O193" s="1">
        <f>Igazgatás!N222+Községgazd!Q208+Vagyongazd!N193+Közút!N197+Sport!N195+Közművelődés!P244+Támogatás!T208</f>
        <v>0</v>
      </c>
      <c r="P193" s="78">
        <f>Igazgatás!O222+Községgazd!R208+Vagyongazd!O193+Közút!O197+Sport!O195+Közművelődés!Q244+Támogatás!U208</f>
        <v>0</v>
      </c>
      <c r="Q193" s="78">
        <f>Igazgatás!P222+Községgazd!S208+Vagyongazd!P193+Közút!P197+Sport!P195+Közművelődés!R244+Támogatás!V208</f>
        <v>0</v>
      </c>
      <c r="R193" s="1">
        <f>Igazgatás!Q222+Községgazd!T208+Vagyongazd!Q193+Közút!Q197+Sport!Q195+Közművelődés!S244+Támogatás!W208</f>
        <v>0</v>
      </c>
      <c r="S193" s="78">
        <f>Igazgatás!R222+Községgazd!U208+Vagyongazd!R193+Közút!R197+Sport!R195+Közművelődés!T244+Támogatás!X208</f>
        <v>0</v>
      </c>
      <c r="T193" s="78">
        <f>Igazgatás!S222+Községgazd!V208+Vagyongazd!S193+Közút!S197+Sport!S195+Közművelődés!U244+Támogatás!Y208</f>
        <v>0</v>
      </c>
      <c r="U193" s="44">
        <f>Igazgatás!T222+Községgazd!W208+Vagyongazd!T193+Közút!T197+Sport!T195+Közművelődés!V244+Támogatás!Z208</f>
        <v>0</v>
      </c>
      <c r="V193" s="343">
        <f>Igazgatás!U222+Községgazd!X208+Vagyongazd!U193+Közút!U197+Sport!U195+Közművelődés!W244+Támogatás!AA208</f>
        <v>0</v>
      </c>
      <c r="W193" s="78">
        <f>Igazgatás!V222+Községgazd!Y208+Vagyongazd!V193+Közút!V197+Sport!V195+Közművelődés!X244+Támogatás!AB208</f>
        <v>0</v>
      </c>
      <c r="X193" s="78">
        <f>Igazgatás!W222+Községgazd!Z208+Vagyongazd!W193+Közút!W197+Sport!W195+Közművelődés!Y244+Támogatás!AC208</f>
        <v>0</v>
      </c>
      <c r="Y193" s="44">
        <f>Igazgatás!X222+Községgazd!AA208+Vagyongazd!X193+Közút!X197+Sport!X195+Közművelődés!Z244+Támogatás!AD208</f>
        <v>0</v>
      </c>
      <c r="AB193" s="180"/>
    </row>
    <row r="194" spans="1:28" ht="15.75" hidden="1" customHeight="1" x14ac:dyDescent="0.25">
      <c r="B194" s="54"/>
      <c r="C194" s="2"/>
      <c r="D194" s="624" t="s">
        <v>818</v>
      </c>
      <c r="E194" s="624"/>
      <c r="F194" s="159" t="e">
        <v>#REF!</v>
      </c>
      <c r="G194" s="159" t="e">
        <v>#REF!</v>
      </c>
      <c r="H194" s="159" t="e">
        <v>#REF!</v>
      </c>
      <c r="I194" s="159" t="e">
        <v>#REF!</v>
      </c>
      <c r="J194" s="159" t="e">
        <v>#REF!</v>
      </c>
      <c r="K194" s="159" t="e">
        <f>Igazgatás!J223+Községgazd!J209+Vagyongazd!#REF!+Közút!J198+Sport!J196+Közművelődés!J245+Támogatás!J209</f>
        <v>#REF!</v>
      </c>
      <c r="L194" s="159" t="e">
        <f>Igazgatás!K223+Községgazd!K209+Vagyongazd!#REF!+Közút!K198+Sport!K196+Közművelődés!K245+Támogatás!K209</f>
        <v>#REF!</v>
      </c>
      <c r="M194" s="159" t="e">
        <f>Igazgatás!L223+Községgazd!L209+Vagyongazd!#REF!+Közút!L198+Sport!L196+Közművelődés!L245+Támogatás!L209</f>
        <v>#REF!</v>
      </c>
      <c r="N194" s="72">
        <f>Igazgatás!M223+Községgazd!P209+Vagyongazd!M194+Közút!M198+Sport!M196+Közművelődés!O245+Támogatás!S209</f>
        <v>0</v>
      </c>
      <c r="O194" s="1">
        <f>Igazgatás!N223+Községgazd!Q209+Vagyongazd!N194+Közút!N198+Sport!N196+Közművelődés!P245+Támogatás!T209</f>
        <v>0</v>
      </c>
      <c r="P194" s="78">
        <f>Igazgatás!O223+Községgazd!R209+Vagyongazd!O194+Közút!O198+Sport!O196+Közművelődés!Q245+Támogatás!U209</f>
        <v>0</v>
      </c>
      <c r="Q194" s="78">
        <f>Igazgatás!P223+Községgazd!S209+Vagyongazd!P194+Közút!P198+Sport!P196+Közművelődés!R245+Támogatás!V209</f>
        <v>0</v>
      </c>
      <c r="R194" s="1">
        <f>Igazgatás!Q223+Községgazd!T209+Vagyongazd!Q194+Közút!Q198+Sport!Q196+Közművelődés!S245+Támogatás!W209</f>
        <v>0</v>
      </c>
      <c r="S194" s="78">
        <f>Igazgatás!R223+Községgazd!U209+Vagyongazd!R194+Közút!R198+Sport!R196+Közművelődés!T245+Támogatás!X209</f>
        <v>0</v>
      </c>
      <c r="T194" s="78">
        <f>Igazgatás!S223+Községgazd!V209+Vagyongazd!S194+Közút!S198+Sport!S196+Közművelődés!U245+Támogatás!Y209</f>
        <v>0</v>
      </c>
      <c r="U194" s="44">
        <f>Igazgatás!T223+Községgazd!W209+Vagyongazd!T194+Közút!T198+Sport!T196+Közművelődés!V245+Támogatás!Z209</f>
        <v>0</v>
      </c>
      <c r="V194" s="343">
        <f>Igazgatás!U223+Községgazd!X209+Vagyongazd!U194+Közút!U198+Sport!U196+Közművelődés!W245+Támogatás!AA209</f>
        <v>0</v>
      </c>
      <c r="W194" s="78">
        <f>Igazgatás!V223+Községgazd!Y209+Vagyongazd!V194+Közút!V198+Sport!V196+Közművelődés!X245+Támogatás!AB209</f>
        <v>0</v>
      </c>
      <c r="X194" s="78">
        <f>Igazgatás!W223+Községgazd!Z209+Vagyongazd!W194+Közút!W198+Sport!W196+Közművelődés!Y245+Támogatás!AC209</f>
        <v>0</v>
      </c>
      <c r="Y194" s="44">
        <f>Igazgatás!X223+Községgazd!AA209+Vagyongazd!X194+Közút!X198+Sport!X196+Közművelődés!Z245+Támogatás!AD209</f>
        <v>0</v>
      </c>
      <c r="AB194" s="180"/>
    </row>
    <row r="195" spans="1:28" ht="25.5" hidden="1" customHeight="1" x14ac:dyDescent="0.25">
      <c r="B195" s="54"/>
      <c r="C195" s="2"/>
      <c r="D195" s="625" t="s">
        <v>562</v>
      </c>
      <c r="E195" s="625"/>
      <c r="F195" s="159" t="e">
        <v>#REF!</v>
      </c>
      <c r="G195" s="159" t="e">
        <v>#REF!</v>
      </c>
      <c r="H195" s="159" t="e">
        <v>#REF!</v>
      </c>
      <c r="I195" s="159" t="e">
        <v>#REF!</v>
      </c>
      <c r="J195" s="159" t="e">
        <v>#REF!</v>
      </c>
      <c r="K195" s="159" t="e">
        <f>Igazgatás!J224+Községgazd!J210+Vagyongazd!#REF!+Közút!J199+Sport!J197+Közművelődés!J246+Támogatás!J210</f>
        <v>#REF!</v>
      </c>
      <c r="L195" s="159" t="e">
        <f>Igazgatás!K224+Községgazd!K210+Vagyongazd!#REF!+Közút!K199+Sport!K197+Közművelődés!K246+Támogatás!K210</f>
        <v>#REF!</v>
      </c>
      <c r="M195" s="159" t="e">
        <f>Igazgatás!L224+Községgazd!L210+Vagyongazd!#REF!+Közút!L199+Sport!L197+Közművelődés!L246+Támogatás!L210</f>
        <v>#REF!</v>
      </c>
      <c r="N195" s="72">
        <f>Igazgatás!M224+Községgazd!P210+Vagyongazd!M195+Közút!M199+Sport!M197+Közművelődés!O246+Támogatás!S210</f>
        <v>0</v>
      </c>
      <c r="O195" s="1">
        <f>Igazgatás!N224+Községgazd!Q210+Vagyongazd!N195+Közút!N199+Sport!N197+Közművelődés!P246+Támogatás!T210</f>
        <v>0</v>
      </c>
      <c r="P195" s="78">
        <f>Igazgatás!O224+Községgazd!R210+Vagyongazd!O195+Közút!O199+Sport!O197+Közművelődés!Q246+Támogatás!U210</f>
        <v>0</v>
      </c>
      <c r="Q195" s="78">
        <f>Igazgatás!P224+Községgazd!S210+Vagyongazd!P195+Közút!P199+Sport!P197+Közművelődés!R246+Támogatás!V210</f>
        <v>0</v>
      </c>
      <c r="R195" s="1">
        <f>Igazgatás!Q224+Községgazd!T210+Vagyongazd!Q195+Közút!Q199+Sport!Q197+Közművelődés!S246+Támogatás!W210</f>
        <v>0</v>
      </c>
      <c r="S195" s="78">
        <f>Igazgatás!R224+Községgazd!U210+Vagyongazd!R195+Közút!R199+Sport!R197+Közművelődés!T246+Támogatás!X210</f>
        <v>0</v>
      </c>
      <c r="T195" s="78">
        <f>Igazgatás!S224+Községgazd!V210+Vagyongazd!S195+Közút!S199+Sport!S197+Közművelődés!U246+Támogatás!Y210</f>
        <v>0</v>
      </c>
      <c r="U195" s="44">
        <f>Igazgatás!T224+Községgazd!W210+Vagyongazd!T195+Közút!T199+Sport!T197+Közművelődés!V246+Támogatás!Z210</f>
        <v>0</v>
      </c>
      <c r="V195" s="343">
        <f>Igazgatás!U224+Községgazd!X210+Vagyongazd!U195+Közút!U199+Sport!U197+Közművelődés!W246+Támogatás!AA210</f>
        <v>0</v>
      </c>
      <c r="W195" s="78">
        <f>Igazgatás!V224+Községgazd!Y210+Vagyongazd!V195+Közút!V199+Sport!V197+Közművelődés!X246+Támogatás!AB210</f>
        <v>0</v>
      </c>
      <c r="X195" s="78">
        <f>Igazgatás!W224+Községgazd!Z210+Vagyongazd!W195+Közút!W199+Sport!W197+Közművelődés!Y246+Támogatás!AC210</f>
        <v>0</v>
      </c>
      <c r="Y195" s="44">
        <f>Igazgatás!X224+Községgazd!AA210+Vagyongazd!X195+Közút!X199+Sport!X197+Közművelődés!Z246+Támogatás!AD210</f>
        <v>0</v>
      </c>
      <c r="AB195" s="180"/>
    </row>
    <row r="196" spans="1:28" ht="25.5" hidden="1" customHeight="1" x14ac:dyDescent="0.25">
      <c r="B196" s="54"/>
      <c r="C196" s="2"/>
      <c r="D196" s="625" t="s">
        <v>565</v>
      </c>
      <c r="E196" s="625"/>
      <c r="F196" s="159" t="e">
        <v>#REF!</v>
      </c>
      <c r="G196" s="159" t="e">
        <v>#REF!</v>
      </c>
      <c r="H196" s="159" t="e">
        <v>#REF!</v>
      </c>
      <c r="I196" s="159" t="e">
        <v>#REF!</v>
      </c>
      <c r="J196" s="159" t="e">
        <v>#REF!</v>
      </c>
      <c r="K196" s="159" t="e">
        <f>Igazgatás!J225+Községgazd!J211+Vagyongazd!#REF!+Közút!J200+Sport!J198+Közművelődés!J247+Támogatás!J211</f>
        <v>#REF!</v>
      </c>
      <c r="L196" s="159" t="e">
        <f>Igazgatás!K225+Községgazd!K211+Vagyongazd!#REF!+Közút!K200+Sport!K198+Közművelődés!K247+Támogatás!K211</f>
        <v>#REF!</v>
      </c>
      <c r="M196" s="159" t="e">
        <f>Igazgatás!L225+Községgazd!L211+Vagyongazd!#REF!+Közút!L200+Sport!L198+Közművelődés!L247+Támogatás!L211</f>
        <v>#REF!</v>
      </c>
      <c r="N196" s="72">
        <f>Igazgatás!M225+Községgazd!P211+Vagyongazd!M196+Közút!M200+Sport!M198+Közművelődés!O247+Támogatás!S211</f>
        <v>0</v>
      </c>
      <c r="O196" s="1">
        <f>Igazgatás!N225+Községgazd!Q211+Vagyongazd!N196+Közút!N200+Sport!N198+Közművelődés!P247+Támogatás!T211</f>
        <v>0</v>
      </c>
      <c r="P196" s="78">
        <f>Igazgatás!O225+Községgazd!R211+Vagyongazd!O196+Közút!O200+Sport!O198+Közművelődés!Q247+Támogatás!U211</f>
        <v>0</v>
      </c>
      <c r="Q196" s="78">
        <f>Igazgatás!P225+Községgazd!S211+Vagyongazd!P196+Közút!P200+Sport!P198+Közművelődés!R247+Támogatás!V211</f>
        <v>0</v>
      </c>
      <c r="R196" s="1">
        <f>Igazgatás!Q225+Községgazd!T211+Vagyongazd!Q196+Közút!Q200+Sport!Q198+Közművelődés!S247+Támogatás!W211</f>
        <v>0</v>
      </c>
      <c r="S196" s="78">
        <f>Igazgatás!R225+Községgazd!U211+Vagyongazd!R196+Közút!R200+Sport!R198+Közművelődés!T247+Támogatás!X211</f>
        <v>0</v>
      </c>
      <c r="T196" s="78">
        <f>Igazgatás!S225+Községgazd!V211+Vagyongazd!S196+Közút!S200+Sport!S198+Közművelődés!U247+Támogatás!Y211</f>
        <v>0</v>
      </c>
      <c r="U196" s="44">
        <f>Igazgatás!T225+Községgazd!W211+Vagyongazd!T196+Közút!T200+Sport!T198+Közművelődés!V247+Támogatás!Z211</f>
        <v>0</v>
      </c>
      <c r="V196" s="343">
        <f>Igazgatás!U225+Községgazd!X211+Vagyongazd!U196+Közút!U200+Sport!U198+Közművelődés!W247+Támogatás!AA211</f>
        <v>0</v>
      </c>
      <c r="W196" s="78">
        <f>Igazgatás!V225+Községgazd!Y211+Vagyongazd!V196+Közút!V200+Sport!V198+Közművelődés!X247+Támogatás!AB211</f>
        <v>0</v>
      </c>
      <c r="X196" s="78">
        <f>Igazgatás!W225+Községgazd!Z211+Vagyongazd!W196+Közút!W200+Sport!W198+Közművelődés!Y247+Támogatás!AC211</f>
        <v>0</v>
      </c>
      <c r="Y196" s="44">
        <f>Igazgatás!X225+Községgazd!AA211+Vagyongazd!X196+Közút!X200+Sport!X198+Közművelődés!Z247+Támogatás!AD211</f>
        <v>0</v>
      </c>
      <c r="AB196" s="180"/>
    </row>
    <row r="197" spans="1:28" s="18" customFormat="1" ht="25.5" hidden="1" customHeight="1" x14ac:dyDescent="0.25">
      <c r="A197" s="118" t="s">
        <v>276</v>
      </c>
      <c r="B197" s="88" t="s">
        <v>686</v>
      </c>
      <c r="C197" s="716" t="s">
        <v>606</v>
      </c>
      <c r="D197" s="717"/>
      <c r="E197" s="717"/>
      <c r="F197" s="158" t="e">
        <v>#REF!</v>
      </c>
      <c r="G197" s="158" t="e">
        <v>#REF!</v>
      </c>
      <c r="H197" s="158" t="e">
        <v>#REF!</v>
      </c>
      <c r="I197" s="256" t="e">
        <v>#REF!</v>
      </c>
      <c r="J197" s="256" t="e">
        <v>#REF!</v>
      </c>
      <c r="K197" s="158" t="e">
        <f>Igazgatás!J226+Községgazd!J212+Vagyongazd!#REF!+Közút!J201+Sport!J199+Közművelődés!J248+Támogatás!J212</f>
        <v>#REF!</v>
      </c>
      <c r="L197" s="158" t="e">
        <f>Igazgatás!K226+Községgazd!K212+Vagyongazd!#REF!+Közút!K201+Sport!K199+Közművelődés!K248+Támogatás!K212</f>
        <v>#REF!</v>
      </c>
      <c r="M197" s="158" t="e">
        <f>Igazgatás!L226+Községgazd!L212+Vagyongazd!#REF!+Közút!L201+Sport!L199+Közművelődés!L248+Támogatás!L212</f>
        <v>#REF!</v>
      </c>
      <c r="N197" s="90">
        <f>Igazgatás!M226+Községgazd!P212+Vagyongazd!M197+Közút!M201+Sport!M199+Közművelődés!O248+Támogatás!S212</f>
        <v>0</v>
      </c>
      <c r="O197" s="91">
        <f>Igazgatás!N226+Községgazd!Q212+Vagyongazd!N197+Közút!N201+Sport!N199+Közművelődés!P248+Támogatás!T212</f>
        <v>0</v>
      </c>
      <c r="P197" s="94">
        <f>Igazgatás!O226+Községgazd!R212+Vagyongazd!O197+Közút!O201+Sport!O199+Közművelődés!Q248+Támogatás!U212</f>
        <v>0</v>
      </c>
      <c r="Q197" s="94">
        <f>Igazgatás!P226+Községgazd!S212+Vagyongazd!P197+Közút!P201+Sport!P199+Közművelődés!R248+Támogatás!V212</f>
        <v>0</v>
      </c>
      <c r="R197" s="91">
        <f>Igazgatás!Q226+Községgazd!T212+Vagyongazd!Q197+Közút!Q201+Sport!Q199+Közművelődés!S248+Támogatás!W212</f>
        <v>0</v>
      </c>
      <c r="S197" s="94">
        <f>Igazgatás!R226+Községgazd!U212+Vagyongazd!R197+Közút!R201+Sport!R199+Közművelődés!T248+Támogatás!X212</f>
        <v>0</v>
      </c>
      <c r="T197" s="94">
        <f>Igazgatás!S226+Községgazd!V212+Vagyongazd!S197+Közút!S201+Sport!S199+Közművelődés!U248+Támogatás!Y212</f>
        <v>0</v>
      </c>
      <c r="U197" s="95">
        <f>Igazgatás!T226+Községgazd!W212+Vagyongazd!T197+Közút!T201+Sport!T199+Közművelődés!V248+Támogatás!Z212</f>
        <v>0</v>
      </c>
      <c r="V197" s="341">
        <f>Igazgatás!U226+Községgazd!X212+Vagyongazd!U197+Közút!U201+Sport!U199+Közművelődés!W248+Támogatás!AA212</f>
        <v>0</v>
      </c>
      <c r="W197" s="94">
        <f>Igazgatás!V226+Községgazd!Y212+Vagyongazd!V197+Közút!V201+Sport!V199+Közművelődés!X248+Támogatás!AB212</f>
        <v>0</v>
      </c>
      <c r="X197" s="94">
        <f>Igazgatás!W226+Községgazd!Z212+Vagyongazd!W197+Közút!W201+Sport!W199+Közművelődés!Y248+Támogatás!AC212</f>
        <v>0</v>
      </c>
      <c r="Y197" s="95">
        <f>Igazgatás!X226+Községgazd!AA212+Vagyongazd!X197+Közút!X201+Sport!X199+Közművelődés!Z248+Támogatás!AD212</f>
        <v>0</v>
      </c>
      <c r="AB197" s="180"/>
    </row>
    <row r="198" spans="1:28" ht="25.5" hidden="1" customHeight="1" x14ac:dyDescent="0.25">
      <c r="B198" s="54"/>
      <c r="C198" s="2"/>
      <c r="D198" s="625" t="s">
        <v>568</v>
      </c>
      <c r="E198" s="625"/>
      <c r="F198" s="159" t="e">
        <v>#REF!</v>
      </c>
      <c r="G198" s="159" t="e">
        <v>#REF!</v>
      </c>
      <c r="H198" s="159" t="e">
        <v>#REF!</v>
      </c>
      <c r="I198" s="159" t="e">
        <v>#REF!</v>
      </c>
      <c r="J198" s="159" t="e">
        <v>#REF!</v>
      </c>
      <c r="K198" s="159" t="e">
        <f>Igazgatás!J227+Községgazd!J213+Vagyongazd!#REF!+Közút!J202+Sport!J200+Közművelődés!J249+Támogatás!J213</f>
        <v>#REF!</v>
      </c>
      <c r="L198" s="159" t="e">
        <f>Igazgatás!K227+Községgazd!K213+Vagyongazd!#REF!+Közút!K202+Sport!K200+Közművelődés!K249+Támogatás!K213</f>
        <v>#REF!</v>
      </c>
      <c r="M198" s="159" t="e">
        <f>Igazgatás!L227+Községgazd!L213+Vagyongazd!#REF!+Közút!L202+Sport!L200+Közművelődés!L249+Támogatás!L213</f>
        <v>#REF!</v>
      </c>
      <c r="N198" s="72">
        <f>Igazgatás!M227+Községgazd!P213+Vagyongazd!M198+Közút!M202+Sport!M200+Közművelődés!O249+Támogatás!S213</f>
        <v>0</v>
      </c>
      <c r="O198" s="1">
        <f>Igazgatás!N227+Községgazd!Q213+Vagyongazd!N198+Közút!N202+Sport!N200+Közművelődés!P249+Támogatás!T213</f>
        <v>0</v>
      </c>
      <c r="P198" s="78">
        <f>Igazgatás!O227+Községgazd!R213+Vagyongazd!O198+Közút!O202+Sport!O200+Közművelődés!Q249+Támogatás!U213</f>
        <v>0</v>
      </c>
      <c r="Q198" s="78">
        <f>Igazgatás!P227+Községgazd!S213+Vagyongazd!P198+Közút!P202+Sport!P200+Közművelődés!R249+Támogatás!V213</f>
        <v>0</v>
      </c>
      <c r="R198" s="1">
        <f>Igazgatás!Q227+Községgazd!T213+Vagyongazd!Q198+Közút!Q202+Sport!Q200+Közművelődés!S249+Támogatás!W213</f>
        <v>0</v>
      </c>
      <c r="S198" s="78">
        <f>Igazgatás!R227+Községgazd!U213+Vagyongazd!R198+Közút!R202+Sport!R200+Közművelődés!T249+Támogatás!X213</f>
        <v>0</v>
      </c>
      <c r="T198" s="78">
        <f>Igazgatás!S227+Községgazd!V213+Vagyongazd!S198+Közút!S202+Sport!S200+Közművelődés!U249+Támogatás!Y213</f>
        <v>0</v>
      </c>
      <c r="U198" s="44">
        <f>Igazgatás!T227+Községgazd!W213+Vagyongazd!T198+Közút!T202+Sport!T200+Közművelődés!V249+Támogatás!Z213</f>
        <v>0</v>
      </c>
      <c r="V198" s="343">
        <f>Igazgatás!U227+Községgazd!X213+Vagyongazd!U198+Közút!U202+Sport!U200+Közművelődés!W249+Támogatás!AA213</f>
        <v>0</v>
      </c>
      <c r="W198" s="78">
        <f>Igazgatás!V227+Községgazd!Y213+Vagyongazd!V198+Közút!V202+Sport!V200+Közművelődés!X249+Támogatás!AB213</f>
        <v>0</v>
      </c>
      <c r="X198" s="78">
        <f>Igazgatás!W227+Községgazd!Z213+Vagyongazd!W198+Közút!W202+Sport!W200+Közművelődés!Y249+Támogatás!AC213</f>
        <v>0</v>
      </c>
      <c r="Y198" s="44">
        <f>Igazgatás!X227+Községgazd!AA213+Vagyongazd!X198+Közút!X202+Sport!X200+Közművelődés!Z249+Támogatás!AD213</f>
        <v>0</v>
      </c>
      <c r="AB198" s="180"/>
    </row>
    <row r="199" spans="1:28" ht="25.5" hidden="1" customHeight="1" x14ac:dyDescent="0.25">
      <c r="B199" s="54"/>
      <c r="C199" s="2"/>
      <c r="D199" s="625" t="s">
        <v>569</v>
      </c>
      <c r="E199" s="625"/>
      <c r="F199" s="159" t="e">
        <v>#REF!</v>
      </c>
      <c r="G199" s="159" t="e">
        <v>#REF!</v>
      </c>
      <c r="H199" s="159" t="e">
        <v>#REF!</v>
      </c>
      <c r="I199" s="159" t="e">
        <v>#REF!</v>
      </c>
      <c r="J199" s="159" t="e">
        <v>#REF!</v>
      </c>
      <c r="K199" s="159" t="e">
        <f>Igazgatás!J228+Községgazd!J214+Vagyongazd!#REF!+Közút!J203+Sport!J201+Közművelődés!J250+Támogatás!J214</f>
        <v>#REF!</v>
      </c>
      <c r="L199" s="159" t="e">
        <f>Igazgatás!K228+Községgazd!K214+Vagyongazd!#REF!+Közút!K203+Sport!K201+Közművelődés!K250+Támogatás!K214</f>
        <v>#REF!</v>
      </c>
      <c r="M199" s="159" t="e">
        <f>Igazgatás!L228+Községgazd!L214+Vagyongazd!#REF!+Közút!L203+Sport!L201+Közművelődés!L250+Támogatás!L214</f>
        <v>#REF!</v>
      </c>
      <c r="N199" s="72">
        <f>Igazgatás!M228+Községgazd!P214+Vagyongazd!M199+Közút!M203+Sport!M201+Közművelődés!O250+Támogatás!S214</f>
        <v>0</v>
      </c>
      <c r="O199" s="1">
        <f>Igazgatás!N228+Községgazd!Q214+Vagyongazd!N199+Közút!N203+Sport!N201+Közművelődés!P250+Támogatás!T214</f>
        <v>0</v>
      </c>
      <c r="P199" s="78">
        <f>Igazgatás!O228+Községgazd!R214+Vagyongazd!O199+Közút!O203+Sport!O201+Közművelődés!Q250+Támogatás!U214</f>
        <v>0</v>
      </c>
      <c r="Q199" s="78">
        <f>Igazgatás!P228+Községgazd!S214+Vagyongazd!P199+Közút!P203+Sport!P201+Közművelődés!R250+Támogatás!V214</f>
        <v>0</v>
      </c>
      <c r="R199" s="1">
        <f>Igazgatás!Q228+Községgazd!T214+Vagyongazd!Q199+Közút!Q203+Sport!Q201+Közművelődés!S250+Támogatás!W214</f>
        <v>0</v>
      </c>
      <c r="S199" s="78">
        <f>Igazgatás!R228+Községgazd!U214+Vagyongazd!R199+Közút!R203+Sport!R201+Közművelődés!T250+Támogatás!X214</f>
        <v>0</v>
      </c>
      <c r="T199" s="78">
        <f>Igazgatás!S228+Községgazd!V214+Vagyongazd!S199+Közút!S203+Sport!S201+Közművelődés!U250+Támogatás!Y214</f>
        <v>0</v>
      </c>
      <c r="U199" s="44">
        <f>Igazgatás!T228+Községgazd!W214+Vagyongazd!T199+Közút!T203+Sport!T201+Közművelődés!V250+Támogatás!Z214</f>
        <v>0</v>
      </c>
      <c r="V199" s="343">
        <f>Igazgatás!U228+Községgazd!X214+Vagyongazd!U199+Közút!U203+Sport!U201+Közművelődés!W250+Támogatás!AA214</f>
        <v>0</v>
      </c>
      <c r="W199" s="78">
        <f>Igazgatás!V228+Községgazd!Y214+Vagyongazd!V199+Közút!V203+Sport!V201+Közművelődés!X250+Támogatás!AB214</f>
        <v>0</v>
      </c>
      <c r="X199" s="78">
        <f>Igazgatás!W228+Községgazd!Z214+Vagyongazd!W199+Közút!W203+Sport!W201+Közművelődés!Y250+Támogatás!AC214</f>
        <v>0</v>
      </c>
      <c r="Y199" s="44">
        <f>Igazgatás!X228+Községgazd!AA214+Vagyongazd!X199+Közút!X203+Sport!X201+Közművelődés!Z250+Támogatás!AD214</f>
        <v>0</v>
      </c>
      <c r="AB199" s="180"/>
    </row>
    <row r="200" spans="1:28" s="18" customFormat="1" ht="15" hidden="1" customHeight="1" x14ac:dyDescent="0.25">
      <c r="A200" s="118" t="s">
        <v>277</v>
      </c>
      <c r="B200" s="88" t="s">
        <v>687</v>
      </c>
      <c r="C200" s="716" t="s">
        <v>819</v>
      </c>
      <c r="D200" s="717"/>
      <c r="E200" s="717"/>
      <c r="F200" s="158" t="e">
        <v>#REF!</v>
      </c>
      <c r="G200" s="158" t="e">
        <v>#REF!</v>
      </c>
      <c r="H200" s="158" t="e">
        <v>#REF!</v>
      </c>
      <c r="I200" s="256" t="e">
        <v>#REF!</v>
      </c>
      <c r="J200" s="256" t="e">
        <v>#REF!</v>
      </c>
      <c r="K200" s="158" t="e">
        <f>Igazgatás!J229+Községgazd!J215+Vagyongazd!#REF!+Közút!J204+Sport!J202+Közművelődés!J251+Támogatás!J215</f>
        <v>#REF!</v>
      </c>
      <c r="L200" s="158" t="e">
        <f>Igazgatás!K229+Községgazd!K215+Vagyongazd!#REF!+Közút!K204+Sport!K202+Közművelődés!K251+Támogatás!K215</f>
        <v>#REF!</v>
      </c>
      <c r="M200" s="158" t="e">
        <f>Igazgatás!L229+Községgazd!L215+Vagyongazd!#REF!+Közút!L204+Sport!L202+Közművelődés!L251+Támogatás!L215</f>
        <v>#REF!</v>
      </c>
      <c r="N200" s="90">
        <f>Igazgatás!M229+Községgazd!P215+Vagyongazd!M200+Közút!M204+Sport!M202+Közművelődés!O251+Támogatás!S215</f>
        <v>0</v>
      </c>
      <c r="O200" s="91">
        <f>Igazgatás!N229+Községgazd!Q215+Vagyongazd!N200+Közút!N204+Sport!N202+Közművelődés!P251+Támogatás!T215</f>
        <v>0</v>
      </c>
      <c r="P200" s="94">
        <f>Igazgatás!O229+Községgazd!R215+Vagyongazd!O200+Közút!O204+Sport!O202+Közművelődés!Q251+Támogatás!U215</f>
        <v>0</v>
      </c>
      <c r="Q200" s="94">
        <f>Igazgatás!P229+Községgazd!S215+Vagyongazd!P200+Közút!P204+Sport!P202+Közművelődés!R251+Támogatás!V215</f>
        <v>0</v>
      </c>
      <c r="R200" s="91">
        <f>Igazgatás!Q229+Községgazd!T215+Vagyongazd!Q200+Közút!Q204+Sport!Q202+Közművelődés!S251+Támogatás!W215</f>
        <v>0</v>
      </c>
      <c r="S200" s="94">
        <f>Igazgatás!R229+Községgazd!U215+Vagyongazd!R200+Közút!R204+Sport!R202+Közművelődés!T251+Támogatás!X215</f>
        <v>0</v>
      </c>
      <c r="T200" s="94">
        <f>Igazgatás!S229+Községgazd!V215+Vagyongazd!S200+Közút!S204+Sport!S202+Közművelődés!U251+Támogatás!Y215</f>
        <v>0</v>
      </c>
      <c r="U200" s="95">
        <f>Igazgatás!T229+Községgazd!W215+Vagyongazd!T200+Közút!T204+Sport!T202+Közművelődés!V251+Támogatás!Z215</f>
        <v>0</v>
      </c>
      <c r="V200" s="341">
        <f>Igazgatás!U229+Községgazd!X215+Vagyongazd!U200+Közút!U204+Sport!U202+Közművelődés!W251+Támogatás!AA215</f>
        <v>0</v>
      </c>
      <c r="W200" s="94">
        <f>Igazgatás!V229+Községgazd!Y215+Vagyongazd!V200+Közút!V204+Sport!V202+Közművelődés!X251+Támogatás!AB215</f>
        <v>0</v>
      </c>
      <c r="X200" s="94">
        <f>Igazgatás!W229+Községgazd!Z215+Vagyongazd!W200+Közút!W204+Sport!W202+Közművelődés!Y251+Támogatás!AC215</f>
        <v>0</v>
      </c>
      <c r="Y200" s="95">
        <f>Igazgatás!X229+Községgazd!AA215+Vagyongazd!X200+Közút!X204+Sport!X202+Közművelődés!Z251+Támogatás!AD215</f>
        <v>0</v>
      </c>
      <c r="AB200" s="180"/>
    </row>
    <row r="201" spans="1:28" ht="15.75" hidden="1" customHeight="1" x14ac:dyDescent="0.25">
      <c r="B201" s="54"/>
      <c r="C201" s="2"/>
      <c r="D201" s="624" t="s">
        <v>372</v>
      </c>
      <c r="E201" s="624"/>
      <c r="F201" s="159" t="e">
        <v>#REF!</v>
      </c>
      <c r="G201" s="159" t="e">
        <v>#REF!</v>
      </c>
      <c r="H201" s="159" t="e">
        <v>#REF!</v>
      </c>
      <c r="I201" s="159" t="e">
        <v>#REF!</v>
      </c>
      <c r="J201" s="159" t="e">
        <v>#REF!</v>
      </c>
      <c r="K201" s="159" t="e">
        <f>Igazgatás!J230+Községgazd!J216+Vagyongazd!#REF!+Közút!J205+Sport!J203+Közművelődés!J252+Támogatás!J216</f>
        <v>#REF!</v>
      </c>
      <c r="L201" s="159" t="e">
        <f>Igazgatás!K230+Községgazd!K216+Vagyongazd!#REF!+Közút!K205+Sport!K203+Közművelődés!K252+Támogatás!K216</f>
        <v>#REF!</v>
      </c>
      <c r="M201" s="159" t="e">
        <f>Igazgatás!L230+Községgazd!L216+Vagyongazd!#REF!+Közút!L205+Sport!L203+Közművelődés!L252+Támogatás!L216</f>
        <v>#REF!</v>
      </c>
      <c r="N201" s="72">
        <f>Igazgatás!M230+Községgazd!P216+Vagyongazd!M201+Közút!M205+Sport!M203+Közművelődés!O252+Támogatás!S216</f>
        <v>0</v>
      </c>
      <c r="O201" s="1">
        <f>Igazgatás!N230+Községgazd!Q216+Vagyongazd!N201+Közút!N205+Sport!N203+Közművelődés!P252+Támogatás!T216</f>
        <v>0</v>
      </c>
      <c r="P201" s="78">
        <f>Igazgatás!O230+Községgazd!R216+Vagyongazd!O201+Közút!O205+Sport!O203+Közművelődés!Q252+Támogatás!U216</f>
        <v>0</v>
      </c>
      <c r="Q201" s="78">
        <f>Igazgatás!P230+Községgazd!S216+Vagyongazd!P201+Közút!P205+Sport!P203+Közművelődés!R252+Támogatás!V216</f>
        <v>0</v>
      </c>
      <c r="R201" s="1">
        <f>Igazgatás!Q230+Községgazd!T216+Vagyongazd!Q201+Közút!Q205+Sport!Q203+Közművelődés!S252+Támogatás!W216</f>
        <v>0</v>
      </c>
      <c r="S201" s="78">
        <f>Igazgatás!R230+Községgazd!U216+Vagyongazd!R201+Közút!R205+Sport!R203+Közművelődés!T252+Támogatás!X216</f>
        <v>0</v>
      </c>
      <c r="T201" s="78">
        <f>Igazgatás!S230+Községgazd!V216+Vagyongazd!S201+Közút!S205+Sport!S203+Közművelődés!U252+Támogatás!Y216</f>
        <v>0</v>
      </c>
      <c r="U201" s="44">
        <f>Igazgatás!T230+Községgazd!W216+Vagyongazd!T201+Közút!T205+Sport!T203+Közművelődés!V252+Támogatás!Z216</f>
        <v>0</v>
      </c>
      <c r="V201" s="343">
        <f>Igazgatás!U230+Községgazd!X216+Vagyongazd!U201+Közút!U205+Sport!U203+Közművelődés!W252+Támogatás!AA216</f>
        <v>0</v>
      </c>
      <c r="W201" s="78">
        <f>Igazgatás!V230+Községgazd!Y216+Vagyongazd!V201+Közút!V205+Sport!V203+Közművelődés!X252+Támogatás!AB216</f>
        <v>0</v>
      </c>
      <c r="X201" s="78">
        <f>Igazgatás!W230+Községgazd!Z216+Vagyongazd!W201+Közút!W205+Sport!W203+Közművelődés!Y252+Támogatás!AC216</f>
        <v>0</v>
      </c>
      <c r="Y201" s="44">
        <f>Igazgatás!X230+Községgazd!AA216+Vagyongazd!X201+Közút!X205+Sport!X203+Közművelődés!Z252+Támogatás!AD216</f>
        <v>0</v>
      </c>
      <c r="AB201" s="180"/>
    </row>
    <row r="202" spans="1:28" ht="15.75" hidden="1" customHeight="1" x14ac:dyDescent="0.25">
      <c r="B202" s="54"/>
      <c r="C202" s="2"/>
      <c r="D202" s="624" t="s">
        <v>820</v>
      </c>
      <c r="E202" s="624"/>
      <c r="F202" s="159" t="e">
        <v>#REF!</v>
      </c>
      <c r="G202" s="159" t="e">
        <v>#REF!</v>
      </c>
      <c r="H202" s="159" t="e">
        <v>#REF!</v>
      </c>
      <c r="I202" s="159" t="e">
        <v>#REF!</v>
      </c>
      <c r="J202" s="159" t="e">
        <v>#REF!</v>
      </c>
      <c r="K202" s="159" t="e">
        <f>Igazgatás!J231+Községgazd!J217+Vagyongazd!#REF!+Közút!J206+Sport!J204+Közművelődés!J253+Támogatás!J217</f>
        <v>#REF!</v>
      </c>
      <c r="L202" s="159" t="e">
        <f>Igazgatás!K231+Községgazd!K217+Vagyongazd!#REF!+Közút!K206+Sport!K204+Közművelődés!K253+Támogatás!K217</f>
        <v>#REF!</v>
      </c>
      <c r="M202" s="159" t="e">
        <f>Igazgatás!L231+Községgazd!L217+Vagyongazd!#REF!+Közút!L206+Sport!L204+Közművelődés!L253+Támogatás!L217</f>
        <v>#REF!</v>
      </c>
      <c r="N202" s="72">
        <f>Igazgatás!M231+Községgazd!P217+Vagyongazd!M202+Közút!M206+Sport!M204+Közművelődés!O253+Támogatás!S217</f>
        <v>0</v>
      </c>
      <c r="O202" s="1">
        <f>Igazgatás!N231+Községgazd!Q217+Vagyongazd!N202+Közút!N206+Sport!N204+Közművelődés!P253+Támogatás!T217</f>
        <v>0</v>
      </c>
      <c r="P202" s="78">
        <f>Igazgatás!O231+Községgazd!R217+Vagyongazd!O202+Közút!O206+Sport!O204+Közművelődés!Q253+Támogatás!U217</f>
        <v>0</v>
      </c>
      <c r="Q202" s="78">
        <f>Igazgatás!P231+Községgazd!S217+Vagyongazd!P202+Közút!P206+Sport!P204+Közművelődés!R253+Támogatás!V217</f>
        <v>0</v>
      </c>
      <c r="R202" s="1">
        <f>Igazgatás!Q231+Községgazd!T217+Vagyongazd!Q202+Közút!Q206+Sport!Q204+Közművelődés!S253+Támogatás!W217</f>
        <v>0</v>
      </c>
      <c r="S202" s="78">
        <f>Igazgatás!R231+Községgazd!U217+Vagyongazd!R202+Közút!R206+Sport!R204+Közművelődés!T253+Támogatás!X217</f>
        <v>0</v>
      </c>
      <c r="T202" s="78">
        <f>Igazgatás!S231+Községgazd!V217+Vagyongazd!S202+Közút!S206+Sport!S204+Közművelődés!U253+Támogatás!Y217</f>
        <v>0</v>
      </c>
      <c r="U202" s="44">
        <f>Igazgatás!T231+Községgazd!W217+Vagyongazd!T202+Közút!T206+Sport!T204+Közművelődés!V253+Támogatás!Z217</f>
        <v>0</v>
      </c>
      <c r="V202" s="343">
        <f>Igazgatás!U231+Községgazd!X217+Vagyongazd!U202+Közút!U206+Sport!U204+Közművelődés!W253+Támogatás!AA217</f>
        <v>0</v>
      </c>
      <c r="W202" s="78">
        <f>Igazgatás!V231+Községgazd!Y217+Vagyongazd!V202+Közút!V206+Sport!V204+Közművelődés!X253+Támogatás!AB217</f>
        <v>0</v>
      </c>
      <c r="X202" s="78">
        <f>Igazgatás!W231+Községgazd!Z217+Vagyongazd!W202+Közút!W206+Sport!W204+Közművelődés!Y253+Támogatás!AC217</f>
        <v>0</v>
      </c>
      <c r="Y202" s="44">
        <f>Igazgatás!X231+Községgazd!AA217+Vagyongazd!X202+Közút!X206+Sport!X204+Közművelődés!Z253+Támogatás!AD217</f>
        <v>0</v>
      </c>
      <c r="AB202" s="180"/>
    </row>
    <row r="203" spans="1:28" ht="15.75" hidden="1" customHeight="1" x14ac:dyDescent="0.25">
      <c r="B203" s="54"/>
      <c r="C203" s="2"/>
      <c r="D203" s="624" t="s">
        <v>375</v>
      </c>
      <c r="E203" s="624"/>
      <c r="F203" s="159" t="e">
        <v>#REF!</v>
      </c>
      <c r="G203" s="159" t="e">
        <v>#REF!</v>
      </c>
      <c r="H203" s="159" t="e">
        <v>#REF!</v>
      </c>
      <c r="I203" s="159" t="e">
        <v>#REF!</v>
      </c>
      <c r="J203" s="159" t="e">
        <v>#REF!</v>
      </c>
      <c r="K203" s="159" t="e">
        <f>Igazgatás!J232+Községgazd!J218+Vagyongazd!#REF!+Közút!J207+Sport!J205+Közművelődés!J254+Támogatás!J218</f>
        <v>#REF!</v>
      </c>
      <c r="L203" s="159" t="e">
        <f>Igazgatás!K232+Községgazd!K218+Vagyongazd!#REF!+Közút!K207+Sport!K205+Közművelődés!K254+Támogatás!K218</f>
        <v>#REF!</v>
      </c>
      <c r="M203" s="159" t="e">
        <f>Igazgatás!L232+Községgazd!L218+Vagyongazd!#REF!+Közút!L207+Sport!L205+Közművelődés!L254+Támogatás!L218</f>
        <v>#REF!</v>
      </c>
      <c r="N203" s="72">
        <f>Igazgatás!M232+Községgazd!P218+Vagyongazd!M203+Közút!M207+Sport!M205+Közművelődés!O254+Támogatás!S218</f>
        <v>0</v>
      </c>
      <c r="O203" s="1">
        <f>Igazgatás!N232+Községgazd!Q218+Vagyongazd!N203+Közút!N207+Sport!N205+Közművelődés!P254+Támogatás!T218</f>
        <v>0</v>
      </c>
      <c r="P203" s="78">
        <f>Igazgatás!O232+Községgazd!R218+Vagyongazd!O203+Közút!O207+Sport!O205+Közművelődés!Q254+Támogatás!U218</f>
        <v>0</v>
      </c>
      <c r="Q203" s="78">
        <f>Igazgatás!P232+Községgazd!S218+Vagyongazd!P203+Közút!P207+Sport!P205+Közművelődés!R254+Támogatás!V218</f>
        <v>0</v>
      </c>
      <c r="R203" s="1">
        <f>Igazgatás!Q232+Községgazd!T218+Vagyongazd!Q203+Közút!Q207+Sport!Q205+Közművelődés!S254+Támogatás!W218</f>
        <v>0</v>
      </c>
      <c r="S203" s="78">
        <f>Igazgatás!R232+Községgazd!U218+Vagyongazd!R203+Közút!R207+Sport!R205+Közművelődés!T254+Támogatás!X218</f>
        <v>0</v>
      </c>
      <c r="T203" s="78">
        <f>Igazgatás!S232+Községgazd!V218+Vagyongazd!S203+Közút!S207+Sport!S205+Közművelődés!U254+Támogatás!Y218</f>
        <v>0</v>
      </c>
      <c r="U203" s="44">
        <f>Igazgatás!T232+Községgazd!W218+Vagyongazd!T203+Közút!T207+Sport!T205+Közművelődés!V254+Támogatás!Z218</f>
        <v>0</v>
      </c>
      <c r="V203" s="343">
        <f>Igazgatás!U232+Községgazd!X218+Vagyongazd!U203+Közút!U207+Sport!U205+Közművelődés!W254+Támogatás!AA218</f>
        <v>0</v>
      </c>
      <c r="W203" s="78">
        <f>Igazgatás!V232+Községgazd!Y218+Vagyongazd!V203+Közút!V207+Sport!V205+Közművelődés!X254+Támogatás!AB218</f>
        <v>0</v>
      </c>
      <c r="X203" s="78">
        <f>Igazgatás!W232+Községgazd!Z218+Vagyongazd!W203+Közút!W207+Sport!W205+Közművelődés!Y254+Támogatás!AC218</f>
        <v>0</v>
      </c>
      <c r="Y203" s="44">
        <f>Igazgatás!X232+Községgazd!AA218+Vagyongazd!X203+Közút!X207+Sport!X205+Közművelődés!Z254+Támogatás!AD218</f>
        <v>0</v>
      </c>
      <c r="AB203" s="180"/>
    </row>
    <row r="204" spans="1:28" ht="15.75" hidden="1" customHeight="1" x14ac:dyDescent="0.25">
      <c r="B204" s="54"/>
      <c r="C204" s="2"/>
      <c r="D204" s="624" t="s">
        <v>373</v>
      </c>
      <c r="E204" s="624"/>
      <c r="F204" s="159" t="e">
        <v>#REF!</v>
      </c>
      <c r="G204" s="159" t="e">
        <v>#REF!</v>
      </c>
      <c r="H204" s="159" t="e">
        <v>#REF!</v>
      </c>
      <c r="I204" s="159" t="e">
        <v>#REF!</v>
      </c>
      <c r="J204" s="159" t="e">
        <v>#REF!</v>
      </c>
      <c r="K204" s="159" t="e">
        <f>Igazgatás!J233+Községgazd!J219+Vagyongazd!#REF!+Közút!J208+Sport!J206+Közművelődés!J255+Támogatás!J219</f>
        <v>#REF!</v>
      </c>
      <c r="L204" s="159" t="e">
        <f>Igazgatás!K233+Községgazd!K219+Vagyongazd!#REF!+Közút!K208+Sport!K206+Közművelődés!K255+Támogatás!K219</f>
        <v>#REF!</v>
      </c>
      <c r="M204" s="159" t="e">
        <f>Igazgatás!L233+Községgazd!L219+Vagyongazd!#REF!+Közút!L208+Sport!L206+Közművelődés!L255+Támogatás!L219</f>
        <v>#REF!</v>
      </c>
      <c r="N204" s="72">
        <f>Igazgatás!M233+Községgazd!P219+Vagyongazd!M204+Közút!M208+Sport!M206+Közművelődés!O255+Támogatás!S219</f>
        <v>0</v>
      </c>
      <c r="O204" s="1">
        <f>Igazgatás!N233+Községgazd!Q219+Vagyongazd!N204+Közút!N208+Sport!N206+Közművelődés!P255+Támogatás!T219</f>
        <v>0</v>
      </c>
      <c r="P204" s="78">
        <f>Igazgatás!O233+Községgazd!R219+Vagyongazd!O204+Közút!O208+Sport!O206+Közművelődés!Q255+Támogatás!U219</f>
        <v>0</v>
      </c>
      <c r="Q204" s="78">
        <f>Igazgatás!P233+Községgazd!S219+Vagyongazd!P204+Közút!P208+Sport!P206+Közművelődés!R255+Támogatás!V219</f>
        <v>0</v>
      </c>
      <c r="R204" s="1">
        <f>Igazgatás!Q233+Községgazd!T219+Vagyongazd!Q204+Közút!Q208+Sport!Q206+Közművelődés!S255+Támogatás!W219</f>
        <v>0</v>
      </c>
      <c r="S204" s="78">
        <f>Igazgatás!R233+Községgazd!U219+Vagyongazd!R204+Közút!R208+Sport!R206+Közművelődés!T255+Támogatás!X219</f>
        <v>0</v>
      </c>
      <c r="T204" s="78">
        <f>Igazgatás!S233+Községgazd!V219+Vagyongazd!S204+Közút!S208+Sport!S206+Közművelődés!U255+Támogatás!Y219</f>
        <v>0</v>
      </c>
      <c r="U204" s="44">
        <f>Igazgatás!T233+Községgazd!W219+Vagyongazd!T204+Közút!T208+Sport!T206+Közművelődés!V255+Támogatás!Z219</f>
        <v>0</v>
      </c>
      <c r="V204" s="343">
        <f>Igazgatás!U233+Községgazd!X219+Vagyongazd!U204+Közút!U208+Sport!U206+Közművelődés!W255+Támogatás!AA219</f>
        <v>0</v>
      </c>
      <c r="W204" s="78">
        <f>Igazgatás!V233+Községgazd!Y219+Vagyongazd!V204+Közút!V208+Sport!V206+Közművelődés!X255+Támogatás!AB219</f>
        <v>0</v>
      </c>
      <c r="X204" s="78">
        <f>Igazgatás!W233+Községgazd!Z219+Vagyongazd!W204+Közút!W208+Sport!W206+Közművelődés!Y255+Támogatás!AC219</f>
        <v>0</v>
      </c>
      <c r="Y204" s="44">
        <f>Igazgatás!X233+Községgazd!AA219+Vagyongazd!X204+Közút!X208+Sport!X206+Közművelődés!Z255+Támogatás!AD219</f>
        <v>0</v>
      </c>
      <c r="AB204" s="180"/>
    </row>
    <row r="205" spans="1:28" ht="15.75" hidden="1" customHeight="1" x14ac:dyDescent="0.25">
      <c r="B205" s="54"/>
      <c r="C205" s="2"/>
      <c r="D205" s="624" t="s">
        <v>821</v>
      </c>
      <c r="E205" s="624"/>
      <c r="F205" s="159" t="e">
        <v>#REF!</v>
      </c>
      <c r="G205" s="159" t="e">
        <v>#REF!</v>
      </c>
      <c r="H205" s="159" t="e">
        <v>#REF!</v>
      </c>
      <c r="I205" s="159" t="e">
        <v>#REF!</v>
      </c>
      <c r="J205" s="159" t="e">
        <v>#REF!</v>
      </c>
      <c r="K205" s="159" t="e">
        <f>Igazgatás!J234+Községgazd!J220+Vagyongazd!#REF!+Közút!J209+Sport!J207+Közművelődés!J256+Támogatás!J220</f>
        <v>#REF!</v>
      </c>
      <c r="L205" s="159" t="e">
        <f>Igazgatás!K234+Községgazd!K220+Vagyongazd!#REF!+Közút!K209+Sport!K207+Közművelődés!K256+Támogatás!K220</f>
        <v>#REF!</v>
      </c>
      <c r="M205" s="159" t="e">
        <f>Igazgatás!L234+Községgazd!L220+Vagyongazd!#REF!+Közút!L209+Sport!L207+Közművelődés!L256+Támogatás!L220</f>
        <v>#REF!</v>
      </c>
      <c r="N205" s="72">
        <f>Igazgatás!M234+Községgazd!P220+Vagyongazd!M205+Közút!M209+Sport!M207+Közművelődés!O256+Támogatás!S220</f>
        <v>0</v>
      </c>
      <c r="O205" s="1">
        <f>Igazgatás!N234+Községgazd!Q220+Vagyongazd!N205+Közút!N209+Sport!N207+Közművelődés!P256+Támogatás!T220</f>
        <v>0</v>
      </c>
      <c r="P205" s="78">
        <f>Igazgatás!O234+Községgazd!R220+Vagyongazd!O205+Közút!O209+Sport!O207+Közművelődés!Q256+Támogatás!U220</f>
        <v>0</v>
      </c>
      <c r="Q205" s="78">
        <f>Igazgatás!P234+Községgazd!S220+Vagyongazd!P205+Közút!P209+Sport!P207+Közművelődés!R256+Támogatás!V220</f>
        <v>0</v>
      </c>
      <c r="R205" s="1">
        <f>Igazgatás!Q234+Községgazd!T220+Vagyongazd!Q205+Közút!Q209+Sport!Q207+Közművelődés!S256+Támogatás!W220</f>
        <v>0</v>
      </c>
      <c r="S205" s="78">
        <f>Igazgatás!R234+Községgazd!U220+Vagyongazd!R205+Közút!R209+Sport!R207+Közművelődés!T256+Támogatás!X220</f>
        <v>0</v>
      </c>
      <c r="T205" s="78">
        <f>Igazgatás!S234+Községgazd!V220+Vagyongazd!S205+Közút!S209+Sport!S207+Közművelődés!U256+Támogatás!Y220</f>
        <v>0</v>
      </c>
      <c r="U205" s="44">
        <f>Igazgatás!T234+Községgazd!W220+Vagyongazd!T205+Közút!T209+Sport!T207+Közművelődés!V256+Támogatás!Z220</f>
        <v>0</v>
      </c>
      <c r="V205" s="343">
        <f>Igazgatás!U234+Községgazd!X220+Vagyongazd!U205+Közút!U209+Sport!U207+Közművelődés!W256+Támogatás!AA220</f>
        <v>0</v>
      </c>
      <c r="W205" s="78">
        <f>Igazgatás!V234+Községgazd!Y220+Vagyongazd!V205+Közút!V209+Sport!V207+Közművelődés!X256+Támogatás!AB220</f>
        <v>0</v>
      </c>
      <c r="X205" s="78">
        <f>Igazgatás!W234+Községgazd!Z220+Vagyongazd!W205+Közút!W209+Sport!W207+Közművelődés!Y256+Támogatás!AC220</f>
        <v>0</v>
      </c>
      <c r="Y205" s="44">
        <f>Igazgatás!X234+Községgazd!AA220+Vagyongazd!X205+Közút!X209+Sport!X207+Közművelődés!Z256+Támogatás!AD220</f>
        <v>0</v>
      </c>
      <c r="AB205" s="180"/>
    </row>
    <row r="206" spans="1:28" ht="25.5" hidden="1" customHeight="1" x14ac:dyDescent="0.25">
      <c r="B206" s="54"/>
      <c r="C206" s="2"/>
      <c r="D206" s="625" t="s">
        <v>537</v>
      </c>
      <c r="E206" s="625"/>
      <c r="F206" s="159" t="e">
        <v>#REF!</v>
      </c>
      <c r="G206" s="159" t="e">
        <v>#REF!</v>
      </c>
      <c r="H206" s="159" t="e">
        <v>#REF!</v>
      </c>
      <c r="I206" s="159" t="e">
        <v>#REF!</v>
      </c>
      <c r="J206" s="159" t="e">
        <v>#REF!</v>
      </c>
      <c r="K206" s="159" t="e">
        <f>Igazgatás!J235+Községgazd!J221+Vagyongazd!#REF!+Közút!J210+Sport!J208+Közművelődés!J257+Támogatás!J221</f>
        <v>#REF!</v>
      </c>
      <c r="L206" s="159" t="e">
        <f>Igazgatás!K235+Községgazd!K221+Vagyongazd!#REF!+Közút!K210+Sport!K208+Közművelődés!K257+Támogatás!K221</f>
        <v>#REF!</v>
      </c>
      <c r="M206" s="159" t="e">
        <f>Igazgatás!L235+Községgazd!L221+Vagyongazd!#REF!+Közút!L210+Sport!L208+Közművelődés!L257+Támogatás!L221</f>
        <v>#REF!</v>
      </c>
      <c r="N206" s="72">
        <f>Igazgatás!M235+Községgazd!P221+Vagyongazd!M206+Közút!M210+Sport!M208+Közművelődés!O257+Támogatás!S221</f>
        <v>0</v>
      </c>
      <c r="O206" s="1">
        <f>Igazgatás!N235+Községgazd!Q221+Vagyongazd!N206+Közút!N210+Sport!N208+Közművelődés!P257+Támogatás!T221</f>
        <v>0</v>
      </c>
      <c r="P206" s="78">
        <f>Igazgatás!O235+Községgazd!R221+Vagyongazd!O206+Közút!O210+Sport!O208+Közművelődés!Q257+Támogatás!U221</f>
        <v>0</v>
      </c>
      <c r="Q206" s="78">
        <f>Igazgatás!P235+Községgazd!S221+Vagyongazd!P206+Közút!P210+Sport!P208+Közművelődés!R257+Támogatás!V221</f>
        <v>0</v>
      </c>
      <c r="R206" s="1">
        <f>Igazgatás!Q235+Községgazd!T221+Vagyongazd!Q206+Közút!Q210+Sport!Q208+Közművelődés!S257+Támogatás!W221</f>
        <v>0</v>
      </c>
      <c r="S206" s="78">
        <f>Igazgatás!R235+Községgazd!U221+Vagyongazd!R206+Közút!R210+Sport!R208+Közművelődés!T257+Támogatás!X221</f>
        <v>0</v>
      </c>
      <c r="T206" s="78">
        <f>Igazgatás!S235+Községgazd!V221+Vagyongazd!S206+Közút!S210+Sport!S208+Közművelődés!U257+Támogatás!Y221</f>
        <v>0</v>
      </c>
      <c r="U206" s="44">
        <f>Igazgatás!T235+Községgazd!W221+Vagyongazd!T206+Közút!T210+Sport!T208+Közművelődés!V257+Támogatás!Z221</f>
        <v>0</v>
      </c>
      <c r="V206" s="343">
        <f>Igazgatás!U235+Községgazd!X221+Vagyongazd!U206+Közút!U210+Sport!U208+Közművelődés!W257+Támogatás!AA221</f>
        <v>0</v>
      </c>
      <c r="W206" s="78">
        <f>Igazgatás!V235+Községgazd!Y221+Vagyongazd!V206+Közút!V210+Sport!V208+Közművelődés!X257+Támogatás!AB221</f>
        <v>0</v>
      </c>
      <c r="X206" s="78">
        <f>Igazgatás!W235+Községgazd!Z221+Vagyongazd!W206+Közút!W210+Sport!W208+Közművelődés!Y257+Támogatás!AC221</f>
        <v>0</v>
      </c>
      <c r="Y206" s="44">
        <f>Igazgatás!X235+Községgazd!AA221+Vagyongazd!X206+Közút!X210+Sport!X208+Közművelődés!Z257+Támogatás!AD221</f>
        <v>0</v>
      </c>
      <c r="AB206" s="180"/>
    </row>
    <row r="207" spans="1:28" ht="25.5" hidden="1" customHeight="1" x14ac:dyDescent="0.25">
      <c r="B207" s="54"/>
      <c r="C207" s="2"/>
      <c r="D207" s="625" t="s">
        <v>540</v>
      </c>
      <c r="E207" s="625"/>
      <c r="F207" s="159" t="e">
        <v>#REF!</v>
      </c>
      <c r="G207" s="159" t="e">
        <v>#REF!</v>
      </c>
      <c r="H207" s="159" t="e">
        <v>#REF!</v>
      </c>
      <c r="I207" s="159" t="e">
        <v>#REF!</v>
      </c>
      <c r="J207" s="159" t="e">
        <v>#REF!</v>
      </c>
      <c r="K207" s="159" t="e">
        <f>Igazgatás!J236+Községgazd!J222+Vagyongazd!#REF!+Közút!J211+Sport!J209+Közművelődés!J258+Támogatás!J222</f>
        <v>#REF!</v>
      </c>
      <c r="L207" s="159" t="e">
        <f>Igazgatás!K236+Községgazd!K222+Vagyongazd!#REF!+Közút!K211+Sport!K209+Közművelődés!K258+Támogatás!K222</f>
        <v>#REF!</v>
      </c>
      <c r="M207" s="159" t="e">
        <f>Igazgatás!L236+Községgazd!L222+Vagyongazd!#REF!+Közút!L211+Sport!L209+Közművelődés!L258+Támogatás!L222</f>
        <v>#REF!</v>
      </c>
      <c r="N207" s="72">
        <f>Igazgatás!M236+Községgazd!P222+Vagyongazd!M207+Közút!M211+Sport!M209+Közművelődés!O258+Támogatás!S222</f>
        <v>0</v>
      </c>
      <c r="O207" s="1">
        <f>Igazgatás!N236+Községgazd!Q222+Vagyongazd!N207+Közút!N211+Sport!N209+Közművelődés!P258+Támogatás!T222</f>
        <v>0</v>
      </c>
      <c r="P207" s="78">
        <f>Igazgatás!O236+Községgazd!R222+Vagyongazd!O207+Közút!O211+Sport!O209+Közművelődés!Q258+Támogatás!U222</f>
        <v>0</v>
      </c>
      <c r="Q207" s="78">
        <f>Igazgatás!P236+Községgazd!S222+Vagyongazd!P207+Közút!P211+Sport!P209+Közművelődés!R258+Támogatás!V222</f>
        <v>0</v>
      </c>
      <c r="R207" s="1">
        <f>Igazgatás!Q236+Községgazd!T222+Vagyongazd!Q207+Közút!Q211+Sport!Q209+Közművelődés!S258+Támogatás!W222</f>
        <v>0</v>
      </c>
      <c r="S207" s="78">
        <f>Igazgatás!R236+Községgazd!U222+Vagyongazd!R207+Közút!R211+Sport!R209+Közművelődés!T258+Támogatás!X222</f>
        <v>0</v>
      </c>
      <c r="T207" s="78">
        <f>Igazgatás!S236+Községgazd!V222+Vagyongazd!S207+Közút!S211+Sport!S209+Közművelődés!U258+Támogatás!Y222</f>
        <v>0</v>
      </c>
      <c r="U207" s="44">
        <f>Igazgatás!T236+Községgazd!W222+Vagyongazd!T207+Közút!T211+Sport!T209+Közművelődés!V258+Támogatás!Z222</f>
        <v>0</v>
      </c>
      <c r="V207" s="343">
        <f>Igazgatás!U236+Községgazd!X222+Vagyongazd!U207+Közút!U211+Sport!U209+Közművelődés!W258+Támogatás!AA222</f>
        <v>0</v>
      </c>
      <c r="W207" s="78">
        <f>Igazgatás!V236+Községgazd!Y222+Vagyongazd!V207+Közút!V211+Sport!V209+Közművelődés!X258+Támogatás!AB222</f>
        <v>0</v>
      </c>
      <c r="X207" s="78">
        <f>Igazgatás!W236+Községgazd!Z222+Vagyongazd!W207+Közút!W211+Sport!W209+Közművelődés!Y258+Támogatás!AC222</f>
        <v>0</v>
      </c>
      <c r="Y207" s="44">
        <f>Igazgatás!X236+Községgazd!AA222+Vagyongazd!X207+Közút!X211+Sport!X209+Közművelődés!Z258+Támogatás!AD222</f>
        <v>0</v>
      </c>
      <c r="AB207" s="180"/>
    </row>
    <row r="208" spans="1:28" ht="15.75" hidden="1" customHeight="1" x14ac:dyDescent="0.25">
      <c r="B208" s="54"/>
      <c r="C208" s="2"/>
      <c r="D208" s="624" t="s">
        <v>822</v>
      </c>
      <c r="E208" s="624"/>
      <c r="F208" s="159" t="e">
        <v>#REF!</v>
      </c>
      <c r="G208" s="159" t="e">
        <v>#REF!</v>
      </c>
      <c r="H208" s="159" t="e">
        <v>#REF!</v>
      </c>
      <c r="I208" s="159" t="e">
        <v>#REF!</v>
      </c>
      <c r="J208" s="159" t="e">
        <v>#REF!</v>
      </c>
      <c r="K208" s="159" t="e">
        <f>Igazgatás!J237+Községgazd!J223+Vagyongazd!#REF!+Közút!J212+Sport!J210+Közművelődés!J259+Támogatás!J223</f>
        <v>#REF!</v>
      </c>
      <c r="L208" s="159" t="e">
        <f>Igazgatás!K237+Községgazd!K223+Vagyongazd!#REF!+Közút!K212+Sport!K210+Közművelődés!K259+Támogatás!K223</f>
        <v>#REF!</v>
      </c>
      <c r="M208" s="159" t="e">
        <f>Igazgatás!L237+Községgazd!L223+Vagyongazd!#REF!+Közút!L212+Sport!L210+Közművelődés!L259+Támogatás!L223</f>
        <v>#REF!</v>
      </c>
      <c r="N208" s="72">
        <f>Igazgatás!M237+Községgazd!P223+Vagyongazd!M208+Közút!M212+Sport!M210+Közművelődés!O259+Támogatás!S223</f>
        <v>0</v>
      </c>
      <c r="O208" s="1">
        <f>Igazgatás!N237+Községgazd!Q223+Vagyongazd!N208+Közút!N212+Sport!N210+Közművelődés!P259+Támogatás!T223</f>
        <v>0</v>
      </c>
      <c r="P208" s="78">
        <f>Igazgatás!O237+Községgazd!R223+Vagyongazd!O208+Közút!O212+Sport!O210+Közművelődés!Q259+Támogatás!U223</f>
        <v>0</v>
      </c>
      <c r="Q208" s="78">
        <f>Igazgatás!P237+Községgazd!S223+Vagyongazd!P208+Közút!P212+Sport!P210+Közművelődés!R259+Támogatás!V223</f>
        <v>0</v>
      </c>
      <c r="R208" s="1">
        <f>Igazgatás!Q237+Községgazd!T223+Vagyongazd!Q208+Közút!Q212+Sport!Q210+Közművelődés!S259+Támogatás!W223</f>
        <v>0</v>
      </c>
      <c r="S208" s="78">
        <f>Igazgatás!R237+Községgazd!U223+Vagyongazd!R208+Közút!R212+Sport!R210+Közművelődés!T259+Támogatás!X223</f>
        <v>0</v>
      </c>
      <c r="T208" s="78">
        <f>Igazgatás!S237+Községgazd!V223+Vagyongazd!S208+Közút!S212+Sport!S210+Közművelődés!U259+Támogatás!Y223</f>
        <v>0</v>
      </c>
      <c r="U208" s="44">
        <f>Igazgatás!T237+Községgazd!W223+Vagyongazd!T208+Közút!T212+Sport!T210+Közművelődés!V259+Támogatás!Z223</f>
        <v>0</v>
      </c>
      <c r="V208" s="343">
        <f>Igazgatás!U237+Községgazd!X223+Vagyongazd!U208+Közút!U212+Sport!U210+Közművelődés!W259+Támogatás!AA223</f>
        <v>0</v>
      </c>
      <c r="W208" s="78">
        <f>Igazgatás!V237+Községgazd!Y223+Vagyongazd!V208+Közút!V212+Sport!V210+Közművelődés!X259+Támogatás!AB223</f>
        <v>0</v>
      </c>
      <c r="X208" s="78">
        <f>Igazgatás!W237+Községgazd!Z223+Vagyongazd!W208+Közút!W212+Sport!W210+Közművelődés!Y259+Támogatás!AC223</f>
        <v>0</v>
      </c>
      <c r="Y208" s="44">
        <f>Igazgatás!X237+Községgazd!AA223+Vagyongazd!X208+Közút!X212+Sport!X210+Közművelődés!Z259+Támogatás!AD223</f>
        <v>0</v>
      </c>
      <c r="AB208" s="180"/>
    </row>
    <row r="209" spans="1:28" ht="15.75" hidden="1" customHeight="1" x14ac:dyDescent="0.25">
      <c r="B209" s="54"/>
      <c r="C209" s="2"/>
      <c r="D209" s="624" t="s">
        <v>374</v>
      </c>
      <c r="E209" s="624"/>
      <c r="F209" s="159" t="e">
        <v>#REF!</v>
      </c>
      <c r="G209" s="159" t="e">
        <v>#REF!</v>
      </c>
      <c r="H209" s="159" t="e">
        <v>#REF!</v>
      </c>
      <c r="I209" s="159" t="e">
        <v>#REF!</v>
      </c>
      <c r="J209" s="159" t="e">
        <v>#REF!</v>
      </c>
      <c r="K209" s="159" t="e">
        <f>Igazgatás!J238+Községgazd!J224+Vagyongazd!#REF!+Közút!J213+Sport!J211+Közművelődés!J260+Támogatás!J224</f>
        <v>#REF!</v>
      </c>
      <c r="L209" s="159" t="e">
        <f>Igazgatás!K238+Községgazd!K224+Vagyongazd!#REF!+Közút!K213+Sport!K211+Közművelődés!K260+Támogatás!K224</f>
        <v>#REF!</v>
      </c>
      <c r="M209" s="159" t="e">
        <f>Igazgatás!L238+Községgazd!L224+Vagyongazd!#REF!+Közút!L213+Sport!L211+Közművelődés!L260+Támogatás!L224</f>
        <v>#REF!</v>
      </c>
      <c r="N209" s="72">
        <f>Igazgatás!M238+Községgazd!P224+Vagyongazd!M209+Közút!M213+Sport!M211+Közművelődés!O260+Támogatás!S224</f>
        <v>0</v>
      </c>
      <c r="O209" s="1">
        <f>Igazgatás!N238+Községgazd!Q224+Vagyongazd!N209+Közút!N213+Sport!N211+Közművelődés!P260+Támogatás!T224</f>
        <v>0</v>
      </c>
      <c r="P209" s="78">
        <f>Igazgatás!O238+Községgazd!R224+Vagyongazd!O209+Közút!O213+Sport!O211+Közművelődés!Q260+Támogatás!U224</f>
        <v>0</v>
      </c>
      <c r="Q209" s="78">
        <f>Igazgatás!P238+Községgazd!S224+Vagyongazd!P209+Közút!P213+Sport!P211+Közművelődés!R260+Támogatás!V224</f>
        <v>0</v>
      </c>
      <c r="R209" s="1">
        <f>Igazgatás!Q238+Községgazd!T224+Vagyongazd!Q209+Közút!Q213+Sport!Q211+Közművelődés!S260+Támogatás!W224</f>
        <v>0</v>
      </c>
      <c r="S209" s="78">
        <f>Igazgatás!R238+Községgazd!U224+Vagyongazd!R209+Közút!R213+Sport!R211+Közművelődés!T260+Támogatás!X224</f>
        <v>0</v>
      </c>
      <c r="T209" s="78">
        <f>Igazgatás!S238+Községgazd!V224+Vagyongazd!S209+Közút!S213+Sport!S211+Közművelődés!U260+Támogatás!Y224</f>
        <v>0</v>
      </c>
      <c r="U209" s="44">
        <f>Igazgatás!T238+Községgazd!W224+Vagyongazd!T209+Közút!T213+Sport!T211+Közművelődés!V260+Támogatás!Z224</f>
        <v>0</v>
      </c>
      <c r="V209" s="343">
        <f>Igazgatás!U238+Községgazd!X224+Vagyongazd!U209+Közút!U213+Sport!U211+Közművelődés!W260+Támogatás!AA224</f>
        <v>0</v>
      </c>
      <c r="W209" s="78">
        <f>Igazgatás!V238+Községgazd!Y224+Vagyongazd!V209+Közút!V213+Sport!V211+Közművelődés!X260+Támogatás!AB224</f>
        <v>0</v>
      </c>
      <c r="X209" s="78">
        <f>Igazgatás!W238+Községgazd!Z224+Vagyongazd!W209+Közút!W213+Sport!W211+Közművelődés!Y260+Támogatás!AC224</f>
        <v>0</v>
      </c>
      <c r="Y209" s="44">
        <f>Igazgatás!X238+Községgazd!AA224+Vagyongazd!X209+Közút!X213+Sport!X211+Közművelődés!Z260+Támogatás!AD224</f>
        <v>0</v>
      </c>
      <c r="AB209" s="180"/>
    </row>
    <row r="210" spans="1:28" ht="15.75" hidden="1" customHeight="1" x14ac:dyDescent="0.25">
      <c r="B210" s="54"/>
      <c r="C210" s="2"/>
      <c r="D210" s="624" t="s">
        <v>823</v>
      </c>
      <c r="E210" s="624"/>
      <c r="F210" s="159" t="e">
        <v>#REF!</v>
      </c>
      <c r="G210" s="159" t="e">
        <v>#REF!</v>
      </c>
      <c r="H210" s="159" t="e">
        <v>#REF!</v>
      </c>
      <c r="I210" s="159" t="e">
        <v>#REF!</v>
      </c>
      <c r="J210" s="159" t="e">
        <v>#REF!</v>
      </c>
      <c r="K210" s="159" t="e">
        <f>Igazgatás!J239+Községgazd!J225+Vagyongazd!#REF!+Közút!J214+Sport!J212+Közművelődés!J261+Támogatás!J225</f>
        <v>#REF!</v>
      </c>
      <c r="L210" s="159" t="e">
        <f>Igazgatás!K239+Községgazd!K225+Vagyongazd!#REF!+Közút!K214+Sport!K212+Közművelődés!K261+Támogatás!K225</f>
        <v>#REF!</v>
      </c>
      <c r="M210" s="159" t="e">
        <f>Igazgatás!L239+Községgazd!L225+Vagyongazd!#REF!+Közút!L214+Sport!L212+Közművelődés!L261+Támogatás!L225</f>
        <v>#REF!</v>
      </c>
      <c r="N210" s="72">
        <f>Igazgatás!M239+Községgazd!P225+Vagyongazd!M210+Közút!M214+Sport!M212+Közművelődés!O261+Támogatás!S225</f>
        <v>0</v>
      </c>
      <c r="O210" s="1">
        <f>Igazgatás!N239+Községgazd!Q225+Vagyongazd!N210+Közút!N214+Sport!N212+Közművelődés!P261+Támogatás!T225</f>
        <v>0</v>
      </c>
      <c r="P210" s="78">
        <f>Igazgatás!O239+Községgazd!R225+Vagyongazd!O210+Közút!O214+Sport!O212+Közművelődés!Q261+Támogatás!U225</f>
        <v>0</v>
      </c>
      <c r="Q210" s="78">
        <f>Igazgatás!P239+Községgazd!S225+Vagyongazd!P210+Közút!P214+Sport!P212+Közművelődés!R261+Támogatás!V225</f>
        <v>0</v>
      </c>
      <c r="R210" s="1">
        <f>Igazgatás!Q239+Községgazd!T225+Vagyongazd!Q210+Közút!Q214+Sport!Q212+Közművelődés!S261+Támogatás!W225</f>
        <v>0</v>
      </c>
      <c r="S210" s="78">
        <f>Igazgatás!R239+Községgazd!U225+Vagyongazd!R210+Közút!R214+Sport!R212+Közművelődés!T261+Támogatás!X225</f>
        <v>0</v>
      </c>
      <c r="T210" s="78">
        <f>Igazgatás!S239+Községgazd!V225+Vagyongazd!S210+Közút!S214+Sport!S212+Közművelődés!U261+Támogatás!Y225</f>
        <v>0</v>
      </c>
      <c r="U210" s="44">
        <f>Igazgatás!T239+Községgazd!W225+Vagyongazd!T210+Közút!T214+Sport!T212+Közművelődés!V261+Támogatás!Z225</f>
        <v>0</v>
      </c>
      <c r="V210" s="343">
        <f>Igazgatás!U239+Községgazd!X225+Vagyongazd!U210+Közút!U214+Sport!U212+Közművelődés!W261+Támogatás!AA225</f>
        <v>0</v>
      </c>
      <c r="W210" s="78">
        <f>Igazgatás!V239+Községgazd!Y225+Vagyongazd!V210+Közút!V214+Sport!V212+Közművelődés!X261+Támogatás!AB225</f>
        <v>0</v>
      </c>
      <c r="X210" s="78">
        <f>Igazgatás!W239+Községgazd!Z225+Vagyongazd!W210+Közút!W214+Sport!W212+Közművelődés!Y261+Támogatás!AC225</f>
        <v>0</v>
      </c>
      <c r="Y210" s="44">
        <f>Igazgatás!X239+Községgazd!AA225+Vagyongazd!X210+Közút!X214+Sport!X212+Közművelődés!Z261+Támogatás!AD225</f>
        <v>0</v>
      </c>
      <c r="AB210" s="180"/>
    </row>
    <row r="211" spans="1:28" ht="15.75" hidden="1" customHeight="1" x14ac:dyDescent="0.25">
      <c r="B211" s="54"/>
      <c r="C211" s="2"/>
      <c r="D211" s="624" t="s">
        <v>566</v>
      </c>
      <c r="E211" s="624"/>
      <c r="F211" s="159" t="e">
        <v>#REF!</v>
      </c>
      <c r="G211" s="159" t="e">
        <v>#REF!</v>
      </c>
      <c r="H211" s="159" t="e">
        <v>#REF!</v>
      </c>
      <c r="I211" s="159" t="e">
        <v>#REF!</v>
      </c>
      <c r="J211" s="159" t="e">
        <v>#REF!</v>
      </c>
      <c r="K211" s="159" t="e">
        <f>Igazgatás!J240+Községgazd!J226+Vagyongazd!#REF!+Közút!J215+Sport!J213+Közművelődés!J262+Támogatás!J226</f>
        <v>#REF!</v>
      </c>
      <c r="L211" s="159" t="e">
        <f>Igazgatás!K240+Községgazd!K226+Vagyongazd!#REF!+Közút!K215+Sport!K213+Közművelődés!K262+Támogatás!K226</f>
        <v>#REF!</v>
      </c>
      <c r="M211" s="159" t="e">
        <f>Igazgatás!L240+Községgazd!L226+Vagyongazd!#REF!+Közút!L215+Sport!L213+Közművelődés!L262+Támogatás!L226</f>
        <v>#REF!</v>
      </c>
      <c r="N211" s="72">
        <f>Igazgatás!M240+Községgazd!P226+Vagyongazd!M211+Közút!M215+Sport!M213+Közművelődés!O262+Támogatás!S226</f>
        <v>0</v>
      </c>
      <c r="O211" s="1">
        <f>Igazgatás!N240+Községgazd!Q226+Vagyongazd!N211+Közút!N215+Sport!N213+Közművelődés!P262+Támogatás!T226</f>
        <v>0</v>
      </c>
      <c r="P211" s="78">
        <f>Igazgatás!O240+Községgazd!R226+Vagyongazd!O211+Közút!O215+Sport!O213+Közművelődés!Q262+Támogatás!U226</f>
        <v>0</v>
      </c>
      <c r="Q211" s="78">
        <f>Igazgatás!P240+Községgazd!S226+Vagyongazd!P211+Közút!P215+Sport!P213+Közművelődés!R262+Támogatás!V226</f>
        <v>0</v>
      </c>
      <c r="R211" s="1">
        <f>Igazgatás!Q240+Községgazd!T226+Vagyongazd!Q211+Közút!Q215+Sport!Q213+Közművelődés!S262+Támogatás!W226</f>
        <v>0</v>
      </c>
      <c r="S211" s="78">
        <f>Igazgatás!R240+Községgazd!U226+Vagyongazd!R211+Közút!R215+Sport!R213+Közművelődés!T262+Támogatás!X226</f>
        <v>0</v>
      </c>
      <c r="T211" s="78">
        <f>Igazgatás!S240+Községgazd!V226+Vagyongazd!S211+Közút!S215+Sport!S213+Közművelődés!U262+Támogatás!Y226</f>
        <v>0</v>
      </c>
      <c r="U211" s="44">
        <f>Igazgatás!T240+Községgazd!W226+Vagyongazd!T211+Közút!T215+Sport!T213+Közművelődés!V262+Támogatás!Z226</f>
        <v>0</v>
      </c>
      <c r="V211" s="343">
        <f>Igazgatás!U240+Községgazd!X226+Vagyongazd!U211+Közút!U215+Sport!U213+Közművelődés!W262+Támogatás!AA226</f>
        <v>0</v>
      </c>
      <c r="W211" s="78">
        <f>Igazgatás!V240+Községgazd!Y226+Vagyongazd!V211+Közút!V215+Sport!V213+Közművelődés!X262+Támogatás!AB226</f>
        <v>0</v>
      </c>
      <c r="X211" s="78">
        <f>Igazgatás!W240+Községgazd!Z226+Vagyongazd!W211+Közút!W215+Sport!W213+Közművelődés!Y262+Támogatás!AC226</f>
        <v>0</v>
      </c>
      <c r="Y211" s="44">
        <f>Igazgatás!X240+Községgazd!AA226+Vagyongazd!X211+Közút!X215+Sport!X213+Közművelődés!Z262+Támogatás!AD226</f>
        <v>0</v>
      </c>
      <c r="AB211" s="180"/>
    </row>
    <row r="212" spans="1:28" s="18" customFormat="1" ht="15.75" hidden="1" customHeight="1" x14ac:dyDescent="0.25">
      <c r="A212" s="118" t="s">
        <v>278</v>
      </c>
      <c r="B212" s="88" t="s">
        <v>688</v>
      </c>
      <c r="C212" s="626" t="s">
        <v>279</v>
      </c>
      <c r="D212" s="627"/>
      <c r="E212" s="627"/>
      <c r="F212" s="158" t="e">
        <v>#REF!</v>
      </c>
      <c r="G212" s="158" t="e">
        <v>#REF!</v>
      </c>
      <c r="H212" s="158" t="e">
        <v>#REF!</v>
      </c>
      <c r="I212" s="256" t="e">
        <v>#REF!</v>
      </c>
      <c r="J212" s="256" t="e">
        <v>#REF!</v>
      </c>
      <c r="K212" s="158" t="e">
        <f>Igazgatás!J241+Községgazd!J227+Vagyongazd!#REF!+Közút!J216+Sport!J214+Közművelődés!J263+Támogatás!J227</f>
        <v>#REF!</v>
      </c>
      <c r="L212" s="158" t="e">
        <f>Igazgatás!K241+Községgazd!K227+Vagyongazd!#REF!+Közút!K216+Sport!K214+Közművelődés!K263+Támogatás!K227</f>
        <v>#REF!</v>
      </c>
      <c r="M212" s="158" t="e">
        <f>Igazgatás!L241+Községgazd!L227+Vagyongazd!#REF!+Közút!L216+Sport!L214+Közművelődés!L263+Támogatás!L227</f>
        <v>#REF!</v>
      </c>
      <c r="N212" s="90">
        <f>Igazgatás!M241+Községgazd!P227+Vagyongazd!M212+Közút!M216+Sport!M214+Közművelődés!O263+Támogatás!S227</f>
        <v>0</v>
      </c>
      <c r="O212" s="91">
        <f>Igazgatás!N241+Községgazd!Q227+Vagyongazd!N212+Közút!N216+Sport!N214+Közművelődés!P263+Támogatás!T227</f>
        <v>0</v>
      </c>
      <c r="P212" s="94">
        <f>Igazgatás!O241+Községgazd!R227+Vagyongazd!O212+Közút!O216+Sport!O214+Közművelődés!Q263+Támogatás!U227</f>
        <v>0</v>
      </c>
      <c r="Q212" s="94">
        <f>Igazgatás!P241+Községgazd!S227+Vagyongazd!P212+Közút!P216+Sport!P214+Közművelődés!R263+Támogatás!V227</f>
        <v>0</v>
      </c>
      <c r="R212" s="91">
        <f>Igazgatás!Q241+Községgazd!T227+Vagyongazd!Q212+Közút!Q216+Sport!Q214+Közművelődés!S263+Támogatás!W227</f>
        <v>0</v>
      </c>
      <c r="S212" s="94">
        <f>Igazgatás!R241+Községgazd!U227+Vagyongazd!R212+Közút!R216+Sport!R214+Közművelődés!T263+Támogatás!X227</f>
        <v>0</v>
      </c>
      <c r="T212" s="94">
        <f>Igazgatás!S241+Községgazd!V227+Vagyongazd!S212+Közút!S216+Sport!S214+Közművelődés!U263+Támogatás!Y227</f>
        <v>0</v>
      </c>
      <c r="U212" s="95">
        <f>Igazgatás!T241+Községgazd!W227+Vagyongazd!T212+Közút!T216+Sport!T214+Közművelődés!V263+Támogatás!Z227</f>
        <v>0</v>
      </c>
      <c r="V212" s="341">
        <f>Igazgatás!U241+Községgazd!X227+Vagyongazd!U212+Közút!U216+Sport!U214+Közművelődés!W263+Támogatás!AA227</f>
        <v>0</v>
      </c>
      <c r="W212" s="94">
        <f>Igazgatás!V241+Községgazd!Y227+Vagyongazd!V212+Közút!V216+Sport!V214+Közművelődés!X263+Támogatás!AB227</f>
        <v>0</v>
      </c>
      <c r="X212" s="94">
        <f>Igazgatás!W241+Községgazd!Z227+Vagyongazd!W212+Közút!W216+Sport!W214+Közművelődés!Y263+Támogatás!AC227</f>
        <v>0</v>
      </c>
      <c r="Y212" s="95">
        <f>Igazgatás!X241+Községgazd!AA227+Vagyongazd!X212+Közút!X216+Sport!X214+Közművelődés!Z263+Támogatás!AD227</f>
        <v>0</v>
      </c>
      <c r="AB212" s="180"/>
    </row>
    <row r="213" spans="1:28" s="18" customFormat="1" ht="15.75" hidden="1" customHeight="1" x14ac:dyDescent="0.25">
      <c r="A213" s="118" t="s">
        <v>280</v>
      </c>
      <c r="B213" s="88" t="s">
        <v>689</v>
      </c>
      <c r="C213" s="626" t="s">
        <v>281</v>
      </c>
      <c r="D213" s="627"/>
      <c r="E213" s="627"/>
      <c r="F213" s="158" t="e">
        <v>#REF!</v>
      </c>
      <c r="G213" s="158" t="e">
        <v>#REF!</v>
      </c>
      <c r="H213" s="158" t="e">
        <v>#REF!</v>
      </c>
      <c r="I213" s="256" t="e">
        <v>#REF!</v>
      </c>
      <c r="J213" s="256" t="e">
        <v>#REF!</v>
      </c>
      <c r="K213" s="158" t="e">
        <f>Igazgatás!J242+Községgazd!J228+Vagyongazd!#REF!+Közút!J217+Sport!J215+Közművelődés!J264+Támogatás!J228</f>
        <v>#REF!</v>
      </c>
      <c r="L213" s="158" t="e">
        <f>Igazgatás!K242+Községgazd!K228+Vagyongazd!#REF!+Közút!K217+Sport!K215+Közművelődés!K264+Támogatás!K228</f>
        <v>#REF!</v>
      </c>
      <c r="M213" s="158" t="e">
        <f>Igazgatás!L242+Községgazd!L228+Vagyongazd!#REF!+Közút!L217+Sport!L215+Közművelődés!L264+Támogatás!L228</f>
        <v>#REF!</v>
      </c>
      <c r="N213" s="90">
        <f>Igazgatás!M242+Községgazd!P228+Vagyongazd!M213+Közút!M217+Sport!M215+Közművelődés!O264+Támogatás!S228</f>
        <v>0</v>
      </c>
      <c r="O213" s="91">
        <f>Igazgatás!N242+Községgazd!Q228+Vagyongazd!N213+Közút!N217+Sport!N215+Közművelődés!P264+Támogatás!T228</f>
        <v>0</v>
      </c>
      <c r="P213" s="94">
        <f>Igazgatás!O242+Községgazd!R228+Vagyongazd!O213+Közút!O217+Sport!O215+Közművelődés!Q264+Támogatás!U228</f>
        <v>0</v>
      </c>
      <c r="Q213" s="94">
        <f>Igazgatás!P242+Községgazd!S228+Vagyongazd!P213+Közút!P217+Sport!P215+Közművelődés!R264+Támogatás!V228</f>
        <v>0</v>
      </c>
      <c r="R213" s="91">
        <f>Igazgatás!Q242+Községgazd!T228+Vagyongazd!Q213+Közút!Q217+Sport!Q215+Közművelődés!S264+Támogatás!W228</f>
        <v>0</v>
      </c>
      <c r="S213" s="94">
        <f>Igazgatás!R242+Községgazd!U228+Vagyongazd!R213+Közút!R217+Sport!R215+Közművelődés!T264+Támogatás!X228</f>
        <v>0</v>
      </c>
      <c r="T213" s="94">
        <f>Igazgatás!S242+Községgazd!V228+Vagyongazd!S213+Közút!S217+Sport!S215+Közművelődés!U264+Támogatás!Y228</f>
        <v>0</v>
      </c>
      <c r="U213" s="95">
        <f>Igazgatás!T242+Községgazd!W228+Vagyongazd!T213+Közút!T217+Sport!T215+Közművelődés!V264+Támogatás!Z228</f>
        <v>0</v>
      </c>
      <c r="V213" s="341">
        <f>Igazgatás!U242+Községgazd!X228+Vagyongazd!U213+Közút!U217+Sport!U215+Közművelődés!W264+Támogatás!AA228</f>
        <v>0</v>
      </c>
      <c r="W213" s="94">
        <f>Igazgatás!V242+Községgazd!Y228+Vagyongazd!V213+Közút!V217+Sport!V215+Közművelődés!X264+Támogatás!AB228</f>
        <v>0</v>
      </c>
      <c r="X213" s="94">
        <f>Igazgatás!W242+Községgazd!Z228+Vagyongazd!W213+Közút!W217+Sport!W215+Közművelődés!Y264+Támogatás!AC228</f>
        <v>0</v>
      </c>
      <c r="Y213" s="95">
        <f>Igazgatás!X242+Községgazd!AA228+Vagyongazd!X213+Közút!X217+Sport!X215+Közművelődés!Z264+Támogatás!AD228</f>
        <v>0</v>
      </c>
      <c r="AB213" s="180"/>
    </row>
    <row r="214" spans="1:28" s="18" customFormat="1" ht="15.75" customHeight="1" x14ac:dyDescent="0.25">
      <c r="A214" s="118" t="s">
        <v>282</v>
      </c>
      <c r="B214" s="88" t="s">
        <v>690</v>
      </c>
      <c r="C214" s="626" t="s">
        <v>283</v>
      </c>
      <c r="D214" s="627"/>
      <c r="E214" s="627"/>
      <c r="F214" s="158">
        <v>50000</v>
      </c>
      <c r="G214" s="158">
        <v>50000</v>
      </c>
      <c r="H214" s="158">
        <v>50000</v>
      </c>
      <c r="I214" s="256">
        <v>50000</v>
      </c>
      <c r="J214" s="256">
        <v>50000</v>
      </c>
      <c r="K214" s="158">
        <f>Igazgatás!J243+Községgazd!J229+Közút!J218+Sport!J216+Közművelődés!J265+Támogatás!J229</f>
        <v>50000</v>
      </c>
      <c r="L214" s="158">
        <f>Igazgatás!K243+Községgazd!K229+Közút!K218+Sport!K216+Közművelődés!K265+Támogatás!K229</f>
        <v>0</v>
      </c>
      <c r="M214" s="158">
        <f>Igazgatás!L243+Községgazd!L229+Közút!L218+Sport!L216+Közművelődés!L265+Támogatás!L229</f>
        <v>50000</v>
      </c>
      <c r="N214" s="90">
        <f>Igazgatás!M243+Községgazd!P229+Vagyongazd!M214+Közút!M218+Sport!M216+Közművelődés!O265+Támogatás!S229</f>
        <v>0</v>
      </c>
      <c r="O214" s="91">
        <f>Igazgatás!N243+Községgazd!Q229+Vagyongazd!N214+Közút!N218+Sport!N216+Közművelődés!P265+Támogatás!T229</f>
        <v>0</v>
      </c>
      <c r="P214" s="94">
        <f>Igazgatás!O243+Községgazd!R229+Vagyongazd!O214+Közút!O218+Sport!O216+Közművelődés!Q265+Támogatás!U229</f>
        <v>0</v>
      </c>
      <c r="Q214" s="94">
        <f>Igazgatás!P243+Községgazd!S229+Vagyongazd!P214+Közút!P218+Sport!P216+Közművelődés!R265+Támogatás!V229</f>
        <v>0</v>
      </c>
      <c r="R214" s="91">
        <f>Igazgatás!Q243+Községgazd!T229+Vagyongazd!Q214+Közút!Q218+Sport!Q216+Közművelődés!S265+Támogatás!W229</f>
        <v>0</v>
      </c>
      <c r="S214" s="94">
        <f>Igazgatás!R243+Községgazd!U229+Vagyongazd!R214+Közút!R218+Sport!R216+Közművelődés!T265+Támogatás!X229</f>
        <v>0</v>
      </c>
      <c r="T214" s="94">
        <f>Igazgatás!S243+Községgazd!V229+Vagyongazd!S214+Közút!S218+Sport!S216+Közművelődés!U265+Támogatás!Y229</f>
        <v>0</v>
      </c>
      <c r="U214" s="95">
        <f>Igazgatás!T243+Községgazd!W229+Vagyongazd!T214+Közút!T218+Sport!T216+Közművelődés!V265+Támogatás!Z229</f>
        <v>0</v>
      </c>
      <c r="V214" s="341">
        <f>Igazgatás!U243+Községgazd!X229+Vagyongazd!U214+Közút!U218+Sport!U216+Közművelődés!W265+Támogatás!AA229</f>
        <v>0</v>
      </c>
      <c r="W214" s="94">
        <f>Igazgatás!V243+Községgazd!Y229+Vagyongazd!V214+Közút!V218+Sport!V216+Közművelődés!X265+Támogatás!AB229</f>
        <v>50000</v>
      </c>
      <c r="X214" s="94">
        <f>Igazgatás!W243+Községgazd!Z229+Vagyongazd!W214+Közút!W218+Sport!W216+Közművelődés!Y265+Támogatás!AC229</f>
        <v>0</v>
      </c>
      <c r="Y214" s="95">
        <f>Igazgatás!X243+Községgazd!AA229+Vagyongazd!X214+Közút!X218+Sport!X216+Közművelődés!Z265+Támogatás!AD229</f>
        <v>0</v>
      </c>
      <c r="AB214" s="180"/>
    </row>
    <row r="215" spans="1:28" ht="15.75" hidden="1" customHeight="1" x14ac:dyDescent="0.25">
      <c r="B215" s="54"/>
      <c r="C215" s="2"/>
      <c r="D215" s="624" t="s">
        <v>376</v>
      </c>
      <c r="E215" s="624"/>
      <c r="F215" s="159" t="e">
        <v>#REF!</v>
      </c>
      <c r="G215" s="159" t="e">
        <v>#REF!</v>
      </c>
      <c r="H215" s="159" t="e">
        <v>#REF!</v>
      </c>
      <c r="I215" s="159" t="e">
        <v>#REF!</v>
      </c>
      <c r="J215" s="159" t="e">
        <v>#REF!</v>
      </c>
      <c r="K215" s="159" t="e">
        <f>Igazgatás!J244+Községgazd!J230+Vagyongazd!#REF!+Közút!J219+Sport!J217+Közművelődés!J266+Támogatás!J230</f>
        <v>#REF!</v>
      </c>
      <c r="L215" s="159" t="e">
        <f>Igazgatás!K244+Községgazd!K230+Vagyongazd!#REF!+Közút!K219+Sport!K217+Közművelődés!K266+Támogatás!K230</f>
        <v>#REF!</v>
      </c>
      <c r="M215" s="159" t="e">
        <f>Igazgatás!L244+Községgazd!L230+Vagyongazd!#REF!+Közút!L219+Sport!L217+Közművelődés!L266+Támogatás!L230</f>
        <v>#REF!</v>
      </c>
      <c r="N215" s="72">
        <f>Igazgatás!M244+Községgazd!P230+Vagyongazd!M215+Közút!M219+Sport!M217+Közművelődés!O266+Támogatás!S230</f>
        <v>0</v>
      </c>
      <c r="O215" s="1">
        <f>Igazgatás!N244+Községgazd!Q230+Vagyongazd!N215+Közút!N219+Sport!N217+Közművelődés!P266+Támogatás!T230</f>
        <v>0</v>
      </c>
      <c r="P215" s="78">
        <f>Igazgatás!O244+Községgazd!R230+Vagyongazd!O215+Közút!O219+Sport!O217+Közművelődés!Q266+Támogatás!U230</f>
        <v>0</v>
      </c>
      <c r="Q215" s="78">
        <f>Igazgatás!P244+Községgazd!S230+Vagyongazd!P215+Közút!P219+Sport!P217+Közművelődés!R266+Támogatás!V230</f>
        <v>0</v>
      </c>
      <c r="R215" s="1">
        <f>Igazgatás!Q244+Községgazd!T230+Vagyongazd!Q215+Közút!Q219+Sport!Q217+Közművelődés!S266+Támogatás!W230</f>
        <v>0</v>
      </c>
      <c r="S215" s="78">
        <f>Igazgatás!R244+Községgazd!U230+Vagyongazd!R215+Közút!R219+Sport!R217+Közművelődés!T266+Támogatás!X230</f>
        <v>0</v>
      </c>
      <c r="T215" s="78">
        <f>Igazgatás!S244+Községgazd!V230+Vagyongazd!S215+Közút!S219+Sport!S217+Közművelődés!U266+Támogatás!Y230</f>
        <v>0</v>
      </c>
      <c r="U215" s="44">
        <f>Igazgatás!T244+Községgazd!W230+Vagyongazd!T215+Közút!T219+Sport!T217+Közművelődés!V266+Támogatás!Z230</f>
        <v>0</v>
      </c>
      <c r="V215" s="343">
        <f>Igazgatás!U244+Községgazd!X230+Vagyongazd!U215+Közút!U219+Sport!U217+Közművelődés!W266+Támogatás!AA230</f>
        <v>0</v>
      </c>
      <c r="W215" s="78">
        <f>Igazgatás!V244+Községgazd!Y230+Vagyongazd!V215+Közút!V219+Sport!V217+Közművelődés!X266+Támogatás!AB230</f>
        <v>0</v>
      </c>
      <c r="X215" s="78">
        <f>Igazgatás!W244+Községgazd!Z230+Vagyongazd!W215+Közút!W219+Sport!W217+Közművelődés!Y266+Támogatás!AC230</f>
        <v>0</v>
      </c>
      <c r="Y215" s="44">
        <f>Igazgatás!X244+Községgazd!AA230+Vagyongazd!X215+Közút!X219+Sport!X217+Közművelődés!Z266+Támogatás!AD230</f>
        <v>0</v>
      </c>
      <c r="AB215" s="180"/>
    </row>
    <row r="216" spans="1:28" ht="15.75" hidden="1" customHeight="1" x14ac:dyDescent="0.25">
      <c r="B216" s="54"/>
      <c r="C216" s="2"/>
      <c r="D216" s="624" t="s">
        <v>377</v>
      </c>
      <c r="E216" s="624"/>
      <c r="F216" s="159" t="e">
        <v>#REF!</v>
      </c>
      <c r="G216" s="159" t="e">
        <v>#REF!</v>
      </c>
      <c r="H216" s="159" t="e">
        <v>#REF!</v>
      </c>
      <c r="I216" s="159" t="e">
        <v>#REF!</v>
      </c>
      <c r="J216" s="159" t="e">
        <v>#REF!</v>
      </c>
      <c r="K216" s="159" t="e">
        <f>Igazgatás!J245+Községgazd!J231+Vagyongazd!#REF!+Közút!J220+Sport!J218+Közművelődés!J267+Támogatás!J231</f>
        <v>#REF!</v>
      </c>
      <c r="L216" s="159" t="e">
        <f>Igazgatás!K245+Községgazd!K231+Vagyongazd!#REF!+Közút!K220+Sport!K218+Közművelődés!K267+Támogatás!K231</f>
        <v>#REF!</v>
      </c>
      <c r="M216" s="159" t="e">
        <f>Igazgatás!L245+Községgazd!L231+Vagyongazd!#REF!+Közút!L220+Sport!L218+Közművelődés!L267+Támogatás!L231</f>
        <v>#REF!</v>
      </c>
      <c r="N216" s="72">
        <f>Igazgatás!M245+Községgazd!P231+Vagyongazd!M216+Közút!M220+Sport!M218+Közművelődés!O267+Támogatás!S231</f>
        <v>0</v>
      </c>
      <c r="O216" s="1">
        <f>Igazgatás!N245+Községgazd!Q231+Vagyongazd!N216+Közút!N220+Sport!N218+Közművelődés!P267+Támogatás!T231</f>
        <v>0</v>
      </c>
      <c r="P216" s="78">
        <f>Igazgatás!O245+Községgazd!R231+Vagyongazd!O216+Közút!O220+Sport!O218+Közművelődés!Q267+Támogatás!U231</f>
        <v>0</v>
      </c>
      <c r="Q216" s="78">
        <f>Igazgatás!P245+Községgazd!S231+Vagyongazd!P216+Közút!P220+Sport!P218+Közművelődés!R267+Támogatás!V231</f>
        <v>0</v>
      </c>
      <c r="R216" s="1">
        <f>Igazgatás!Q245+Községgazd!T231+Vagyongazd!Q216+Közút!Q220+Sport!Q218+Közművelődés!S267+Támogatás!W231</f>
        <v>0</v>
      </c>
      <c r="S216" s="78">
        <f>Igazgatás!R245+Községgazd!U231+Vagyongazd!R216+Közút!R220+Sport!R218+Közművelődés!T267+Támogatás!X231</f>
        <v>0</v>
      </c>
      <c r="T216" s="78">
        <f>Igazgatás!S245+Községgazd!V231+Vagyongazd!S216+Közút!S220+Sport!S218+Közművelődés!U267+Támogatás!Y231</f>
        <v>0</v>
      </c>
      <c r="U216" s="44">
        <f>Igazgatás!T245+Községgazd!W231+Vagyongazd!T216+Közút!T220+Sport!T218+Közművelődés!V267+Támogatás!Z231</f>
        <v>0</v>
      </c>
      <c r="V216" s="343">
        <f>Igazgatás!U245+Községgazd!X231+Vagyongazd!U216+Közút!U220+Sport!U218+Közművelődés!W267+Támogatás!AA231</f>
        <v>0</v>
      </c>
      <c r="W216" s="78">
        <f>Igazgatás!V245+Községgazd!Y231+Vagyongazd!V216+Közút!V220+Sport!V218+Közművelődés!X267+Támogatás!AB231</f>
        <v>0</v>
      </c>
      <c r="X216" s="78">
        <f>Igazgatás!W245+Községgazd!Z231+Vagyongazd!W216+Közút!W220+Sport!W218+Közművelődés!Y267+Támogatás!AC231</f>
        <v>0</v>
      </c>
      <c r="Y216" s="44">
        <f>Igazgatás!X245+Községgazd!AA231+Vagyongazd!X216+Közút!X220+Sport!X218+Közművelődés!Z267+Támogatás!AD231</f>
        <v>0</v>
      </c>
      <c r="AB216" s="180"/>
    </row>
    <row r="217" spans="1:28" ht="15.75" customHeight="1" thickBot="1" x14ac:dyDescent="0.3">
      <c r="B217" s="54"/>
      <c r="C217" s="2"/>
      <c r="D217" s="624" t="s">
        <v>378</v>
      </c>
      <c r="E217" s="624"/>
      <c r="F217" s="159">
        <v>50000</v>
      </c>
      <c r="G217" s="159">
        <v>50000</v>
      </c>
      <c r="H217" s="159">
        <v>50000</v>
      </c>
      <c r="I217" s="159">
        <v>50000</v>
      </c>
      <c r="J217" s="159">
        <v>50000</v>
      </c>
      <c r="K217" s="159">
        <f>Igazgatás!J246+Községgazd!J232+Közút!J221+Sport!J219+Közművelődés!J268+Támogatás!J232</f>
        <v>50000</v>
      </c>
      <c r="L217" s="159">
        <f>Igazgatás!K246+Községgazd!K232+Közút!K221+Sport!K219+Közművelődés!K268+Támogatás!K232</f>
        <v>0</v>
      </c>
      <c r="M217" s="159">
        <f>Igazgatás!L246+Községgazd!L232+Közút!L221+Sport!L219+Közművelődés!L268+Támogatás!L232</f>
        <v>50000</v>
      </c>
      <c r="N217" s="72">
        <f>Igazgatás!M246+Községgazd!P232+Vagyongazd!M217+Közút!M221+Sport!M219+Közművelődés!O268+Támogatás!S232</f>
        <v>0</v>
      </c>
      <c r="O217" s="1">
        <f>Igazgatás!N246+Községgazd!Q232+Vagyongazd!N217+Közút!N221+Sport!N219+Közművelődés!P268+Támogatás!T232</f>
        <v>0</v>
      </c>
      <c r="P217" s="78">
        <f>Igazgatás!O246+Községgazd!R232+Vagyongazd!O217+Közút!O221+Sport!O219+Közművelődés!Q268+Támogatás!U232</f>
        <v>0</v>
      </c>
      <c r="Q217" s="78">
        <f>Igazgatás!P246+Községgazd!S232+Vagyongazd!P217+Közút!P221+Sport!P219+Közművelődés!R268+Támogatás!V232</f>
        <v>0</v>
      </c>
      <c r="R217" s="1">
        <f>Igazgatás!Q246+Községgazd!T232+Vagyongazd!Q217+Közút!Q221+Sport!Q219+Közművelődés!S268+Támogatás!W232</f>
        <v>0</v>
      </c>
      <c r="S217" s="78">
        <f>Igazgatás!R246+Községgazd!U232+Vagyongazd!R217+Közút!R221+Sport!R219+Közművelődés!T268+Támogatás!X232</f>
        <v>0</v>
      </c>
      <c r="T217" s="78">
        <f>Igazgatás!S246+Községgazd!V232+Vagyongazd!S217+Közút!S221+Sport!S219+Közművelődés!U268+Támogatás!Y232</f>
        <v>0</v>
      </c>
      <c r="U217" s="44">
        <f>Igazgatás!T246+Községgazd!W232+Vagyongazd!T217+Közút!T221+Sport!T219+Közművelődés!V268+Támogatás!Z232</f>
        <v>0</v>
      </c>
      <c r="V217" s="343">
        <f>Igazgatás!U246+Községgazd!X232+Vagyongazd!U217+Közút!U221+Sport!U219+Közművelődés!W268+Támogatás!AA232</f>
        <v>0</v>
      </c>
      <c r="W217" s="78">
        <f>Igazgatás!V246+Községgazd!Y232+Vagyongazd!V217+Közút!V221+Sport!V219+Közművelődés!X268+Támogatás!AB232</f>
        <v>50000</v>
      </c>
      <c r="X217" s="78">
        <f>Igazgatás!W246+Községgazd!Z232+Vagyongazd!W217+Közút!W221+Sport!W219+Közművelődés!Y268+Támogatás!AC232</f>
        <v>0</v>
      </c>
      <c r="Y217" s="44">
        <f>Igazgatás!X246+Községgazd!AA232+Vagyongazd!X217+Közút!X221+Sport!X219+Közművelődés!Z268+Támogatás!AD232</f>
        <v>0</v>
      </c>
      <c r="AB217" s="180"/>
    </row>
    <row r="218" spans="1:28" ht="15.75" hidden="1" customHeight="1" x14ac:dyDescent="0.25">
      <c r="B218" s="54"/>
      <c r="C218" s="2"/>
      <c r="D218" s="624" t="s">
        <v>379</v>
      </c>
      <c r="E218" s="624"/>
      <c r="F218" s="159" t="e">
        <v>#REF!</v>
      </c>
      <c r="G218" s="343" t="e">
        <v>#REF!</v>
      </c>
      <c r="H218" s="343" t="e">
        <v>#REF!</v>
      </c>
      <c r="I218" s="343" t="e">
        <v>#REF!</v>
      </c>
      <c r="J218" s="343" t="e">
        <v>#REF!</v>
      </c>
      <c r="K218" s="232" t="e">
        <f>Igazgatás!J247+Községgazd!J233+Vagyongazd!#REF!+Közút!J222+Sport!J220+Közművelődés!J269+Támogatás!J233</f>
        <v>#REF!</v>
      </c>
      <c r="L218" s="141" t="e">
        <f>Igazgatás!K247+Községgazd!K233+Vagyongazd!#REF!+Közút!K222+Sport!K220+Közművelődés!K269+Támogatás!K233</f>
        <v>#REF!</v>
      </c>
      <c r="M218" s="159" t="e">
        <f>Igazgatás!L247+Községgazd!L233+Vagyongazd!#REF!+Közút!L222+Sport!L220+Közművelődés!L269+Támogatás!L233</f>
        <v>#REF!</v>
      </c>
      <c r="N218" s="72">
        <f>Igazgatás!M247+Községgazd!P233+Vagyongazd!M218+Közút!M222+Sport!M220+Közművelődés!O269+Támogatás!S233</f>
        <v>0</v>
      </c>
      <c r="O218" s="1">
        <f>Igazgatás!N247+Községgazd!Q233+Vagyongazd!N218+Közút!N222+Sport!N220+Közművelődés!P269+Támogatás!T233</f>
        <v>0</v>
      </c>
      <c r="P218" s="78">
        <f>Igazgatás!O247+Községgazd!R233+Vagyongazd!O218+Közút!O222+Sport!O220+Közművelődés!Q269+Támogatás!U233</f>
        <v>0</v>
      </c>
      <c r="Q218" s="78">
        <f>Igazgatás!P247+Községgazd!S233+Vagyongazd!P218+Közút!P222+Sport!P220+Közművelődés!R269+Támogatás!V233</f>
        <v>0</v>
      </c>
      <c r="R218" s="1">
        <f>Igazgatás!Q247+Községgazd!T233+Vagyongazd!Q218+Közút!Q222+Sport!Q220+Közművelődés!S269+Támogatás!W233</f>
        <v>0</v>
      </c>
      <c r="S218" s="78">
        <f>Igazgatás!R247+Községgazd!U233+Vagyongazd!R218+Közút!R222+Sport!R220+Közművelődés!T269+Támogatás!X233</f>
        <v>0</v>
      </c>
      <c r="T218" s="78">
        <f>Igazgatás!S247+Községgazd!V233+Vagyongazd!S218+Közút!S222+Sport!S220+Közművelődés!U269+Támogatás!Y233</f>
        <v>0</v>
      </c>
      <c r="U218" s="44">
        <f>Igazgatás!T247+Községgazd!W233+Vagyongazd!T218+Közút!T222+Sport!T220+Közművelődés!V269+Támogatás!Z233</f>
        <v>0</v>
      </c>
      <c r="V218" s="343">
        <f>Igazgatás!U247+Községgazd!X233+Vagyongazd!U218+Közút!U222+Sport!U220+Közművelődés!W269+Támogatás!AA233</f>
        <v>0</v>
      </c>
      <c r="W218" s="78">
        <f>Igazgatás!V247+Községgazd!Y233+Vagyongazd!V218+Közút!V222+Sport!V220+Közművelődés!X269+Támogatás!AB233</f>
        <v>0</v>
      </c>
      <c r="X218" s="78">
        <f>Igazgatás!W247+Községgazd!Z233+Vagyongazd!W218+Közút!W222+Sport!W220+Közművelődés!Y269+Támogatás!AC233</f>
        <v>0</v>
      </c>
      <c r="Y218" s="44">
        <f>Igazgatás!X247+Községgazd!AA233+Vagyongazd!X218+Közút!X222+Sport!X220+Közművelődés!Z269+Támogatás!AD233</f>
        <v>0</v>
      </c>
      <c r="AB218" s="180"/>
    </row>
    <row r="219" spans="1:28" ht="15.75" hidden="1" customHeight="1" x14ac:dyDescent="0.25">
      <c r="B219" s="54"/>
      <c r="C219" s="2"/>
      <c r="D219" s="624" t="s">
        <v>380</v>
      </c>
      <c r="E219" s="624"/>
      <c r="F219" s="159" t="e">
        <v>#REF!</v>
      </c>
      <c r="G219" s="343" t="e">
        <v>#REF!</v>
      </c>
      <c r="H219" s="343" t="e">
        <v>#REF!</v>
      </c>
      <c r="I219" s="343" t="e">
        <v>#REF!</v>
      </c>
      <c r="J219" s="343" t="e">
        <v>#REF!</v>
      </c>
      <c r="K219" s="232" t="e">
        <f>Igazgatás!J248+Községgazd!J234+Vagyongazd!#REF!+Közút!J223+Sport!J221+Közművelődés!J270+Támogatás!J234</f>
        <v>#REF!</v>
      </c>
      <c r="L219" s="141" t="e">
        <f>Igazgatás!K248+Községgazd!K234+Vagyongazd!#REF!+Közút!K223+Sport!K221+Közművelődés!K270+Támogatás!K234</f>
        <v>#REF!</v>
      </c>
      <c r="M219" s="159" t="e">
        <f>Igazgatás!L248+Községgazd!L234+Vagyongazd!#REF!+Közút!L223+Sport!L221+Közművelődés!L270+Támogatás!L234</f>
        <v>#REF!</v>
      </c>
      <c r="N219" s="72">
        <f>Igazgatás!M248+Községgazd!P234+Vagyongazd!M219+Közút!M223+Sport!M221+Közművelődés!O270+Támogatás!S234</f>
        <v>0</v>
      </c>
      <c r="O219" s="1">
        <f>Igazgatás!N248+Községgazd!Q234+Vagyongazd!N219+Közút!N223+Sport!N221+Közművelődés!P270+Támogatás!T234</f>
        <v>0</v>
      </c>
      <c r="P219" s="78">
        <f>Igazgatás!O248+Községgazd!R234+Vagyongazd!O219+Közút!O223+Sport!O221+Közművelődés!Q270+Támogatás!U234</f>
        <v>0</v>
      </c>
      <c r="Q219" s="78">
        <f>Igazgatás!P248+Községgazd!S234+Vagyongazd!P219+Közút!P223+Sport!P221+Közművelődés!R270+Támogatás!V234</f>
        <v>0</v>
      </c>
      <c r="R219" s="1">
        <f>Igazgatás!Q248+Községgazd!T234+Vagyongazd!Q219+Közút!Q223+Sport!Q221+Közművelődés!S270+Támogatás!W234</f>
        <v>0</v>
      </c>
      <c r="S219" s="78">
        <f>Igazgatás!R248+Községgazd!U234+Vagyongazd!R219+Közút!R223+Sport!R221+Közművelődés!T270+Támogatás!X234</f>
        <v>0</v>
      </c>
      <c r="T219" s="78">
        <f>Igazgatás!S248+Községgazd!V234+Vagyongazd!S219+Közút!S223+Sport!S221+Közművelődés!U270+Támogatás!Y234</f>
        <v>0</v>
      </c>
      <c r="U219" s="44">
        <f>Igazgatás!T248+Községgazd!W234+Vagyongazd!T219+Közút!T223+Sport!T221+Közművelődés!V270+Támogatás!Z234</f>
        <v>0</v>
      </c>
      <c r="V219" s="343">
        <f>Igazgatás!U248+Községgazd!X234+Vagyongazd!U219+Közút!U223+Sport!U221+Közművelődés!W270+Támogatás!AA234</f>
        <v>0</v>
      </c>
      <c r="W219" s="78">
        <f>Igazgatás!V248+Községgazd!Y234+Vagyongazd!V219+Közút!V223+Sport!V221+Közművelődés!X270+Támogatás!AB234</f>
        <v>0</v>
      </c>
      <c r="X219" s="78">
        <f>Igazgatás!W248+Községgazd!Z234+Vagyongazd!W219+Közút!W223+Sport!W221+Közművelődés!Y270+Támogatás!AC234</f>
        <v>0</v>
      </c>
      <c r="Y219" s="44">
        <f>Igazgatás!X248+Községgazd!AA234+Vagyongazd!X219+Közút!X223+Sport!X221+Közművelődés!Z270+Támogatás!AD234</f>
        <v>0</v>
      </c>
      <c r="AB219" s="180"/>
    </row>
    <row r="220" spans="1:28" ht="25.5" hidden="1" customHeight="1" x14ac:dyDescent="0.25">
      <c r="B220" s="54"/>
      <c r="C220" s="2"/>
      <c r="D220" s="625" t="s">
        <v>538</v>
      </c>
      <c r="E220" s="625"/>
      <c r="F220" s="159" t="e">
        <v>#REF!</v>
      </c>
      <c r="G220" s="343" t="e">
        <v>#REF!</v>
      </c>
      <c r="H220" s="343" t="e">
        <v>#REF!</v>
      </c>
      <c r="I220" s="343" t="e">
        <v>#REF!</v>
      </c>
      <c r="J220" s="343" t="e">
        <v>#REF!</v>
      </c>
      <c r="K220" s="242" t="e">
        <f>Igazgatás!J249+Községgazd!J235+Vagyongazd!#REF!+Közút!J224+Sport!J222+Közművelődés!J271+Támogatás!J235</f>
        <v>#REF!</v>
      </c>
      <c r="L220" s="151" t="e">
        <f>Igazgatás!K249+Községgazd!K235+Vagyongazd!#REF!+Közút!K224+Sport!K222+Közművelődés!K271+Támogatás!K235</f>
        <v>#REF!</v>
      </c>
      <c r="M220" s="159" t="e">
        <f>Igazgatás!L249+Községgazd!L235+Vagyongazd!#REF!+Közút!L224+Sport!L222+Közművelődés!L271+Támogatás!L235</f>
        <v>#REF!</v>
      </c>
      <c r="N220" s="72">
        <f>Igazgatás!M249+Községgazd!P235+Vagyongazd!M220+Közút!M224+Sport!M222+Közművelődés!O271+Támogatás!S235</f>
        <v>0</v>
      </c>
      <c r="O220" s="1">
        <f>Igazgatás!N249+Községgazd!Q235+Vagyongazd!N220+Közút!N224+Sport!N222+Közművelődés!P271+Támogatás!T235</f>
        <v>0</v>
      </c>
      <c r="P220" s="78">
        <f>Igazgatás!O249+Községgazd!R235+Vagyongazd!O220+Közút!O224+Sport!O222+Közművelődés!Q271+Támogatás!U235</f>
        <v>0</v>
      </c>
      <c r="Q220" s="78">
        <f>Igazgatás!P249+Községgazd!S235+Vagyongazd!P220+Közút!P224+Sport!P222+Közművelődés!R271+Támogatás!V235</f>
        <v>0</v>
      </c>
      <c r="R220" s="1">
        <f>Igazgatás!Q249+Községgazd!T235+Vagyongazd!Q220+Közút!Q224+Sport!Q222+Közművelődés!S271+Támogatás!W235</f>
        <v>0</v>
      </c>
      <c r="S220" s="78">
        <f>Igazgatás!R249+Községgazd!U235+Vagyongazd!R220+Közút!R224+Sport!R222+Közművelődés!T271+Támogatás!X235</f>
        <v>0</v>
      </c>
      <c r="T220" s="78">
        <f>Igazgatás!S249+Községgazd!V235+Vagyongazd!S220+Közút!S224+Sport!S222+Közművelődés!U271+Támogatás!Y235</f>
        <v>0</v>
      </c>
      <c r="U220" s="44">
        <f>Igazgatás!T249+Községgazd!W235+Vagyongazd!T220+Közút!T224+Sport!T222+Közművelődés!V271+Támogatás!Z235</f>
        <v>0</v>
      </c>
      <c r="V220" s="343">
        <f>Igazgatás!U249+Községgazd!X235+Vagyongazd!U220+Közút!U224+Sport!U222+Közművelődés!W271+Támogatás!AA235</f>
        <v>0</v>
      </c>
      <c r="W220" s="78">
        <f>Igazgatás!V249+Községgazd!Y235+Vagyongazd!V220+Közút!V224+Sport!V222+Közművelődés!X271+Támogatás!AB235</f>
        <v>0</v>
      </c>
      <c r="X220" s="78">
        <f>Igazgatás!W249+Községgazd!Z235+Vagyongazd!W220+Közút!W224+Sport!W222+Közművelődés!Y271+Támogatás!AC235</f>
        <v>0</v>
      </c>
      <c r="Y220" s="44">
        <f>Igazgatás!X249+Községgazd!AA235+Vagyongazd!X220+Közút!X224+Sport!X222+Közművelődés!Z271+Támogatás!AD235</f>
        <v>0</v>
      </c>
      <c r="AB220" s="180"/>
    </row>
    <row r="221" spans="1:28" ht="25.5" hidden="1" customHeight="1" x14ac:dyDescent="0.25">
      <c r="B221" s="54"/>
      <c r="C221" s="2"/>
      <c r="D221" s="625" t="s">
        <v>541</v>
      </c>
      <c r="E221" s="625"/>
      <c r="F221" s="159" t="e">
        <v>#REF!</v>
      </c>
      <c r="G221" s="343" t="e">
        <v>#REF!</v>
      </c>
      <c r="H221" s="343" t="e">
        <v>#REF!</v>
      </c>
      <c r="I221" s="343" t="e">
        <v>#REF!</v>
      </c>
      <c r="J221" s="343" t="e">
        <v>#REF!</v>
      </c>
      <c r="K221" s="242" t="e">
        <f>Igazgatás!J250+Községgazd!J236+Vagyongazd!#REF!+Közút!J225+Sport!J223+Közművelődés!J272+Támogatás!J236</f>
        <v>#REF!</v>
      </c>
      <c r="L221" s="151" t="e">
        <f>Igazgatás!K250+Községgazd!K236+Vagyongazd!#REF!+Közút!K225+Sport!K223+Közművelődés!K272+Támogatás!K236</f>
        <v>#REF!</v>
      </c>
      <c r="M221" s="159" t="e">
        <f>Igazgatás!L250+Községgazd!L236+Vagyongazd!#REF!+Közút!L225+Sport!L223+Közművelődés!L272+Támogatás!L236</f>
        <v>#REF!</v>
      </c>
      <c r="N221" s="72">
        <f>Igazgatás!M250+Községgazd!P236+Vagyongazd!M221+Közút!M225+Sport!M223+Közművelődés!O272+Támogatás!S236</f>
        <v>0</v>
      </c>
      <c r="O221" s="1">
        <f>Igazgatás!N250+Községgazd!Q236+Vagyongazd!N221+Közút!N225+Sport!N223+Közművelődés!P272+Támogatás!T236</f>
        <v>0</v>
      </c>
      <c r="P221" s="78">
        <f>Igazgatás!O250+Községgazd!R236+Vagyongazd!O221+Közút!O225+Sport!O223+Közművelődés!Q272+Támogatás!U236</f>
        <v>0</v>
      </c>
      <c r="Q221" s="78">
        <f>Igazgatás!P250+Községgazd!S236+Vagyongazd!P221+Közút!P225+Sport!P223+Közművelődés!R272+Támogatás!V236</f>
        <v>0</v>
      </c>
      <c r="R221" s="1">
        <f>Igazgatás!Q250+Községgazd!T236+Vagyongazd!Q221+Közút!Q225+Sport!Q223+Közművelődés!S272+Támogatás!W236</f>
        <v>0</v>
      </c>
      <c r="S221" s="78">
        <f>Igazgatás!R250+Községgazd!U236+Vagyongazd!R221+Közút!R225+Sport!R223+Közművelődés!T272+Támogatás!X236</f>
        <v>0</v>
      </c>
      <c r="T221" s="78">
        <f>Igazgatás!S250+Községgazd!V236+Vagyongazd!S221+Közút!S225+Sport!S223+Közművelődés!U272+Támogatás!Y236</f>
        <v>0</v>
      </c>
      <c r="U221" s="44">
        <f>Igazgatás!T250+Községgazd!W236+Vagyongazd!T221+Közút!T225+Sport!T223+Közművelődés!V272+Támogatás!Z236</f>
        <v>0</v>
      </c>
      <c r="V221" s="343">
        <f>Igazgatás!U250+Községgazd!X236+Vagyongazd!U221+Közút!U225+Sport!U223+Közművelődés!W272+Támogatás!AA236</f>
        <v>0</v>
      </c>
      <c r="W221" s="78">
        <f>Igazgatás!V250+Községgazd!Y236+Vagyongazd!V221+Közút!V225+Sport!V223+Közművelődés!X272+Támogatás!AB236</f>
        <v>0</v>
      </c>
      <c r="X221" s="78">
        <f>Igazgatás!W250+Községgazd!Z236+Vagyongazd!W221+Közút!W225+Sport!W223+Közművelődés!Y272+Támogatás!AC236</f>
        <v>0</v>
      </c>
      <c r="Y221" s="44">
        <f>Igazgatás!X250+Községgazd!AA236+Vagyongazd!X221+Közút!X225+Sport!X223+Közművelődés!Z272+Támogatás!AD236</f>
        <v>0</v>
      </c>
      <c r="AB221" s="180"/>
    </row>
    <row r="222" spans="1:28" ht="15.75" hidden="1" customHeight="1" x14ac:dyDescent="0.25">
      <c r="B222" s="54"/>
      <c r="C222" s="2"/>
      <c r="D222" s="624" t="s">
        <v>381</v>
      </c>
      <c r="E222" s="624"/>
      <c r="F222" s="159" t="e">
        <v>#REF!</v>
      </c>
      <c r="G222" s="343" t="e">
        <v>#REF!</v>
      </c>
      <c r="H222" s="343" t="e">
        <v>#REF!</v>
      </c>
      <c r="I222" s="343" t="e">
        <v>#REF!</v>
      </c>
      <c r="J222" s="343" t="e">
        <v>#REF!</v>
      </c>
      <c r="K222" s="232" t="e">
        <f>Igazgatás!J251+Községgazd!J237+Vagyongazd!#REF!+Közút!J226+Sport!J224+Közművelődés!J273+Támogatás!J237</f>
        <v>#REF!</v>
      </c>
      <c r="L222" s="141" t="e">
        <f>Igazgatás!K251+Községgazd!K237+Vagyongazd!#REF!+Közút!K226+Sport!K224+Közművelődés!K273+Támogatás!K237</f>
        <v>#REF!</v>
      </c>
      <c r="M222" s="159" t="e">
        <f>Igazgatás!L251+Községgazd!L237+Vagyongazd!#REF!+Közút!L226+Sport!L224+Közművelődés!L273+Támogatás!L237</f>
        <v>#REF!</v>
      </c>
      <c r="N222" s="72">
        <f>Igazgatás!M251+Községgazd!P237+Vagyongazd!M222+Közút!M226+Sport!M224+Közművelődés!O273+Támogatás!S237</f>
        <v>0</v>
      </c>
      <c r="O222" s="1">
        <f>Igazgatás!N251+Községgazd!Q237+Vagyongazd!N222+Közút!N226+Sport!N224+Közművelődés!P273+Támogatás!T237</f>
        <v>0</v>
      </c>
      <c r="P222" s="78">
        <f>Igazgatás!O251+Községgazd!R237+Vagyongazd!O222+Közút!O226+Sport!O224+Közművelődés!Q273+Támogatás!U237</f>
        <v>0</v>
      </c>
      <c r="Q222" s="78">
        <f>Igazgatás!P251+Községgazd!S237+Vagyongazd!P222+Közút!P226+Sport!P224+Közművelődés!R273+Támogatás!V237</f>
        <v>0</v>
      </c>
      <c r="R222" s="1">
        <f>Igazgatás!Q251+Községgazd!T237+Vagyongazd!Q222+Közút!Q226+Sport!Q224+Közművelődés!S273+Támogatás!W237</f>
        <v>0</v>
      </c>
      <c r="S222" s="78">
        <f>Igazgatás!R251+Községgazd!U237+Vagyongazd!R222+Közút!R226+Sport!R224+Közművelődés!T273+Támogatás!X237</f>
        <v>0</v>
      </c>
      <c r="T222" s="78">
        <f>Igazgatás!S251+Községgazd!V237+Vagyongazd!S222+Közút!S226+Sport!S224+Közművelődés!U273+Támogatás!Y237</f>
        <v>0</v>
      </c>
      <c r="U222" s="44">
        <f>Igazgatás!T251+Községgazd!W237+Vagyongazd!T222+Közút!T226+Sport!T224+Közművelődés!V273+Támogatás!Z237</f>
        <v>0</v>
      </c>
      <c r="V222" s="343">
        <f>Igazgatás!U251+Községgazd!X237+Vagyongazd!U222+Közút!U226+Sport!U224+Közművelődés!W273+Támogatás!AA237</f>
        <v>0</v>
      </c>
      <c r="W222" s="78">
        <f>Igazgatás!V251+Községgazd!Y237+Vagyongazd!V222+Közút!V226+Sport!V224+Közművelődés!X273+Támogatás!AB237</f>
        <v>0</v>
      </c>
      <c r="X222" s="78">
        <f>Igazgatás!W251+Községgazd!Z237+Vagyongazd!W222+Közút!W226+Sport!W224+Közművelődés!Y273+Támogatás!AC237</f>
        <v>0</v>
      </c>
      <c r="Y222" s="44">
        <f>Igazgatás!X251+Községgazd!AA237+Vagyongazd!X222+Közút!X226+Sport!X224+Közművelődés!Z273+Támogatás!AD237</f>
        <v>0</v>
      </c>
      <c r="AB222" s="180"/>
    </row>
    <row r="223" spans="1:28" ht="15.75" hidden="1" customHeight="1" x14ac:dyDescent="0.25">
      <c r="B223" s="54"/>
      <c r="C223" s="2"/>
      <c r="D223" s="624" t="s">
        <v>382</v>
      </c>
      <c r="E223" s="624"/>
      <c r="F223" s="159" t="e">
        <v>#REF!</v>
      </c>
      <c r="G223" s="343" t="e">
        <v>#REF!</v>
      </c>
      <c r="H223" s="343" t="e">
        <v>#REF!</v>
      </c>
      <c r="I223" s="343" t="e">
        <v>#REF!</v>
      </c>
      <c r="J223" s="343" t="e">
        <v>#REF!</v>
      </c>
      <c r="K223" s="232" t="e">
        <f>Igazgatás!J252+Községgazd!J238+Vagyongazd!#REF!+Közút!J227+Sport!J225+Közművelődés!J274+Támogatás!J238</f>
        <v>#REF!</v>
      </c>
      <c r="L223" s="141" t="e">
        <f>Igazgatás!K252+Községgazd!K238+Vagyongazd!#REF!+Közút!K227+Sport!K225+Közművelődés!K274+Támogatás!K238</f>
        <v>#REF!</v>
      </c>
      <c r="M223" s="159" t="e">
        <f>Igazgatás!L252+Községgazd!L238+Vagyongazd!#REF!+Közút!L227+Sport!L225+Közművelődés!L274+Támogatás!L238</f>
        <v>#REF!</v>
      </c>
      <c r="N223" s="72">
        <f>Igazgatás!M252+Községgazd!P238+Vagyongazd!M223+Közút!M227+Sport!M225+Közművelődés!O274+Támogatás!S238</f>
        <v>0</v>
      </c>
      <c r="O223" s="1">
        <f>Igazgatás!N252+Községgazd!Q238+Vagyongazd!N223+Közút!N227+Sport!N225+Közművelődés!P274+Támogatás!T238</f>
        <v>0</v>
      </c>
      <c r="P223" s="78">
        <f>Igazgatás!O252+Községgazd!R238+Vagyongazd!O223+Közút!O227+Sport!O225+Közművelődés!Q274+Támogatás!U238</f>
        <v>0</v>
      </c>
      <c r="Q223" s="78">
        <f>Igazgatás!P252+Községgazd!S238+Vagyongazd!P223+Közút!P227+Sport!P225+Közművelődés!R274+Támogatás!V238</f>
        <v>0</v>
      </c>
      <c r="R223" s="1">
        <f>Igazgatás!Q252+Községgazd!T238+Vagyongazd!Q223+Közút!Q227+Sport!Q225+Közművelődés!S274+Támogatás!W238</f>
        <v>0</v>
      </c>
      <c r="S223" s="78">
        <f>Igazgatás!R252+Községgazd!U238+Vagyongazd!R223+Közút!R227+Sport!R225+Közművelődés!T274+Támogatás!X238</f>
        <v>0</v>
      </c>
      <c r="T223" s="78">
        <f>Igazgatás!S252+Községgazd!V238+Vagyongazd!S223+Közút!S227+Sport!S225+Közművelődés!U274+Támogatás!Y238</f>
        <v>0</v>
      </c>
      <c r="U223" s="44">
        <f>Igazgatás!T252+Községgazd!W238+Vagyongazd!T223+Közút!T227+Sport!T225+Közművelődés!V274+Támogatás!Z238</f>
        <v>0</v>
      </c>
      <c r="V223" s="343">
        <f>Igazgatás!U252+Községgazd!X238+Vagyongazd!U223+Közút!U227+Sport!U225+Közművelődés!W274+Támogatás!AA238</f>
        <v>0</v>
      </c>
      <c r="W223" s="78">
        <f>Igazgatás!V252+Községgazd!Y238+Vagyongazd!V223+Közút!V227+Sport!V225+Közművelődés!X274+Támogatás!AB238</f>
        <v>0</v>
      </c>
      <c r="X223" s="78">
        <f>Igazgatás!W252+Községgazd!Z238+Vagyongazd!W223+Közút!W227+Sport!W225+Közművelődés!Y274+Támogatás!AC238</f>
        <v>0</v>
      </c>
      <c r="Y223" s="44">
        <f>Igazgatás!X252+Községgazd!AA238+Vagyongazd!X223+Közút!X227+Sport!X225+Közművelődés!Z274+Támogatás!AD238</f>
        <v>0</v>
      </c>
      <c r="AB223" s="180"/>
    </row>
    <row r="224" spans="1:28" ht="15.75" hidden="1" customHeight="1" thickBot="1" x14ac:dyDescent="0.3">
      <c r="B224" s="56"/>
      <c r="C224" s="20"/>
      <c r="D224" s="631" t="s">
        <v>567</v>
      </c>
      <c r="E224" s="631"/>
      <c r="F224" s="159" t="e">
        <v>#REF!</v>
      </c>
      <c r="G224" s="467" t="e">
        <v>#REF!</v>
      </c>
      <c r="H224" s="467" t="e">
        <v>#REF!</v>
      </c>
      <c r="I224" s="467" t="e">
        <v>#REF!</v>
      </c>
      <c r="J224" s="467" t="e">
        <v>#REF!</v>
      </c>
      <c r="K224" s="234" t="e">
        <f>Igazgatás!J253+Községgazd!J239+Vagyongazd!#REF!+Közút!J228+Sport!J226+Közművelődés!J275+Támogatás!J239</f>
        <v>#REF!</v>
      </c>
      <c r="L224" s="143" t="e">
        <f>Igazgatás!K253+Községgazd!K239+Vagyongazd!#REF!+Közút!K228+Sport!K226+Közművelődés!K275+Támogatás!K239</f>
        <v>#REF!</v>
      </c>
      <c r="M224" s="159" t="e">
        <f>Igazgatás!L253+Községgazd!L239+Vagyongazd!#REF!+Közút!L228+Sport!L226+Közművelődés!L275+Támogatás!L239</f>
        <v>#REF!</v>
      </c>
      <c r="N224" s="72">
        <f>Igazgatás!M253+Községgazd!P239+Vagyongazd!M224+Közút!M228+Sport!M226+Közművelődés!O275+Támogatás!S239</f>
        <v>0</v>
      </c>
      <c r="O224" s="1">
        <f>Igazgatás!N253+Községgazd!Q239+Vagyongazd!N224+Közút!N228+Sport!N226+Közművelődés!P275+Támogatás!T239</f>
        <v>0</v>
      </c>
      <c r="P224" s="78">
        <f>Igazgatás!O253+Községgazd!R239+Vagyongazd!O224+Közút!O228+Sport!O226+Közművelődés!Q275+Támogatás!U239</f>
        <v>0</v>
      </c>
      <c r="Q224" s="78">
        <f>Igazgatás!P253+Községgazd!S239+Vagyongazd!P224+Közút!P228+Sport!P226+Közművelődés!R275+Támogatás!V239</f>
        <v>0</v>
      </c>
      <c r="R224" s="1">
        <f>Igazgatás!Q253+Községgazd!T239+Vagyongazd!Q224+Közút!Q228+Sport!Q226+Közművelődés!S275+Támogatás!W239</f>
        <v>0</v>
      </c>
      <c r="S224" s="78">
        <f>Igazgatás!R253+Községgazd!U239+Vagyongazd!R224+Közút!R228+Sport!R226+Közművelődés!T275+Támogatás!X239</f>
        <v>0</v>
      </c>
      <c r="T224" s="78">
        <f>Igazgatás!S253+Községgazd!V239+Vagyongazd!S224+Közút!S228+Sport!S226+Közművelődés!U275+Támogatás!Y239</f>
        <v>0</v>
      </c>
      <c r="U224" s="44">
        <f>Igazgatás!T253+Községgazd!W239+Vagyongazd!T224+Közút!T228+Sport!T226+Közművelődés!V275+Támogatás!Z239</f>
        <v>0</v>
      </c>
      <c r="V224" s="343">
        <f>Igazgatás!U253+Községgazd!X239+Vagyongazd!U224+Közút!U228+Sport!U226+Közművelődés!W275+Támogatás!AA239</f>
        <v>0</v>
      </c>
      <c r="W224" s="78">
        <f>Igazgatás!V253+Községgazd!Y239+Vagyongazd!V224+Közút!V228+Sport!V226+Közművelődés!X275+Támogatás!AB239</f>
        <v>0</v>
      </c>
      <c r="X224" s="78">
        <f>Igazgatás!W253+Községgazd!Z239+Vagyongazd!W224+Közút!W228+Sport!W226+Közművelődés!Y275+Támogatás!AC239</f>
        <v>0</v>
      </c>
      <c r="Y224" s="44">
        <f>Igazgatás!X253+Községgazd!AA239+Vagyongazd!X224+Közút!X228+Sport!X226+Közművelődés!Z275+Támogatás!AD239</f>
        <v>0</v>
      </c>
      <c r="AB224" s="180"/>
    </row>
    <row r="225" spans="1:28" ht="15.75" thickBot="1" x14ac:dyDescent="0.3">
      <c r="B225" s="96" t="s">
        <v>284</v>
      </c>
      <c r="C225" s="632" t="s">
        <v>285</v>
      </c>
      <c r="D225" s="633"/>
      <c r="E225" s="633"/>
      <c r="F225" s="156">
        <v>21248453</v>
      </c>
      <c r="G225" s="156">
        <v>15748453</v>
      </c>
      <c r="H225" s="156">
        <v>15748453</v>
      </c>
      <c r="I225" s="571">
        <v>15748453</v>
      </c>
      <c r="J225" s="571">
        <v>15748453</v>
      </c>
      <c r="K225" s="156">
        <f>Igazgatás!J254+Községgazd!J240+Közút!J229+Sport!J227+Közművelődés!J276+Támogatás!J240</f>
        <v>15748453</v>
      </c>
      <c r="L225" s="156">
        <f>Igazgatás!K254+Községgazd!K240+Közút!K229+Sport!K227+Közművelődés!K276+Támogatás!K240</f>
        <v>0</v>
      </c>
      <c r="M225" s="156">
        <f>Igazgatás!L254+Községgazd!L240+Közút!L229+Sport!L227+Közművelődés!L276+Támogatás!L240</f>
        <v>15748453</v>
      </c>
      <c r="N225" s="82">
        <f>Igazgatás!M254+Községgazd!P240+Vagyongazd!M225+Közút!M229+Sport!M227+Közművelődés!O276+Támogatás!S240</f>
        <v>748453</v>
      </c>
      <c r="O225" s="83">
        <f>Igazgatás!N254+Községgazd!Q240+Vagyongazd!N225+Közút!N229+Sport!N227+Közművelődés!P276+Támogatás!T240</f>
        <v>0</v>
      </c>
      <c r="P225" s="86">
        <f>Igazgatás!O254+Községgazd!R240+Vagyongazd!O225+Közút!O229+Sport!O227+Közművelődés!Q276+Támogatás!U240</f>
        <v>0</v>
      </c>
      <c r="Q225" s="86">
        <f>Igazgatás!P254+Községgazd!S240+Vagyongazd!P225+Közút!P229+Sport!P227+Közművelődés!R276+Támogatás!V240</f>
        <v>0</v>
      </c>
      <c r="R225" s="83">
        <f>Igazgatás!Q254+Községgazd!T240+Vagyongazd!Q225+Közút!Q229+Sport!Q227+Közművelődés!S276+Támogatás!W240</f>
        <v>0</v>
      </c>
      <c r="S225" s="86">
        <f>Igazgatás!R254+Községgazd!U240+Vagyongazd!R225+Közút!R229+Sport!R227+Közművelődés!T276+Támogatás!X240</f>
        <v>0</v>
      </c>
      <c r="T225" s="86">
        <f>Igazgatás!S254+Községgazd!V240+Vagyongazd!S225+Közút!S229+Sport!S227+Közművelődés!U276+Támogatás!Y240</f>
        <v>0</v>
      </c>
      <c r="U225" s="87">
        <f>Igazgatás!T254+Községgazd!W240+Vagyongazd!T225+Közút!T229+Sport!T227+Közművelődés!V276+Támogatás!Z240</f>
        <v>0</v>
      </c>
      <c r="V225" s="338">
        <f>Igazgatás!U254+Községgazd!X240+Vagyongazd!U225+Közút!U229+Sport!U227+Közművelődés!W276+Támogatás!AA240</f>
        <v>0</v>
      </c>
      <c r="W225" s="86">
        <f>Igazgatás!V254+Községgazd!Y240+Vagyongazd!V225+Közút!V229+Sport!V227+Közművelődés!X276+Támogatás!AB240</f>
        <v>0</v>
      </c>
      <c r="X225" s="86">
        <f>Igazgatás!W254+Községgazd!Z240+Vagyongazd!W225+Közút!W229+Sport!W227+Közművelődés!Y276+Támogatás!AC240</f>
        <v>0</v>
      </c>
      <c r="Y225" s="87">
        <f>Igazgatás!X254+Községgazd!AA240+Vagyongazd!X225+Közút!X229+Sport!X227+Közművelődés!Z276+Támogatás!AD240</f>
        <v>15000000</v>
      </c>
      <c r="AB225" s="180"/>
    </row>
    <row r="226" spans="1:28" x14ac:dyDescent="0.25">
      <c r="B226" s="108" t="s">
        <v>691</v>
      </c>
      <c r="C226" s="634" t="s">
        <v>286</v>
      </c>
      <c r="D226" s="635"/>
      <c r="E226" s="635"/>
      <c r="F226" s="157">
        <v>21248453</v>
      </c>
      <c r="G226" s="157">
        <v>15748453</v>
      </c>
      <c r="H226" s="157">
        <v>15748453</v>
      </c>
      <c r="I226" s="572">
        <v>15748453</v>
      </c>
      <c r="J226" s="572">
        <v>15748453</v>
      </c>
      <c r="K226" s="157">
        <f>Igazgatás!J255+Községgazd!J241+Közút!J230+Sport!J228+Közművelődés!J277+Támogatás!J241</f>
        <v>15748453</v>
      </c>
      <c r="L226" s="157">
        <f>Igazgatás!K255+Községgazd!K241+Közút!K230+Sport!K228+Közművelődés!K277+Támogatás!K241</f>
        <v>0</v>
      </c>
      <c r="M226" s="157">
        <f>Igazgatás!L255+Községgazd!L241+Közút!L230+Sport!L228+Közművelődés!L277+Támogatás!L241</f>
        <v>15748453</v>
      </c>
      <c r="N226" s="109">
        <f>Igazgatás!M255+Községgazd!P241+Vagyongazd!M226+Közút!M230+Sport!M228+Közművelődés!O277+Támogatás!S241</f>
        <v>748453</v>
      </c>
      <c r="O226" s="110">
        <f>Igazgatás!N255+Községgazd!Q241+Vagyongazd!N226+Közút!N230+Sport!N228+Közművelődés!P277+Támogatás!T241</f>
        <v>0</v>
      </c>
      <c r="P226" s="113">
        <f>Igazgatás!O255+Községgazd!R241+Vagyongazd!O226+Közút!O230+Sport!O228+Közművelődés!Q277+Támogatás!U241</f>
        <v>0</v>
      </c>
      <c r="Q226" s="113">
        <f>Igazgatás!P255+Községgazd!S241+Vagyongazd!P226+Közút!P230+Sport!P228+Közművelődés!R277+Támogatás!V241</f>
        <v>0</v>
      </c>
      <c r="R226" s="110">
        <f>Igazgatás!Q255+Községgazd!T241+Vagyongazd!Q226+Közút!Q230+Sport!Q228+Közművelődés!S277+Támogatás!W241</f>
        <v>0</v>
      </c>
      <c r="S226" s="113">
        <f>Igazgatás!R255+Községgazd!U241+Vagyongazd!R226+Közút!R230+Sport!R228+Közművelődés!T277+Támogatás!X241</f>
        <v>0</v>
      </c>
      <c r="T226" s="113">
        <f>Igazgatás!S255+Községgazd!V241+Vagyongazd!S226+Közút!S230+Sport!S228+Közművelődés!U277+Támogatás!Y241</f>
        <v>0</v>
      </c>
      <c r="U226" s="114">
        <f>Igazgatás!T255+Községgazd!W241+Vagyongazd!T226+Közút!T230+Sport!T228+Közművelődés!V277+Támogatás!Z241</f>
        <v>0</v>
      </c>
      <c r="V226" s="339">
        <f>Igazgatás!U255+Községgazd!X241+Vagyongazd!U226+Közút!U230+Sport!U228+Közművelődés!W277+Támogatás!AA241</f>
        <v>0</v>
      </c>
      <c r="W226" s="113">
        <f>Igazgatás!V255+Községgazd!Y241+Vagyongazd!V226+Közút!V230+Sport!V228+Közművelődés!X277+Támogatás!AB241</f>
        <v>0</v>
      </c>
      <c r="X226" s="113">
        <f>Igazgatás!W255+Községgazd!Z241+Vagyongazd!W226+Közút!W230+Sport!W228+Közművelődés!Y277+Támogatás!AC241</f>
        <v>0</v>
      </c>
      <c r="Y226" s="114">
        <f>Igazgatás!X255+Községgazd!AA241+Vagyongazd!X226+Közút!X230+Sport!X228+Közművelődés!Z277+Támogatás!AD241</f>
        <v>15000000</v>
      </c>
      <c r="AB226" s="180"/>
    </row>
    <row r="227" spans="1:28" s="18" customFormat="1" ht="15" customHeight="1" x14ac:dyDescent="0.25">
      <c r="A227" s="118"/>
      <c r="B227" s="53" t="s">
        <v>692</v>
      </c>
      <c r="C227" s="628" t="s">
        <v>287</v>
      </c>
      <c r="D227" s="629"/>
      <c r="E227" s="629"/>
      <c r="F227" s="160">
        <v>20500000</v>
      </c>
      <c r="G227" s="160">
        <v>15000000</v>
      </c>
      <c r="H227" s="160">
        <v>15000000</v>
      </c>
      <c r="I227" s="160">
        <v>15000000</v>
      </c>
      <c r="J227" s="160">
        <v>15000000</v>
      </c>
      <c r="K227" s="160">
        <f>Igazgatás!J256+Községgazd!J242+Közút!J231+Sport!J229+Közművelődés!J278+Támogatás!J242</f>
        <v>15000000</v>
      </c>
      <c r="L227" s="160">
        <f>Igazgatás!K256+Községgazd!K242+Közút!K231+Sport!K229+Közművelődés!K278+Támogatás!K242</f>
        <v>0</v>
      </c>
      <c r="M227" s="160">
        <f>Igazgatás!L256+Községgazd!L242+Közút!L231+Sport!L229+Közművelődés!L278+Támogatás!L242</f>
        <v>15000000</v>
      </c>
      <c r="N227" s="74">
        <f>Igazgatás!M256+Községgazd!P242+Vagyongazd!M227+Közút!M231+Sport!M229+Közművelődés!O278+Támogatás!S242</f>
        <v>0</v>
      </c>
      <c r="O227" s="13">
        <f>Igazgatás!N256+Községgazd!Q242+Vagyongazd!N227+Közút!N231+Sport!N229+Közművelődés!P278+Támogatás!T242</f>
        <v>0</v>
      </c>
      <c r="P227" s="79">
        <f>Igazgatás!O256+Községgazd!R242+Vagyongazd!O227+Közút!O231+Sport!O229+Közművelődés!Q278+Támogatás!U242</f>
        <v>0</v>
      </c>
      <c r="Q227" s="79">
        <f>Igazgatás!P256+Községgazd!S242+Vagyongazd!P227+Közút!P231+Sport!P229+Közművelődés!R278+Támogatás!V242</f>
        <v>0</v>
      </c>
      <c r="R227" s="13">
        <f>Igazgatás!Q256+Községgazd!T242+Vagyongazd!Q227+Közút!Q231+Sport!Q229+Közművelődés!S278+Támogatás!W242</f>
        <v>0</v>
      </c>
      <c r="S227" s="79">
        <f>Igazgatás!R256+Községgazd!U242+Vagyongazd!R227+Közút!R231+Sport!R229+Közművelődés!T278+Támogatás!X242</f>
        <v>0</v>
      </c>
      <c r="T227" s="79">
        <f>Igazgatás!S256+Községgazd!V242+Vagyongazd!S227+Közút!S231+Sport!S229+Közművelődés!U278+Támogatás!Y242</f>
        <v>0</v>
      </c>
      <c r="U227" s="45">
        <f>Igazgatás!T256+Községgazd!W242+Vagyongazd!T227+Közút!T231+Sport!T229+Közművelődés!V278+Támogatás!Z242</f>
        <v>0</v>
      </c>
      <c r="V227" s="342">
        <f>Igazgatás!U256+Községgazd!X242+Vagyongazd!U227+Közút!U231+Sport!U229+Közművelődés!W278+Támogatás!AA242</f>
        <v>0</v>
      </c>
      <c r="W227" s="79">
        <f>Igazgatás!V256+Községgazd!Y242+Vagyongazd!V227+Közút!V231+Sport!V229+Közművelődés!X278+Támogatás!AB242</f>
        <v>0</v>
      </c>
      <c r="X227" s="79">
        <f>Igazgatás!W256+Községgazd!Z242+Vagyongazd!W227+Közút!W231+Sport!W229+Közművelődés!Y278+Támogatás!AC242</f>
        <v>0</v>
      </c>
      <c r="Y227" s="45">
        <f>Igazgatás!X256+Községgazd!AA242+Vagyongazd!X227+Közút!X231+Sport!X229+Közművelődés!Z278+Támogatás!AD242</f>
        <v>15000000</v>
      </c>
      <c r="AB227" s="180"/>
    </row>
    <row r="228" spans="1:28" s="199" customFormat="1" ht="15" hidden="1" customHeight="1" x14ac:dyDescent="0.25">
      <c r="A228" s="118" t="s">
        <v>288</v>
      </c>
      <c r="B228" s="181" t="s">
        <v>693</v>
      </c>
      <c r="C228" s="228"/>
      <c r="D228" s="724" t="s">
        <v>705</v>
      </c>
      <c r="E228" s="724"/>
      <c r="F228" s="183" t="e">
        <v>#REF!</v>
      </c>
      <c r="G228" s="183" t="e">
        <v>#REF!</v>
      </c>
      <c r="H228" s="183" t="e">
        <v>#REF!</v>
      </c>
      <c r="I228" s="183" t="e">
        <v>#REF!</v>
      </c>
      <c r="J228" s="183" t="e">
        <v>#REF!</v>
      </c>
      <c r="K228" s="183" t="e">
        <f>Igazgatás!J257+Községgazd!J243+Vagyongazd!#REF!+Közút!J232+Sport!J230+Közművelődés!J279+Támogatás!J243</f>
        <v>#REF!</v>
      </c>
      <c r="L228" s="183" t="e">
        <f>Igazgatás!K257+Községgazd!K243+Vagyongazd!#REF!+Közút!K232+Sport!K230+Közművelődés!K279+Támogatás!K243</f>
        <v>#REF!</v>
      </c>
      <c r="M228" s="183" t="e">
        <f>Igazgatás!L257+Községgazd!L243+Vagyongazd!#REF!+Közút!L232+Sport!L230+Közművelődés!L279+Támogatás!L243</f>
        <v>#REF!</v>
      </c>
      <c r="N228" s="191">
        <f>Igazgatás!M257+Községgazd!P243+Vagyongazd!M228+Közút!M232+Sport!M230+Közművelődés!O279+Támogatás!S243</f>
        <v>0</v>
      </c>
      <c r="O228" s="185">
        <f>Igazgatás!N257+Községgazd!Q243+Vagyongazd!N228+Közút!N232+Sport!N230+Közművelődés!P279+Támogatás!T243</f>
        <v>0</v>
      </c>
      <c r="P228" s="186">
        <f>Igazgatás!O257+Községgazd!R243+Vagyongazd!O228+Közút!O232+Sport!O230+Közművelődés!Q279+Támogatás!U243</f>
        <v>0</v>
      </c>
      <c r="Q228" s="186">
        <f>Igazgatás!P257+Községgazd!S243+Vagyongazd!P228+Közút!P232+Sport!P230+Közművelődés!R279+Támogatás!V243</f>
        <v>0</v>
      </c>
      <c r="R228" s="185">
        <f>Igazgatás!Q257+Községgazd!T243+Vagyongazd!Q228+Közút!Q232+Sport!Q230+Közművelődés!S279+Támogatás!W243</f>
        <v>0</v>
      </c>
      <c r="S228" s="186">
        <f>Igazgatás!R257+Községgazd!U243+Vagyongazd!R228+Közút!R232+Sport!R230+Közművelődés!T279+Támogatás!X243</f>
        <v>0</v>
      </c>
      <c r="T228" s="186">
        <f>Igazgatás!S257+Községgazd!V243+Vagyongazd!S228+Közút!S232+Sport!S230+Közművelődés!U279+Támogatás!Y243</f>
        <v>0</v>
      </c>
      <c r="U228" s="187">
        <f>Igazgatás!T257+Községgazd!W243+Vagyongazd!T228+Közút!T232+Sport!T230+Közművelődés!V279+Támogatás!Z243</f>
        <v>0</v>
      </c>
      <c r="V228" s="340">
        <f>Igazgatás!U257+Községgazd!X243+Vagyongazd!U228+Közút!U232+Sport!U230+Közművelődés!W279+Támogatás!AA243</f>
        <v>0</v>
      </c>
      <c r="W228" s="186">
        <f>Igazgatás!V257+Községgazd!Y243+Vagyongazd!V228+Közút!V232+Sport!V230+Közművelődés!X279+Támogatás!AB243</f>
        <v>0</v>
      </c>
      <c r="X228" s="186">
        <f>Igazgatás!W257+Községgazd!Z243+Vagyongazd!W228+Közút!W232+Sport!W230+Közművelődés!Y279+Támogatás!AC243</f>
        <v>0</v>
      </c>
      <c r="Y228" s="187">
        <f>Igazgatás!X257+Községgazd!AA243+Vagyongazd!X228+Közút!X232+Sport!X230+Közművelődés!Z279+Támogatás!AD243</f>
        <v>0</v>
      </c>
      <c r="AB228" s="180"/>
    </row>
    <row r="229" spans="1:28" s="199" customFormat="1" ht="15" hidden="1" customHeight="1" x14ac:dyDescent="0.25">
      <c r="A229" s="118" t="s">
        <v>289</v>
      </c>
      <c r="B229" s="181" t="s">
        <v>694</v>
      </c>
      <c r="C229" s="190"/>
      <c r="D229" s="630" t="s">
        <v>706</v>
      </c>
      <c r="E229" s="630"/>
      <c r="F229" s="183" t="e">
        <v>#REF!</v>
      </c>
      <c r="G229" s="183" t="e">
        <v>#REF!</v>
      </c>
      <c r="H229" s="183" t="e">
        <v>#REF!</v>
      </c>
      <c r="I229" s="183" t="e">
        <v>#REF!</v>
      </c>
      <c r="J229" s="183" t="e">
        <v>#REF!</v>
      </c>
      <c r="K229" s="183" t="e">
        <f>Igazgatás!J258+Községgazd!J244+Vagyongazd!#REF!+Közút!J233+Sport!J231+Közművelődés!J280+Támogatás!J244</f>
        <v>#REF!</v>
      </c>
      <c r="L229" s="183" t="e">
        <f>Igazgatás!K258+Községgazd!K244+Vagyongazd!#REF!+Közút!K233+Sport!K231+Közművelődés!K280+Támogatás!K244</f>
        <v>#REF!</v>
      </c>
      <c r="M229" s="183" t="e">
        <f>Igazgatás!L258+Községgazd!L244+Vagyongazd!#REF!+Közút!L233+Sport!L231+Közművelődés!L280+Támogatás!L244</f>
        <v>#REF!</v>
      </c>
      <c r="N229" s="191">
        <f>Igazgatás!M258+Községgazd!P244+Vagyongazd!M229+Közút!M233+Sport!M231+Közművelődés!O280+Támogatás!S244</f>
        <v>0</v>
      </c>
      <c r="O229" s="185">
        <f>Igazgatás!N258+Községgazd!Q244+Vagyongazd!N229+Közút!N233+Sport!N231+Közművelődés!P280+Támogatás!T244</f>
        <v>0</v>
      </c>
      <c r="P229" s="186">
        <f>Igazgatás!O258+Községgazd!R244+Vagyongazd!O229+Közút!O233+Sport!O231+Közművelődés!Q280+Támogatás!U244</f>
        <v>0</v>
      </c>
      <c r="Q229" s="186">
        <f>Igazgatás!P258+Községgazd!S244+Vagyongazd!P229+Közút!P233+Sport!P231+Közművelődés!R280+Támogatás!V244</f>
        <v>0</v>
      </c>
      <c r="R229" s="185">
        <f>Igazgatás!Q258+Községgazd!T244+Vagyongazd!Q229+Közút!Q233+Sport!Q231+Közművelődés!S280+Támogatás!W244</f>
        <v>0</v>
      </c>
      <c r="S229" s="186">
        <f>Igazgatás!R258+Községgazd!U244+Vagyongazd!R229+Közút!R233+Sport!R231+Közművelődés!T280+Támogatás!X244</f>
        <v>0</v>
      </c>
      <c r="T229" s="186">
        <f>Igazgatás!S258+Községgazd!V244+Vagyongazd!S229+Közút!S233+Sport!S231+Közművelődés!U280+Támogatás!Y244</f>
        <v>0</v>
      </c>
      <c r="U229" s="187">
        <f>Igazgatás!T258+Községgazd!W244+Vagyongazd!T229+Közút!T233+Sport!T231+Közművelődés!V280+Támogatás!Z244</f>
        <v>0</v>
      </c>
      <c r="V229" s="340">
        <f>Igazgatás!U258+Községgazd!X244+Vagyongazd!U229+Közút!U233+Sport!U231+Közművelődés!W280+Támogatás!AA244</f>
        <v>0</v>
      </c>
      <c r="W229" s="186">
        <f>Igazgatás!V258+Községgazd!Y244+Vagyongazd!V229+Közút!V233+Sport!V231+Közművelődés!X280+Támogatás!AB244</f>
        <v>0</v>
      </c>
      <c r="X229" s="186">
        <f>Igazgatás!W258+Községgazd!Z244+Vagyongazd!W229+Közút!W233+Sport!W231+Közművelődés!Y280+Támogatás!AC244</f>
        <v>0</v>
      </c>
      <c r="Y229" s="187">
        <f>Igazgatás!X258+Községgazd!AA244+Vagyongazd!X229+Közút!X233+Sport!X231+Közművelődés!Z280+Támogatás!AD244</f>
        <v>0</v>
      </c>
      <c r="AB229" s="180"/>
    </row>
    <row r="230" spans="1:28" s="199" customFormat="1" ht="15" customHeight="1" x14ac:dyDescent="0.25">
      <c r="A230" s="118" t="s">
        <v>290</v>
      </c>
      <c r="B230" s="181" t="s">
        <v>695</v>
      </c>
      <c r="C230" s="190"/>
      <c r="D230" s="630" t="s">
        <v>707</v>
      </c>
      <c r="E230" s="630"/>
      <c r="F230" s="183">
        <v>20500000</v>
      </c>
      <c r="G230" s="183">
        <v>15000000</v>
      </c>
      <c r="H230" s="183">
        <v>15000000</v>
      </c>
      <c r="I230" s="183">
        <v>15000000</v>
      </c>
      <c r="J230" s="183">
        <v>15000000</v>
      </c>
      <c r="K230" s="183">
        <f>Igazgatás!J259+Községgazd!J245+Közút!J234+Sport!J232+Közművelődés!J281+Támogatás!J245</f>
        <v>15000000</v>
      </c>
      <c r="L230" s="183">
        <f>Igazgatás!K259+Községgazd!K245+Közút!K234+Sport!K232+Közművelődés!K281+Támogatás!K245</f>
        <v>0</v>
      </c>
      <c r="M230" s="183">
        <f>Igazgatás!L259+Községgazd!L245+Közút!L234+Sport!L232+Közművelődés!L281+Támogatás!L245</f>
        <v>15000000</v>
      </c>
      <c r="N230" s="191">
        <f>Igazgatás!M259+Községgazd!P245+Vagyongazd!M230+Közút!M234+Sport!M232+Közművelődés!O281+Támogatás!S245</f>
        <v>0</v>
      </c>
      <c r="O230" s="185">
        <f>Igazgatás!N259+Községgazd!Q245+Vagyongazd!N230+Közút!N234+Sport!N232+Közművelődés!P281+Támogatás!T245</f>
        <v>0</v>
      </c>
      <c r="P230" s="186">
        <f>Igazgatás!O259+Községgazd!R245+Vagyongazd!O230+Közút!O234+Sport!O232+Közművelődés!Q281+Támogatás!U245</f>
        <v>0</v>
      </c>
      <c r="Q230" s="186">
        <f>Igazgatás!P259+Községgazd!S245+Vagyongazd!P230+Közút!P234+Sport!P232+Közművelődés!R281+Támogatás!V245</f>
        <v>0</v>
      </c>
      <c r="R230" s="185">
        <f>Igazgatás!Q259+Községgazd!T245+Vagyongazd!Q230+Közút!Q234+Sport!Q232+Közművelődés!S281+Támogatás!W245</f>
        <v>0</v>
      </c>
      <c r="S230" s="186">
        <f>Igazgatás!R259+Községgazd!U245+Vagyongazd!R230+Közút!R234+Sport!R232+Közművelődés!T281+Támogatás!X245</f>
        <v>0</v>
      </c>
      <c r="T230" s="186">
        <f>Igazgatás!S259+Községgazd!V245+Vagyongazd!S230+Közút!S234+Sport!S232+Közművelődés!U281+Támogatás!Y245</f>
        <v>0</v>
      </c>
      <c r="U230" s="187">
        <f>Igazgatás!T259+Községgazd!W245+Vagyongazd!T230+Közút!T234+Sport!T232+Közművelődés!V281+Támogatás!Z245</f>
        <v>0</v>
      </c>
      <c r="V230" s="340">
        <f>Igazgatás!U259+Községgazd!X245+Vagyongazd!U230+Közút!U234+Sport!U232+Közművelődés!W281+Támogatás!AA245</f>
        <v>0</v>
      </c>
      <c r="W230" s="186">
        <f>Igazgatás!V259+Községgazd!Y245+Vagyongazd!V230+Közút!V234+Sport!V232+Közművelődés!X281+Támogatás!AB245</f>
        <v>0</v>
      </c>
      <c r="X230" s="186">
        <f>Igazgatás!W259+Községgazd!Z245+Vagyongazd!W230+Közút!W234+Sport!W232+Közművelődés!Y281+Támogatás!AC245</f>
        <v>0</v>
      </c>
      <c r="Y230" s="187">
        <f>Igazgatás!X259+Községgazd!AA245+Vagyongazd!X230+Közút!X234+Sport!X232+Közművelődés!Z281+Támogatás!AD245</f>
        <v>15000000</v>
      </c>
      <c r="AB230" s="180"/>
    </row>
    <row r="231" spans="1:28" s="18" customFormat="1" ht="15" hidden="1" customHeight="1" x14ac:dyDescent="0.25">
      <c r="A231" s="118"/>
      <c r="B231" s="53" t="s">
        <v>696</v>
      </c>
      <c r="C231" s="628" t="s">
        <v>291</v>
      </c>
      <c r="D231" s="629"/>
      <c r="E231" s="629"/>
      <c r="F231" s="160" t="e">
        <v>#REF!</v>
      </c>
      <c r="G231" s="160" t="e">
        <v>#REF!</v>
      </c>
      <c r="H231" s="160" t="e">
        <v>#REF!</v>
      </c>
      <c r="I231" s="160" t="e">
        <v>#REF!</v>
      </c>
      <c r="J231" s="160" t="e">
        <v>#REF!</v>
      </c>
      <c r="K231" s="160" t="e">
        <f>Igazgatás!J260+Községgazd!J246+Vagyongazd!#REF!+Közút!J235+Sport!J233+Közművelődés!J282+Támogatás!J246</f>
        <v>#REF!</v>
      </c>
      <c r="L231" s="160" t="e">
        <f>Igazgatás!K260+Községgazd!K246+Vagyongazd!#REF!+Közút!K235+Sport!K233+Közművelődés!K282+Támogatás!K246</f>
        <v>#REF!</v>
      </c>
      <c r="M231" s="160" t="e">
        <f>Igazgatás!L260+Községgazd!L246+Vagyongazd!#REF!+Közút!L235+Sport!L233+Közművelődés!L282+Támogatás!L246</f>
        <v>#REF!</v>
      </c>
      <c r="N231" s="74">
        <f>Igazgatás!M260+Községgazd!P246+Vagyongazd!M231+Közút!M235+Sport!M233+Közművelődés!O282+Támogatás!S246</f>
        <v>0</v>
      </c>
      <c r="O231" s="13">
        <f>Igazgatás!N260+Községgazd!Q246+Vagyongazd!N231+Közút!N235+Sport!N233+Közművelődés!P282+Támogatás!T246</f>
        <v>0</v>
      </c>
      <c r="P231" s="79">
        <f>Igazgatás!O260+Községgazd!R246+Vagyongazd!O231+Közút!O235+Sport!O233+Közművelődés!Q282+Támogatás!U246</f>
        <v>0</v>
      </c>
      <c r="Q231" s="79">
        <f>Igazgatás!P260+Községgazd!S246+Vagyongazd!P231+Közút!P235+Sport!P233+Közművelődés!R282+Támogatás!V246</f>
        <v>0</v>
      </c>
      <c r="R231" s="13">
        <f>Igazgatás!Q260+Községgazd!T246+Vagyongazd!Q231+Közút!Q235+Sport!Q233+Közművelődés!S282+Támogatás!W246</f>
        <v>0</v>
      </c>
      <c r="S231" s="79">
        <f>Igazgatás!R260+Községgazd!U246+Vagyongazd!R231+Közút!R235+Sport!R233+Közművelődés!T282+Támogatás!X246</f>
        <v>0</v>
      </c>
      <c r="T231" s="79">
        <f>Igazgatás!S260+Községgazd!V246+Vagyongazd!S231+Közút!S235+Sport!S233+Közművelődés!U282+Támogatás!Y246</f>
        <v>0</v>
      </c>
      <c r="U231" s="45">
        <f>Igazgatás!T260+Községgazd!W246+Vagyongazd!T231+Közút!T235+Sport!T233+Közművelődés!V282+Támogatás!Z246</f>
        <v>0</v>
      </c>
      <c r="V231" s="342">
        <f>Igazgatás!U260+Községgazd!X246+Vagyongazd!U231+Közút!U235+Sport!U233+Közművelődés!W282+Támogatás!AA246</f>
        <v>0</v>
      </c>
      <c r="W231" s="79">
        <f>Igazgatás!V260+Községgazd!Y246+Vagyongazd!V231+Közút!V235+Sport!V233+Közművelődés!X282+Támogatás!AB246</f>
        <v>0</v>
      </c>
      <c r="X231" s="79">
        <f>Igazgatás!W260+Községgazd!Z246+Vagyongazd!W231+Közút!W235+Sport!W233+Közművelődés!Y282+Támogatás!AC246</f>
        <v>0</v>
      </c>
      <c r="Y231" s="45">
        <f>Igazgatás!X260+Községgazd!AA246+Vagyongazd!X231+Közút!X235+Sport!X233+Közművelődés!Z282+Támogatás!AD246</f>
        <v>0</v>
      </c>
      <c r="AB231" s="180"/>
    </row>
    <row r="232" spans="1:28" s="199" customFormat="1" ht="15" hidden="1" customHeight="1" x14ac:dyDescent="0.25">
      <c r="A232" s="118" t="s">
        <v>292</v>
      </c>
      <c r="B232" s="181" t="s">
        <v>697</v>
      </c>
      <c r="C232" s="190"/>
      <c r="D232" s="630" t="s">
        <v>383</v>
      </c>
      <c r="E232" s="630"/>
      <c r="F232" s="183" t="e">
        <v>#REF!</v>
      </c>
      <c r="G232" s="183" t="e">
        <v>#REF!</v>
      </c>
      <c r="H232" s="183" t="e">
        <v>#REF!</v>
      </c>
      <c r="I232" s="183" t="e">
        <v>#REF!</v>
      </c>
      <c r="J232" s="183" t="e">
        <v>#REF!</v>
      </c>
      <c r="K232" s="183" t="e">
        <f>Igazgatás!J261+Községgazd!J247+Vagyongazd!#REF!+Közút!J236+Sport!J234+Közművelődés!J283+Támogatás!J247</f>
        <v>#REF!</v>
      </c>
      <c r="L232" s="183" t="e">
        <f>Igazgatás!K261+Községgazd!K247+Vagyongazd!#REF!+Közút!K236+Sport!K234+Közművelődés!K283+Támogatás!K247</f>
        <v>#REF!</v>
      </c>
      <c r="M232" s="183" t="e">
        <f>Igazgatás!L261+Községgazd!L247+Vagyongazd!#REF!+Közút!L236+Sport!L234+Közművelődés!L283+Támogatás!L247</f>
        <v>#REF!</v>
      </c>
      <c r="N232" s="191">
        <f>Igazgatás!M261+Községgazd!P247+Vagyongazd!M232+Közút!M236+Sport!M234+Közművelődés!O283+Támogatás!S247</f>
        <v>0</v>
      </c>
      <c r="O232" s="185">
        <f>Igazgatás!N261+Községgazd!Q247+Vagyongazd!N232+Közút!N236+Sport!N234+Közművelődés!P283+Támogatás!T247</f>
        <v>0</v>
      </c>
      <c r="P232" s="186">
        <f>Igazgatás!O261+Községgazd!R247+Vagyongazd!O232+Közút!O236+Sport!O234+Közművelődés!Q283+Támogatás!U247</f>
        <v>0</v>
      </c>
      <c r="Q232" s="186">
        <f>Igazgatás!P261+Községgazd!S247+Vagyongazd!P232+Közút!P236+Sport!P234+Közművelődés!R283+Támogatás!V247</f>
        <v>0</v>
      </c>
      <c r="R232" s="185">
        <f>Igazgatás!Q261+Községgazd!T247+Vagyongazd!Q232+Közút!Q236+Sport!Q234+Közművelődés!S283+Támogatás!W247</f>
        <v>0</v>
      </c>
      <c r="S232" s="186">
        <f>Igazgatás!R261+Községgazd!U247+Vagyongazd!R232+Közút!R236+Sport!R234+Közművelődés!T283+Támogatás!X247</f>
        <v>0</v>
      </c>
      <c r="T232" s="186">
        <f>Igazgatás!S261+Községgazd!V247+Vagyongazd!S232+Közút!S236+Sport!S234+Közművelődés!U283+Támogatás!Y247</f>
        <v>0</v>
      </c>
      <c r="U232" s="187">
        <f>Igazgatás!T261+Községgazd!W247+Vagyongazd!T232+Közút!T236+Sport!T234+Közművelődés!V283+Támogatás!Z247</f>
        <v>0</v>
      </c>
      <c r="V232" s="340">
        <f>Igazgatás!U261+Községgazd!X247+Vagyongazd!U232+Közút!U236+Sport!U234+Közművelődés!W283+Támogatás!AA247</f>
        <v>0</v>
      </c>
      <c r="W232" s="186">
        <f>Igazgatás!V261+Községgazd!Y247+Vagyongazd!V232+Közút!V236+Sport!V234+Közművelődés!X283+Támogatás!AB247</f>
        <v>0</v>
      </c>
      <c r="X232" s="186">
        <f>Igazgatás!W261+Községgazd!Z247+Vagyongazd!W232+Közút!W236+Sport!W234+Közművelődés!Y283+Támogatás!AC247</f>
        <v>0</v>
      </c>
      <c r="Y232" s="187">
        <f>Igazgatás!X261+Községgazd!AA247+Vagyongazd!X232+Közút!X236+Sport!X234+Közművelődés!Z283+Támogatás!AD247</f>
        <v>0</v>
      </c>
      <c r="AB232" s="180"/>
    </row>
    <row r="233" spans="1:28" s="199" customFormat="1" ht="15" hidden="1" customHeight="1" x14ac:dyDescent="0.25">
      <c r="A233" s="118" t="s">
        <v>293</v>
      </c>
      <c r="B233" s="181" t="s">
        <v>698</v>
      </c>
      <c r="C233" s="190"/>
      <c r="D233" s="630" t="s">
        <v>384</v>
      </c>
      <c r="E233" s="630"/>
      <c r="F233" s="183" t="e">
        <v>#REF!</v>
      </c>
      <c r="G233" s="183" t="e">
        <v>#REF!</v>
      </c>
      <c r="H233" s="183" t="e">
        <v>#REF!</v>
      </c>
      <c r="I233" s="183" t="e">
        <v>#REF!</v>
      </c>
      <c r="J233" s="183" t="e">
        <v>#REF!</v>
      </c>
      <c r="K233" s="183" t="e">
        <f>Igazgatás!J262+Községgazd!J248+Vagyongazd!#REF!+Közút!J237+Sport!J235+Közművelődés!J284+Támogatás!J248</f>
        <v>#REF!</v>
      </c>
      <c r="L233" s="183" t="e">
        <f>Igazgatás!K262+Községgazd!K248+Vagyongazd!#REF!+Közút!K237+Sport!K235+Közművelődés!K284+Támogatás!K248</f>
        <v>#REF!</v>
      </c>
      <c r="M233" s="183" t="e">
        <f>Igazgatás!L262+Községgazd!L248+Vagyongazd!#REF!+Közút!L237+Sport!L235+Közművelődés!L284+Támogatás!L248</f>
        <v>#REF!</v>
      </c>
      <c r="N233" s="191">
        <f>Igazgatás!M262+Községgazd!P248+Vagyongazd!M233+Közút!M237+Sport!M235+Közművelődés!O284+Támogatás!S248</f>
        <v>0</v>
      </c>
      <c r="O233" s="185">
        <f>Igazgatás!N262+Községgazd!Q248+Vagyongazd!N233+Közút!N237+Sport!N235+Közművelődés!P284+Támogatás!T248</f>
        <v>0</v>
      </c>
      <c r="P233" s="186">
        <f>Igazgatás!O262+Községgazd!R248+Vagyongazd!O233+Közút!O237+Sport!O235+Közművelődés!Q284+Támogatás!U248</f>
        <v>0</v>
      </c>
      <c r="Q233" s="186">
        <f>Igazgatás!P262+Községgazd!S248+Vagyongazd!P233+Közút!P237+Sport!P235+Közművelődés!R284+Támogatás!V248</f>
        <v>0</v>
      </c>
      <c r="R233" s="185">
        <f>Igazgatás!Q262+Községgazd!T248+Vagyongazd!Q233+Közút!Q237+Sport!Q235+Közművelődés!S284+Támogatás!W248</f>
        <v>0</v>
      </c>
      <c r="S233" s="186">
        <f>Igazgatás!R262+Községgazd!U248+Vagyongazd!R233+Közút!R237+Sport!R235+Közművelődés!T284+Támogatás!X248</f>
        <v>0</v>
      </c>
      <c r="T233" s="186">
        <f>Igazgatás!S262+Községgazd!V248+Vagyongazd!S233+Közút!S237+Sport!S235+Közművelődés!U284+Támogatás!Y248</f>
        <v>0</v>
      </c>
      <c r="U233" s="187">
        <f>Igazgatás!T262+Községgazd!W248+Vagyongazd!T233+Közút!T237+Sport!T235+Közművelődés!V284+Támogatás!Z248</f>
        <v>0</v>
      </c>
      <c r="V233" s="340">
        <f>Igazgatás!U262+Községgazd!X248+Vagyongazd!U233+Közút!U237+Sport!U235+Közművelődés!W284+Támogatás!AA248</f>
        <v>0</v>
      </c>
      <c r="W233" s="186">
        <f>Igazgatás!V262+Községgazd!Y248+Vagyongazd!V233+Közút!V237+Sport!V235+Közművelődés!X284+Támogatás!AB248</f>
        <v>0</v>
      </c>
      <c r="X233" s="186">
        <f>Igazgatás!W262+Községgazd!Z248+Vagyongazd!W233+Közút!W237+Sport!W235+Közművelődés!Y284+Támogatás!AC248</f>
        <v>0</v>
      </c>
      <c r="Y233" s="187">
        <f>Igazgatás!X262+Községgazd!AA248+Vagyongazd!X233+Közút!X237+Sport!X235+Közművelődés!Z284+Támogatás!AD248</f>
        <v>0</v>
      </c>
      <c r="AB233" s="180"/>
    </row>
    <row r="234" spans="1:28" s="199" customFormat="1" ht="15" hidden="1" customHeight="1" x14ac:dyDescent="0.25">
      <c r="A234" s="118" t="s">
        <v>885</v>
      </c>
      <c r="B234" s="181" t="s">
        <v>886</v>
      </c>
      <c r="C234" s="190"/>
      <c r="D234" s="630" t="s">
        <v>887</v>
      </c>
      <c r="E234" s="630"/>
      <c r="F234" s="183" t="e">
        <v>#REF!</v>
      </c>
      <c r="G234" s="183" t="e">
        <v>#REF!</v>
      </c>
      <c r="H234" s="183" t="e">
        <v>#REF!</v>
      </c>
      <c r="I234" s="183" t="e">
        <v>#REF!</v>
      </c>
      <c r="J234" s="183" t="e">
        <v>#REF!</v>
      </c>
      <c r="K234" s="183" t="e">
        <f>Igazgatás!J263+Községgazd!J249+Vagyongazd!#REF!+Közút!J238+Sport!J236+Közművelődés!J285+Támogatás!J249</f>
        <v>#REF!</v>
      </c>
      <c r="L234" s="183" t="e">
        <f>Igazgatás!K263+Községgazd!K249+Vagyongazd!#REF!+Közút!K238+Sport!K236+Közművelődés!K285+Támogatás!K249</f>
        <v>#REF!</v>
      </c>
      <c r="M234" s="183" t="e">
        <f>Igazgatás!L263+Községgazd!L249+Vagyongazd!#REF!+Közút!L238+Sport!L236+Közművelődés!L285+Támogatás!L249</f>
        <v>#REF!</v>
      </c>
      <c r="N234" s="191">
        <f>Igazgatás!M263+Községgazd!P249+Vagyongazd!M234+Közút!M238+Sport!M236+Közművelődés!O285+Támogatás!S249</f>
        <v>0</v>
      </c>
      <c r="O234" s="185">
        <f>Igazgatás!N263+Községgazd!Q249+Vagyongazd!N234+Közút!N238+Sport!N236+Közművelődés!P285+Támogatás!T249</f>
        <v>0</v>
      </c>
      <c r="P234" s="186">
        <f>Igazgatás!O263+Községgazd!R249+Vagyongazd!O234+Közút!O238+Sport!O236+Közművelődés!Q285+Támogatás!U249</f>
        <v>0</v>
      </c>
      <c r="Q234" s="186">
        <f>Igazgatás!P263+Községgazd!S249+Vagyongazd!P234+Közút!P238+Sport!P236+Közművelődés!R285+Támogatás!V249</f>
        <v>0</v>
      </c>
      <c r="R234" s="185">
        <f>Igazgatás!Q263+Községgazd!T249+Vagyongazd!Q234+Közút!Q238+Sport!Q236+Közművelődés!S285+Támogatás!W249</f>
        <v>0</v>
      </c>
      <c r="S234" s="186">
        <f>Igazgatás!R263+Községgazd!U249+Vagyongazd!R234+Közút!R238+Sport!R236+Közművelődés!T285+Támogatás!X249</f>
        <v>0</v>
      </c>
      <c r="T234" s="186">
        <f>Igazgatás!S263+Községgazd!V249+Vagyongazd!S234+Közút!S238+Sport!S236+Közművelődés!U285+Támogatás!Y249</f>
        <v>0</v>
      </c>
      <c r="U234" s="187">
        <f>Igazgatás!T263+Községgazd!W249+Vagyongazd!T234+Közút!T238+Sport!T236+Közművelődés!V285+Támogatás!Z249</f>
        <v>0</v>
      </c>
      <c r="V234" s="340">
        <f>Igazgatás!U263+Községgazd!X249+Vagyongazd!U234+Közút!U238+Sport!U236+Közművelődés!W285+Támogatás!AA249</f>
        <v>0</v>
      </c>
      <c r="W234" s="186">
        <f>Igazgatás!V263+Községgazd!Y249+Vagyongazd!V234+Közút!V238+Sport!V236+Közművelődés!X285+Támogatás!AB249</f>
        <v>0</v>
      </c>
      <c r="X234" s="186">
        <f>Igazgatás!W263+Községgazd!Z249+Vagyongazd!W234+Közút!W238+Sport!W236+Közművelődés!Y285+Támogatás!AC249</f>
        <v>0</v>
      </c>
      <c r="Y234" s="187">
        <f>Igazgatás!X263+Községgazd!AA249+Vagyongazd!X234+Közút!X238+Sport!X236+Közművelődés!Z285+Támogatás!AD249</f>
        <v>0</v>
      </c>
      <c r="AB234" s="180"/>
    </row>
    <row r="235" spans="1:28" s="199" customFormat="1" ht="15" hidden="1" customHeight="1" x14ac:dyDescent="0.25">
      <c r="A235" s="118" t="s">
        <v>294</v>
      </c>
      <c r="B235" s="181" t="s">
        <v>699</v>
      </c>
      <c r="C235" s="190"/>
      <c r="D235" s="630" t="s">
        <v>295</v>
      </c>
      <c r="E235" s="630"/>
      <c r="F235" s="183" t="e">
        <v>#REF!</v>
      </c>
      <c r="G235" s="183" t="e">
        <v>#REF!</v>
      </c>
      <c r="H235" s="183" t="e">
        <v>#REF!</v>
      </c>
      <c r="I235" s="183" t="e">
        <v>#REF!</v>
      </c>
      <c r="J235" s="183" t="e">
        <v>#REF!</v>
      </c>
      <c r="K235" s="183" t="e">
        <f>Igazgatás!J264+Községgazd!J250+Vagyongazd!#REF!+Közút!J239+Sport!J237+Közművelődés!J286+Támogatás!J250</f>
        <v>#REF!</v>
      </c>
      <c r="L235" s="183" t="e">
        <f>Igazgatás!K264+Községgazd!K250+Vagyongazd!#REF!+Közút!K239+Sport!K237+Közművelődés!K286+Támogatás!K250</f>
        <v>#REF!</v>
      </c>
      <c r="M235" s="183" t="e">
        <f>Igazgatás!L264+Községgazd!L250+Vagyongazd!#REF!+Közút!L239+Sport!L237+Közművelődés!L286+Támogatás!L250</f>
        <v>#REF!</v>
      </c>
      <c r="N235" s="191">
        <f>Igazgatás!M264+Községgazd!P250+Vagyongazd!M235+Közút!M239+Sport!M237+Közművelődés!O286+Támogatás!S250</f>
        <v>0</v>
      </c>
      <c r="O235" s="185">
        <f>Igazgatás!N264+Községgazd!Q250+Vagyongazd!N235+Közút!N239+Sport!N237+Közművelődés!P286+Támogatás!T250</f>
        <v>0</v>
      </c>
      <c r="P235" s="186">
        <f>Igazgatás!O264+Községgazd!R250+Vagyongazd!O235+Közút!O239+Sport!O237+Közművelődés!Q286+Támogatás!U250</f>
        <v>0</v>
      </c>
      <c r="Q235" s="186">
        <f>Igazgatás!P264+Községgazd!S250+Vagyongazd!P235+Közút!P239+Sport!P237+Közművelődés!R286+Támogatás!V250</f>
        <v>0</v>
      </c>
      <c r="R235" s="185">
        <f>Igazgatás!Q264+Községgazd!T250+Vagyongazd!Q235+Közút!Q239+Sport!Q237+Közművelődés!S286+Támogatás!W250</f>
        <v>0</v>
      </c>
      <c r="S235" s="186">
        <f>Igazgatás!R264+Községgazd!U250+Vagyongazd!R235+Közút!R239+Sport!R237+Közművelődés!T286+Támogatás!X250</f>
        <v>0</v>
      </c>
      <c r="T235" s="186">
        <f>Igazgatás!S264+Községgazd!V250+Vagyongazd!S235+Közút!S239+Sport!S237+Közművelődés!U286+Támogatás!Y250</f>
        <v>0</v>
      </c>
      <c r="U235" s="187">
        <f>Igazgatás!T264+Községgazd!W250+Vagyongazd!T235+Közút!T239+Sport!T237+Közművelődés!V286+Támogatás!Z250</f>
        <v>0</v>
      </c>
      <c r="V235" s="340">
        <f>Igazgatás!U264+Községgazd!X250+Vagyongazd!U235+Közút!U239+Sport!U237+Közművelődés!W286+Támogatás!AA250</f>
        <v>0</v>
      </c>
      <c r="W235" s="186">
        <f>Igazgatás!V264+Községgazd!Y250+Vagyongazd!V235+Közút!V239+Sport!V237+Közművelődés!X286+Támogatás!AB250</f>
        <v>0</v>
      </c>
      <c r="X235" s="186">
        <f>Igazgatás!W264+Községgazd!Z250+Vagyongazd!W235+Közút!W239+Sport!W237+Közművelődés!Y286+Támogatás!AC250</f>
        <v>0</v>
      </c>
      <c r="Y235" s="187">
        <f>Igazgatás!X264+Községgazd!AA250+Vagyongazd!X235+Közút!X239+Sport!X237+Közművelődés!Z286+Támogatás!AD250</f>
        <v>0</v>
      </c>
      <c r="AB235" s="180"/>
    </row>
    <row r="236" spans="1:28" s="199" customFormat="1" ht="15" hidden="1" customHeight="1" x14ac:dyDescent="0.25">
      <c r="A236" s="118" t="s">
        <v>296</v>
      </c>
      <c r="B236" s="181" t="s">
        <v>700</v>
      </c>
      <c r="C236" s="190"/>
      <c r="D236" s="630" t="s">
        <v>297</v>
      </c>
      <c r="E236" s="630"/>
      <c r="F236" s="183" t="e">
        <v>#REF!</v>
      </c>
      <c r="G236" s="183" t="e">
        <v>#REF!</v>
      </c>
      <c r="H236" s="183" t="e">
        <v>#REF!</v>
      </c>
      <c r="I236" s="183" t="e">
        <v>#REF!</v>
      </c>
      <c r="J236" s="183" t="e">
        <v>#REF!</v>
      </c>
      <c r="K236" s="183" t="e">
        <f>Igazgatás!J265+Községgazd!J251+Vagyongazd!#REF!+Közút!J240+Sport!J238+Közművelődés!J287+Támogatás!J251</f>
        <v>#REF!</v>
      </c>
      <c r="L236" s="183" t="e">
        <f>Igazgatás!K265+Községgazd!K251+Vagyongazd!#REF!+Közút!K240+Sport!K238+Közművelődés!K287+Támogatás!K251</f>
        <v>#REF!</v>
      </c>
      <c r="M236" s="183" t="e">
        <f>Igazgatás!L265+Községgazd!L251+Vagyongazd!#REF!+Közút!L240+Sport!L238+Közművelődés!L287+Támogatás!L251</f>
        <v>#REF!</v>
      </c>
      <c r="N236" s="191">
        <f>Igazgatás!M265+Községgazd!P251+Vagyongazd!M236+Közút!M240+Sport!M238+Közművelődés!O287+Támogatás!S251</f>
        <v>0</v>
      </c>
      <c r="O236" s="185">
        <f>Igazgatás!N265+Községgazd!Q251+Vagyongazd!N236+Közút!N240+Sport!N238+Közművelődés!P287+Támogatás!T251</f>
        <v>0</v>
      </c>
      <c r="P236" s="186">
        <f>Igazgatás!O265+Községgazd!R251+Vagyongazd!O236+Közút!O240+Sport!O238+Közművelődés!Q287+Támogatás!U251</f>
        <v>0</v>
      </c>
      <c r="Q236" s="186">
        <f>Igazgatás!P265+Községgazd!S251+Vagyongazd!P236+Közút!P240+Sport!P238+Közművelődés!R287+Támogatás!V251</f>
        <v>0</v>
      </c>
      <c r="R236" s="185">
        <f>Igazgatás!Q265+Községgazd!T251+Vagyongazd!Q236+Közút!Q240+Sport!Q238+Közművelődés!S287+Támogatás!W251</f>
        <v>0</v>
      </c>
      <c r="S236" s="186">
        <f>Igazgatás!R265+Községgazd!U251+Vagyongazd!R236+Közút!R240+Sport!R238+Közművelődés!T287+Támogatás!X251</f>
        <v>0</v>
      </c>
      <c r="T236" s="186">
        <f>Igazgatás!S265+Községgazd!V251+Vagyongazd!S236+Közút!S240+Sport!S238+Közművelődés!U287+Támogatás!Y251</f>
        <v>0</v>
      </c>
      <c r="U236" s="187">
        <f>Igazgatás!T265+Községgazd!W251+Vagyongazd!T236+Közút!T240+Sport!T238+Közművelődés!V287+Támogatás!Z251</f>
        <v>0</v>
      </c>
      <c r="V236" s="340">
        <f>Igazgatás!U265+Községgazd!X251+Vagyongazd!U236+Közút!U240+Sport!U238+Közművelődés!W287+Támogatás!AA251</f>
        <v>0</v>
      </c>
      <c r="W236" s="186">
        <f>Igazgatás!V265+Községgazd!Y251+Vagyongazd!V236+Közút!V240+Sport!V238+Közművelődés!X287+Támogatás!AB251</f>
        <v>0</v>
      </c>
      <c r="X236" s="186">
        <f>Igazgatás!W265+Községgazd!Z251+Vagyongazd!W236+Közút!W240+Sport!W238+Közművelődés!Y287+Támogatás!AC251</f>
        <v>0</v>
      </c>
      <c r="Y236" s="187">
        <f>Igazgatás!X265+Községgazd!AA251+Vagyongazd!X236+Közút!X240+Sport!X238+Közművelődés!Z287+Támogatás!AD251</f>
        <v>0</v>
      </c>
      <c r="AB236" s="180"/>
    </row>
    <row r="237" spans="1:28" s="199" customFormat="1" ht="15" hidden="1" customHeight="1" x14ac:dyDescent="0.25">
      <c r="A237" s="118" t="s">
        <v>888</v>
      </c>
      <c r="B237" s="181" t="s">
        <v>889</v>
      </c>
      <c r="C237" s="190"/>
      <c r="D237" s="630" t="s">
        <v>890</v>
      </c>
      <c r="E237" s="630"/>
      <c r="F237" s="183" t="e">
        <v>#REF!</v>
      </c>
      <c r="G237" s="183" t="e">
        <v>#REF!</v>
      </c>
      <c r="H237" s="183" t="e">
        <v>#REF!</v>
      </c>
      <c r="I237" s="183" t="e">
        <v>#REF!</v>
      </c>
      <c r="J237" s="183" t="e">
        <v>#REF!</v>
      </c>
      <c r="K237" s="183" t="e">
        <f>Igazgatás!J266+Községgazd!J252+Vagyongazd!#REF!+Közút!J241+Sport!J239+Közművelődés!J288+Támogatás!J252</f>
        <v>#REF!</v>
      </c>
      <c r="L237" s="183" t="e">
        <f>Igazgatás!K266+Községgazd!K252+Vagyongazd!#REF!+Közút!K241+Sport!K239+Közművelődés!K288+Támogatás!K252</f>
        <v>#REF!</v>
      </c>
      <c r="M237" s="183" t="e">
        <f>Igazgatás!L266+Községgazd!L252+Vagyongazd!#REF!+Közút!L241+Sport!L239+Közművelődés!L288+Támogatás!L252</f>
        <v>#REF!</v>
      </c>
      <c r="N237" s="191">
        <f>Igazgatás!M266+Községgazd!P252+Vagyongazd!M237+Közút!M241+Sport!M239+Közművelődés!O288+Támogatás!S252</f>
        <v>0</v>
      </c>
      <c r="O237" s="185">
        <f>Igazgatás!N266+Községgazd!Q252+Vagyongazd!N237+Közút!N241+Sport!N239+Közművelődés!P288+Támogatás!T252</f>
        <v>0</v>
      </c>
      <c r="P237" s="186">
        <f>Igazgatás!O266+Községgazd!R252+Vagyongazd!O237+Közút!O241+Sport!O239+Közművelődés!Q288+Támogatás!U252</f>
        <v>0</v>
      </c>
      <c r="Q237" s="186">
        <f>Igazgatás!P266+Községgazd!S252+Vagyongazd!P237+Közút!P241+Sport!P239+Közművelődés!R288+Támogatás!V252</f>
        <v>0</v>
      </c>
      <c r="R237" s="185">
        <f>Igazgatás!Q266+Községgazd!T252+Vagyongazd!Q237+Közút!Q241+Sport!Q239+Közművelődés!S288+Támogatás!W252</f>
        <v>0</v>
      </c>
      <c r="S237" s="186">
        <f>Igazgatás!R266+Községgazd!U252+Vagyongazd!R237+Közút!R241+Sport!R239+Közművelődés!T288+Támogatás!X252</f>
        <v>0</v>
      </c>
      <c r="T237" s="186">
        <f>Igazgatás!S266+Községgazd!V252+Vagyongazd!S237+Közút!S241+Sport!S239+Közművelődés!U288+Támogatás!Y252</f>
        <v>0</v>
      </c>
      <c r="U237" s="187">
        <f>Igazgatás!T266+Községgazd!W252+Vagyongazd!T237+Közút!T241+Sport!T239+Közművelődés!V288+Támogatás!Z252</f>
        <v>0</v>
      </c>
      <c r="V237" s="340">
        <f>Igazgatás!U266+Községgazd!X252+Vagyongazd!U237+Közút!U241+Sport!U239+Közművelődés!W288+Támogatás!AA252</f>
        <v>0</v>
      </c>
      <c r="W237" s="186">
        <f>Igazgatás!V266+Községgazd!Y252+Vagyongazd!V237+Közút!V241+Sport!V239+Közművelődés!X288+Támogatás!AB252</f>
        <v>0</v>
      </c>
      <c r="X237" s="186">
        <f>Igazgatás!W266+Községgazd!Z252+Vagyongazd!W237+Közút!W241+Sport!W239+Közművelődés!Y288+Támogatás!AC252</f>
        <v>0</v>
      </c>
      <c r="Y237" s="187">
        <f>Igazgatás!X266+Községgazd!AA252+Vagyongazd!X237+Közút!X241+Sport!X239+Közművelődés!Z288+Támogatás!AD252</f>
        <v>0</v>
      </c>
      <c r="AB237" s="180"/>
    </row>
    <row r="238" spans="1:28" s="41" customFormat="1" ht="15" hidden="1" customHeight="1" x14ac:dyDescent="0.25">
      <c r="A238" s="118" t="s">
        <v>891</v>
      </c>
      <c r="B238" s="53" t="s">
        <v>892</v>
      </c>
      <c r="C238" s="628" t="s">
        <v>893</v>
      </c>
      <c r="D238" s="629"/>
      <c r="E238" s="629"/>
      <c r="F238" s="160" t="e">
        <v>#REF!</v>
      </c>
      <c r="G238" s="160" t="e">
        <v>#REF!</v>
      </c>
      <c r="H238" s="160" t="e">
        <v>#REF!</v>
      </c>
      <c r="I238" s="160" t="e">
        <v>#REF!</v>
      </c>
      <c r="J238" s="160" t="e">
        <v>#REF!</v>
      </c>
      <c r="K238" s="160" t="e">
        <f>Igazgatás!J267+Községgazd!J253+Vagyongazd!#REF!+Közút!J242+Sport!J240+Közművelődés!J289+Támogatás!J253</f>
        <v>#REF!</v>
      </c>
      <c r="L238" s="160" t="e">
        <f>Igazgatás!K267+Községgazd!K253+Vagyongazd!#REF!+Közút!K242+Sport!K240+Közművelődés!K289+Támogatás!K253</f>
        <v>#REF!</v>
      </c>
      <c r="M238" s="160" t="e">
        <f>Igazgatás!L267+Községgazd!L253+Vagyongazd!#REF!+Közút!L242+Sport!L240+Közművelődés!L289+Támogatás!L253</f>
        <v>#REF!</v>
      </c>
      <c r="N238" s="74">
        <f>Igazgatás!M267+Községgazd!P253+Vagyongazd!M238+Közút!M242+Sport!M240+Közművelődés!O289+Támogatás!S253</f>
        <v>0</v>
      </c>
      <c r="O238" s="13">
        <f>Igazgatás!N267+Községgazd!Q253+Vagyongazd!N238+Közút!N242+Sport!N240+Közművelődés!P289+Támogatás!T253</f>
        <v>0</v>
      </c>
      <c r="P238" s="79">
        <f>Igazgatás!O267+Községgazd!R253+Vagyongazd!O238+Közút!O242+Sport!O240+Közművelődés!Q289+Támogatás!U253</f>
        <v>0</v>
      </c>
      <c r="Q238" s="79">
        <f>Igazgatás!P267+Községgazd!S253+Vagyongazd!P238+Közút!P242+Sport!P240+Közművelődés!R289+Támogatás!V253</f>
        <v>0</v>
      </c>
      <c r="R238" s="13">
        <f>Igazgatás!Q267+Községgazd!T253+Vagyongazd!Q238+Közút!Q242+Sport!Q240+Közművelődés!S289+Támogatás!W253</f>
        <v>0</v>
      </c>
      <c r="S238" s="79">
        <f>Igazgatás!R267+Községgazd!U253+Vagyongazd!R238+Közút!R242+Sport!R240+Közművelődés!T289+Támogatás!X253</f>
        <v>0</v>
      </c>
      <c r="T238" s="79">
        <f>Igazgatás!S267+Községgazd!V253+Vagyongazd!S238+Közút!S242+Sport!S240+Közművelődés!U289+Támogatás!Y253</f>
        <v>0</v>
      </c>
      <c r="U238" s="45">
        <f>Igazgatás!T267+Községgazd!W253+Vagyongazd!T238+Közút!T242+Sport!T240+Közművelődés!V289+Támogatás!Z253</f>
        <v>0</v>
      </c>
      <c r="V238" s="342">
        <f>Igazgatás!U267+Községgazd!X253+Vagyongazd!U238+Közút!U242+Sport!U240+Közművelődés!W289+Támogatás!AA253</f>
        <v>0</v>
      </c>
      <c r="W238" s="79">
        <f>Igazgatás!V267+Községgazd!Y253+Vagyongazd!V238+Közút!V242+Sport!V240+Közművelődés!X289+Támogatás!AB253</f>
        <v>0</v>
      </c>
      <c r="X238" s="79">
        <f>Igazgatás!W267+Községgazd!Z253+Vagyongazd!W238+Közút!W242+Sport!W240+Közművelődés!Y289+Támogatás!AC253</f>
        <v>0</v>
      </c>
      <c r="Y238" s="45">
        <f>Igazgatás!X267+Községgazd!AA253+Vagyongazd!X238+Közút!X242+Sport!X240+Közművelődés!Z289+Támogatás!AD253</f>
        <v>0</v>
      </c>
      <c r="AB238" s="180"/>
    </row>
    <row r="239" spans="1:28" s="41" customFormat="1" ht="15.75" thickBot="1" x14ac:dyDescent="0.3">
      <c r="A239" s="118" t="s">
        <v>298</v>
      </c>
      <c r="B239" s="53" t="s">
        <v>701</v>
      </c>
      <c r="C239" s="628" t="s">
        <v>299</v>
      </c>
      <c r="D239" s="629"/>
      <c r="E239" s="629"/>
      <c r="F239" s="160">
        <v>748453</v>
      </c>
      <c r="G239" s="160">
        <v>748453</v>
      </c>
      <c r="H239" s="160">
        <v>748453</v>
      </c>
      <c r="I239" s="160">
        <v>748453</v>
      </c>
      <c r="J239" s="160">
        <v>748453</v>
      </c>
      <c r="K239" s="160">
        <f>Igazgatás!J268+Községgazd!J254+Közút!J243+Sport!J241+Közművelődés!J290+Támogatás!J254</f>
        <v>748453</v>
      </c>
      <c r="L239" s="160">
        <f>Igazgatás!K268+Községgazd!K254+Közút!K243+Sport!K241+Közművelődés!K290+Támogatás!K254</f>
        <v>0</v>
      </c>
      <c r="M239" s="160">
        <f>Igazgatás!L268+Községgazd!L254+Közút!L243+Sport!L241+Közművelődés!L290+Támogatás!L254</f>
        <v>748453</v>
      </c>
      <c r="N239" s="74">
        <f>Igazgatás!M268+Községgazd!P254+Vagyongazd!M239+Közút!M243+Sport!M241+Közművelődés!O290+Támogatás!S254</f>
        <v>748453</v>
      </c>
      <c r="O239" s="13">
        <f>Igazgatás!N268+Községgazd!Q254+Vagyongazd!N239+Közút!N243+Sport!N241+Közművelődés!P290+Támogatás!T254</f>
        <v>0</v>
      </c>
      <c r="P239" s="79">
        <f>Igazgatás!O268+Községgazd!R254+Vagyongazd!O239+Közút!O243+Sport!O241+Közművelődés!Q290+Támogatás!U254</f>
        <v>0</v>
      </c>
      <c r="Q239" s="79">
        <f>Igazgatás!P268+Községgazd!S254+Vagyongazd!P239+Közút!P243+Sport!P241+Közművelődés!R290+Támogatás!V254</f>
        <v>0</v>
      </c>
      <c r="R239" s="13">
        <f>Igazgatás!Q268+Községgazd!T254+Vagyongazd!Q239+Közút!Q243+Sport!Q241+Közművelődés!S290+Támogatás!W254</f>
        <v>0</v>
      </c>
      <c r="S239" s="79">
        <f>Igazgatás!R268+Községgazd!U254+Vagyongazd!R239+Közút!R243+Sport!R241+Közművelődés!T290+Támogatás!X254</f>
        <v>0</v>
      </c>
      <c r="T239" s="79">
        <f>Igazgatás!S268+Községgazd!V254+Vagyongazd!S239+Közút!S243+Sport!S241+Közművelődés!U290+Támogatás!Y254</f>
        <v>0</v>
      </c>
      <c r="U239" s="45">
        <f>Igazgatás!T268+Községgazd!W254+Vagyongazd!T239+Közút!T243+Sport!T241+Közművelődés!V290+Támogatás!Z254</f>
        <v>0</v>
      </c>
      <c r="V239" s="342">
        <f>Igazgatás!U268+Községgazd!X254+Vagyongazd!U239+Közút!U243+Sport!U241+Közművelődés!W290+Támogatás!AA254</f>
        <v>0</v>
      </c>
      <c r="W239" s="79">
        <f>Igazgatás!V268+Községgazd!Y254+Vagyongazd!V239+Közút!V243+Sport!V241+Közművelődés!X290+Támogatás!AB254</f>
        <v>0</v>
      </c>
      <c r="X239" s="79">
        <f>Igazgatás!W268+Községgazd!Z254+Vagyongazd!W239+Közút!W243+Sport!W241+Közművelődés!Y290+Támogatás!AC254</f>
        <v>0</v>
      </c>
      <c r="Y239" s="45">
        <f>Igazgatás!X268+Községgazd!AA254+Vagyongazd!X239+Közút!X243+Sport!X241+Közművelődés!Z290+Támogatás!AD254</f>
        <v>0</v>
      </c>
      <c r="AB239" s="180"/>
    </row>
    <row r="240" spans="1:28" s="41" customFormat="1" ht="15.75" hidden="1" customHeight="1" thickBot="1" x14ac:dyDescent="0.3">
      <c r="A240" s="118" t="s">
        <v>300</v>
      </c>
      <c r="B240" s="53" t="s">
        <v>702</v>
      </c>
      <c r="C240" s="628" t="s">
        <v>894</v>
      </c>
      <c r="D240" s="629"/>
      <c r="E240" s="629"/>
      <c r="F240" s="160" t="e">
        <v>#REF!</v>
      </c>
      <c r="G240" s="342" t="e">
        <v>#REF!</v>
      </c>
      <c r="H240" s="342" t="e">
        <v>#REF!</v>
      </c>
      <c r="I240" s="342" t="e">
        <v>#REF!</v>
      </c>
      <c r="J240" s="342" t="e">
        <v>#REF!</v>
      </c>
      <c r="K240" s="239" t="e">
        <f>Igazgatás!J269+Községgazd!J255+Vagyongazd!#REF!+Közút!J244+Sport!J242+Közművelődés!J291+Támogatás!J255</f>
        <v>#REF!</v>
      </c>
      <c r="L240" s="148" t="e">
        <f>Igazgatás!K269+Községgazd!K255+Vagyongazd!#REF!+Közút!K244+Sport!K242+Közművelődés!K291+Támogatás!K255</f>
        <v>#REF!</v>
      </c>
      <c r="M240" s="160" t="e">
        <f>Igazgatás!L269+Községgazd!L255+Vagyongazd!#REF!+Közút!L244+Sport!L242+Közművelődés!L291+Támogatás!L255</f>
        <v>#REF!</v>
      </c>
      <c r="N240" s="74">
        <f>Igazgatás!M269+Községgazd!P255+Vagyongazd!M240+Közút!M244+Sport!M242+Közművelődés!O291+Támogatás!S255</f>
        <v>0</v>
      </c>
      <c r="O240" s="13">
        <f>Igazgatás!N269+Községgazd!Q255+Vagyongazd!N240+Közút!N244+Sport!N242+Közművelődés!P291+Támogatás!T255</f>
        <v>0</v>
      </c>
      <c r="P240" s="79">
        <f>Igazgatás!O269+Községgazd!R255+Vagyongazd!O240+Közút!O244+Sport!O242+Közművelődés!Q291+Támogatás!U255</f>
        <v>0</v>
      </c>
      <c r="Q240" s="79">
        <f>Igazgatás!P269+Községgazd!S255+Vagyongazd!P240+Közút!P244+Sport!P242+Közművelődés!R291+Támogatás!V255</f>
        <v>0</v>
      </c>
      <c r="R240" s="13">
        <f>Igazgatás!Q269+Községgazd!T255+Vagyongazd!Q240+Közút!Q244+Sport!Q242+Közművelődés!S291+Támogatás!W255</f>
        <v>0</v>
      </c>
      <c r="S240" s="79">
        <f>Igazgatás!R269+Községgazd!U255+Vagyongazd!R240+Közút!R244+Sport!R242+Közművelődés!T291+Támogatás!X255</f>
        <v>0</v>
      </c>
      <c r="T240" s="79">
        <f>Igazgatás!S269+Községgazd!V255+Vagyongazd!S240+Közút!S244+Sport!S242+Közművelődés!U291+Támogatás!Y255</f>
        <v>0</v>
      </c>
      <c r="U240" s="45">
        <f>Igazgatás!T269+Községgazd!W255+Vagyongazd!T240+Közút!T244+Sport!T242+Közművelődés!V291+Támogatás!Z255</f>
        <v>0</v>
      </c>
      <c r="V240" s="342">
        <f>Igazgatás!U269+Községgazd!X255+Vagyongazd!U240+Közút!U244+Sport!U242+Közművelődés!W291+Támogatás!AA255</f>
        <v>0</v>
      </c>
      <c r="W240" s="79">
        <f>Igazgatás!V269+Községgazd!Y255+Vagyongazd!V240+Közút!V244+Sport!V242+Közművelődés!X291+Támogatás!AB255</f>
        <v>0</v>
      </c>
      <c r="X240" s="45">
        <f>Igazgatás!W269+Községgazd!Z255+Vagyongazd!W240+Közút!W244+Sport!W242+Közművelődés!Y291+Támogatás!AC255</f>
        <v>0</v>
      </c>
      <c r="Y240" s="411">
        <f>Igazgatás!X269+Községgazd!AA255+Vagyongazd!X240+Közút!X244+Sport!X242+Közművelődés!Z291+Támogatás!AD255</f>
        <v>0</v>
      </c>
      <c r="AB240" s="180"/>
    </row>
    <row r="241" spans="1:28" s="41" customFormat="1" ht="15.75" hidden="1" customHeight="1" thickBot="1" x14ac:dyDescent="0.3">
      <c r="A241" s="118" t="s">
        <v>301</v>
      </c>
      <c r="B241" s="53" t="s">
        <v>703</v>
      </c>
      <c r="C241" s="628" t="s">
        <v>895</v>
      </c>
      <c r="D241" s="629"/>
      <c r="E241" s="629"/>
      <c r="F241" s="160" t="e">
        <v>#REF!</v>
      </c>
      <c r="G241" s="342" t="e">
        <v>#REF!</v>
      </c>
      <c r="H241" s="342" t="e">
        <v>#REF!</v>
      </c>
      <c r="I241" s="342" t="e">
        <v>#REF!</v>
      </c>
      <c r="J241" s="342" t="e">
        <v>#REF!</v>
      </c>
      <c r="K241" s="239" t="e">
        <f>Igazgatás!J270+Községgazd!J256+Vagyongazd!#REF!+Közút!J245+Sport!J243+Közművelődés!J292+Támogatás!J256</f>
        <v>#REF!</v>
      </c>
      <c r="L241" s="148" t="e">
        <f>Igazgatás!K270+Községgazd!K256+Vagyongazd!#REF!+Közút!K245+Sport!K243+Közművelődés!K292+Támogatás!K256</f>
        <v>#REF!</v>
      </c>
      <c r="M241" s="160" t="e">
        <f>Igazgatás!L270+Községgazd!L256+Vagyongazd!#REF!+Közút!L245+Sport!L243+Közművelődés!L292+Támogatás!L256</f>
        <v>#REF!</v>
      </c>
      <c r="N241" s="74">
        <f>Igazgatás!M270+Községgazd!P256+Vagyongazd!M241+Közút!M245+Sport!M243+Közművelődés!O292+Támogatás!S256</f>
        <v>0</v>
      </c>
      <c r="O241" s="13">
        <f>Igazgatás!N270+Községgazd!Q256+Vagyongazd!N241+Közút!N245+Sport!N243+Közművelődés!P292+Támogatás!T256</f>
        <v>0</v>
      </c>
      <c r="P241" s="79">
        <f>Igazgatás!O270+Községgazd!R256+Vagyongazd!O241+Közút!O245+Sport!O243+Közművelődés!Q292+Támogatás!U256</f>
        <v>0</v>
      </c>
      <c r="Q241" s="79">
        <f>Igazgatás!P270+Községgazd!S256+Vagyongazd!P241+Közút!P245+Sport!P243+Közművelődés!R292+Támogatás!V256</f>
        <v>0</v>
      </c>
      <c r="R241" s="13">
        <f>Igazgatás!Q270+Községgazd!T256+Vagyongazd!Q241+Közút!Q245+Sport!Q243+Közművelődés!S292+Támogatás!W256</f>
        <v>0</v>
      </c>
      <c r="S241" s="79">
        <f>Igazgatás!R270+Községgazd!U256+Vagyongazd!R241+Közút!R245+Sport!R243+Közművelődés!T292+Támogatás!X256</f>
        <v>0</v>
      </c>
      <c r="T241" s="79">
        <f>Igazgatás!S270+Községgazd!V256+Vagyongazd!S241+Közút!S245+Sport!S243+Közművelődés!U292+Támogatás!Y256</f>
        <v>0</v>
      </c>
      <c r="U241" s="45">
        <f>Igazgatás!T270+Községgazd!W256+Vagyongazd!T241+Közút!T245+Sport!T243+Közművelődés!V292+Támogatás!Z256</f>
        <v>0</v>
      </c>
      <c r="V241" s="342">
        <f>Igazgatás!U270+Községgazd!X256+Vagyongazd!U241+Közút!U245+Sport!U243+Közművelődés!W292+Támogatás!AA256</f>
        <v>0</v>
      </c>
      <c r="W241" s="79">
        <f>Igazgatás!V270+Községgazd!Y256+Vagyongazd!V241+Közút!V245+Sport!V243+Közművelődés!X292+Támogatás!AB256</f>
        <v>0</v>
      </c>
      <c r="X241" s="45">
        <f>Igazgatás!W270+Községgazd!Z256+Vagyongazd!W241+Közút!W245+Sport!W243+Közművelődés!Y292+Támogatás!AC256</f>
        <v>0</v>
      </c>
      <c r="Y241" s="411">
        <f>Igazgatás!X270+Községgazd!AA256+Vagyongazd!X241+Közút!X245+Sport!X243+Közművelődés!Z292+Támogatás!AD256</f>
        <v>0</v>
      </c>
      <c r="AB241" s="180"/>
    </row>
    <row r="242" spans="1:28" s="41" customFormat="1" ht="15.75" hidden="1" customHeight="1" thickBot="1" x14ac:dyDescent="0.3">
      <c r="A242" s="118" t="s">
        <v>302</v>
      </c>
      <c r="B242" s="53" t="s">
        <v>704</v>
      </c>
      <c r="C242" s="628" t="s">
        <v>303</v>
      </c>
      <c r="D242" s="629"/>
      <c r="E242" s="629"/>
      <c r="F242" s="160" t="e">
        <v>#REF!</v>
      </c>
      <c r="G242" s="342" t="e">
        <v>#REF!</v>
      </c>
      <c r="H242" s="342" t="e">
        <v>#REF!</v>
      </c>
      <c r="I242" s="342" t="e">
        <v>#REF!</v>
      </c>
      <c r="J242" s="342" t="e">
        <v>#REF!</v>
      </c>
      <c r="K242" s="239" t="e">
        <f>Igazgatás!J271+Községgazd!J257+Vagyongazd!#REF!+Közút!J246+Sport!J244+Közművelődés!J293+Támogatás!J257</f>
        <v>#REF!</v>
      </c>
      <c r="L242" s="148" t="e">
        <f>Igazgatás!K271+Községgazd!K257+Vagyongazd!#REF!+Közút!K246+Sport!K244+Közművelődés!K293+Támogatás!K257</f>
        <v>#REF!</v>
      </c>
      <c r="M242" s="160" t="e">
        <f>Igazgatás!L271+Községgazd!L257+Vagyongazd!#REF!+Közút!L246+Sport!L244+Közművelődés!L293+Támogatás!L257</f>
        <v>#REF!</v>
      </c>
      <c r="N242" s="74">
        <f>Igazgatás!M271+Községgazd!P257+Vagyongazd!M242+Közút!M246+Sport!M244+Közművelődés!O293+Támogatás!S257</f>
        <v>0</v>
      </c>
      <c r="O242" s="13">
        <f>Igazgatás!N271+Községgazd!Q257+Vagyongazd!N242+Közút!N246+Sport!N244+Közművelődés!P293+Támogatás!T257</f>
        <v>0</v>
      </c>
      <c r="P242" s="79">
        <f>Igazgatás!O271+Községgazd!R257+Vagyongazd!O242+Közút!O246+Sport!O244+Közművelődés!Q293+Támogatás!U257</f>
        <v>0</v>
      </c>
      <c r="Q242" s="79">
        <f>Igazgatás!P271+Községgazd!S257+Vagyongazd!P242+Közút!P246+Sport!P244+Közművelődés!R293+Támogatás!V257</f>
        <v>0</v>
      </c>
      <c r="R242" s="13">
        <f>Igazgatás!Q271+Községgazd!T257+Vagyongazd!Q242+Közút!Q246+Sport!Q244+Közművelődés!S293+Támogatás!W257</f>
        <v>0</v>
      </c>
      <c r="S242" s="79">
        <f>Igazgatás!R271+Községgazd!U257+Vagyongazd!R242+Közút!R246+Sport!R244+Közművelődés!T293+Támogatás!X257</f>
        <v>0</v>
      </c>
      <c r="T242" s="79">
        <f>Igazgatás!S271+Községgazd!V257+Vagyongazd!S242+Közút!S246+Sport!S244+Közművelődés!U293+Támogatás!Y257</f>
        <v>0</v>
      </c>
      <c r="U242" s="45">
        <f>Igazgatás!T271+Községgazd!W257+Vagyongazd!T242+Közút!T246+Sport!T244+Közművelődés!V293+Támogatás!Z257</f>
        <v>0</v>
      </c>
      <c r="V242" s="342">
        <f>Igazgatás!U271+Községgazd!X257+Vagyongazd!U242+Közút!U246+Sport!U244+Közművelődés!W293+Támogatás!AA257</f>
        <v>0</v>
      </c>
      <c r="W242" s="79">
        <f>Igazgatás!V271+Községgazd!Y257+Vagyongazd!V242+Közút!V246+Sport!V244+Közművelődés!X293+Támogatás!AB257</f>
        <v>0</v>
      </c>
      <c r="X242" s="45">
        <f>Igazgatás!W271+Községgazd!Z257+Vagyongazd!W242+Közút!W246+Sport!W244+Közművelődés!Y293+Támogatás!AC257</f>
        <v>0</v>
      </c>
      <c r="Y242" s="411">
        <f>Igazgatás!X271+Községgazd!AA257+Vagyongazd!X242+Közút!X246+Sport!X244+Közművelődés!Z293+Támogatás!AD257</f>
        <v>0</v>
      </c>
      <c r="AB242" s="180"/>
    </row>
    <row r="243" spans="1:28" s="41" customFormat="1" ht="15.75" hidden="1" customHeight="1" thickBot="1" x14ac:dyDescent="0.3">
      <c r="A243" s="118" t="s">
        <v>896</v>
      </c>
      <c r="B243" s="53" t="s">
        <v>897</v>
      </c>
      <c r="C243" s="628" t="s">
        <v>899</v>
      </c>
      <c r="D243" s="629"/>
      <c r="E243" s="629"/>
      <c r="F243" s="160" t="e">
        <v>#REF!</v>
      </c>
      <c r="G243" s="342" t="e">
        <v>#REF!</v>
      </c>
      <c r="H243" s="342" t="e">
        <v>#REF!</v>
      </c>
      <c r="I243" s="342" t="e">
        <v>#REF!</v>
      </c>
      <c r="J243" s="342" t="e">
        <v>#REF!</v>
      </c>
      <c r="K243" s="239" t="e">
        <f>Igazgatás!J272+Községgazd!J258+Vagyongazd!#REF!+Közút!J247+Sport!J245+Közművelődés!J294+Támogatás!J258</f>
        <v>#REF!</v>
      </c>
      <c r="L243" s="148" t="e">
        <f>Igazgatás!K272+Községgazd!K258+Vagyongazd!#REF!+Közút!K247+Sport!K245+Közművelődés!K294+Támogatás!K258</f>
        <v>#REF!</v>
      </c>
      <c r="M243" s="160" t="e">
        <f>Igazgatás!L272+Községgazd!L258+Vagyongazd!#REF!+Közút!L247+Sport!L245+Közművelődés!L294+Támogatás!L258</f>
        <v>#REF!</v>
      </c>
      <c r="N243" s="74">
        <f>Igazgatás!M272+Községgazd!P258+Vagyongazd!M243+Közút!M247+Sport!M245+Közművelődés!O294+Támogatás!S258</f>
        <v>0</v>
      </c>
      <c r="O243" s="13">
        <f>Igazgatás!N272+Községgazd!Q258+Vagyongazd!N243+Közút!N247+Sport!N245+Közművelődés!P294+Támogatás!T258</f>
        <v>0</v>
      </c>
      <c r="P243" s="79">
        <f>Igazgatás!O272+Községgazd!R258+Vagyongazd!O243+Közút!O247+Sport!O245+Közművelődés!Q294+Támogatás!U258</f>
        <v>0</v>
      </c>
      <c r="Q243" s="79">
        <f>Igazgatás!P272+Községgazd!S258+Vagyongazd!P243+Közút!P247+Sport!P245+Közművelődés!R294+Támogatás!V258</f>
        <v>0</v>
      </c>
      <c r="R243" s="13">
        <f>Igazgatás!Q272+Községgazd!T258+Vagyongazd!Q243+Közút!Q247+Sport!Q245+Közművelődés!S294+Támogatás!W258</f>
        <v>0</v>
      </c>
      <c r="S243" s="79">
        <f>Igazgatás!R272+Községgazd!U258+Vagyongazd!R243+Közút!R247+Sport!R245+Közművelődés!T294+Támogatás!X258</f>
        <v>0</v>
      </c>
      <c r="T243" s="79">
        <f>Igazgatás!S272+Községgazd!V258+Vagyongazd!S243+Közút!S247+Sport!S245+Közművelődés!U294+Támogatás!Y258</f>
        <v>0</v>
      </c>
      <c r="U243" s="45">
        <f>Igazgatás!T272+Községgazd!W258+Vagyongazd!T243+Közút!T247+Sport!T245+Közművelődés!V294+Támogatás!Z258</f>
        <v>0</v>
      </c>
      <c r="V243" s="342">
        <f>Igazgatás!U272+Községgazd!X258+Vagyongazd!U243+Közút!U247+Sport!U245+Közművelődés!W294+Támogatás!AA258</f>
        <v>0</v>
      </c>
      <c r="W243" s="79">
        <f>Igazgatás!V272+Községgazd!Y258+Vagyongazd!V243+Közút!V247+Sport!V245+Közművelődés!X294+Támogatás!AB258</f>
        <v>0</v>
      </c>
      <c r="X243" s="45">
        <f>Igazgatás!W272+Községgazd!Z258+Vagyongazd!W243+Közút!W247+Sport!W245+Közművelődés!Y294+Támogatás!AC258</f>
        <v>0</v>
      </c>
      <c r="Y243" s="411">
        <f>Igazgatás!X272+Községgazd!AA258+Vagyongazd!X243+Közút!X247+Sport!X245+Közművelődés!Z294+Támogatás!AD258</f>
        <v>0</v>
      </c>
      <c r="AB243" s="180"/>
    </row>
    <row r="244" spans="1:28" s="41" customFormat="1" ht="15.75" hidden="1" customHeight="1" thickBot="1" x14ac:dyDescent="0.3">
      <c r="A244" s="118"/>
      <c r="B244" s="53" t="s">
        <v>898</v>
      </c>
      <c r="C244" s="628" t="s">
        <v>900</v>
      </c>
      <c r="D244" s="629"/>
      <c r="E244" s="629"/>
      <c r="F244" s="160" t="e">
        <v>#REF!</v>
      </c>
      <c r="G244" s="342" t="e">
        <v>#REF!</v>
      </c>
      <c r="H244" s="342" t="e">
        <v>#REF!</v>
      </c>
      <c r="I244" s="342" t="e">
        <v>#REF!</v>
      </c>
      <c r="J244" s="342" t="e">
        <v>#REF!</v>
      </c>
      <c r="K244" s="239" t="e">
        <f>Igazgatás!J273+Községgazd!J259+Vagyongazd!#REF!+Közút!J248+Sport!J246+Közművelődés!J295+Támogatás!J259</f>
        <v>#REF!</v>
      </c>
      <c r="L244" s="148" t="e">
        <f>Igazgatás!K273+Községgazd!K259+Vagyongazd!#REF!+Közút!K248+Sport!K246+Közművelődés!K295+Támogatás!K259</f>
        <v>#REF!</v>
      </c>
      <c r="M244" s="160" t="e">
        <f>Igazgatás!L273+Községgazd!L259+Vagyongazd!#REF!+Közút!L248+Sport!L246+Közművelődés!L295+Támogatás!L259</f>
        <v>#REF!</v>
      </c>
      <c r="N244" s="74">
        <f>Igazgatás!M273+Községgazd!P259+Vagyongazd!M244+Közút!M248+Sport!M246+Közművelődés!O295+Támogatás!S259</f>
        <v>0</v>
      </c>
      <c r="O244" s="13">
        <f>Igazgatás!N273+Községgazd!Q259+Vagyongazd!N244+Közút!N248+Sport!N246+Közművelődés!P295+Támogatás!T259</f>
        <v>0</v>
      </c>
      <c r="P244" s="79">
        <f>Igazgatás!O273+Községgazd!R259+Vagyongazd!O244+Közút!O248+Sport!O246+Közművelődés!Q295+Támogatás!U259</f>
        <v>0</v>
      </c>
      <c r="Q244" s="79">
        <f>Igazgatás!P273+Községgazd!S259+Vagyongazd!P244+Közút!P248+Sport!P246+Közművelődés!R295+Támogatás!V259</f>
        <v>0</v>
      </c>
      <c r="R244" s="13">
        <f>Igazgatás!Q273+Községgazd!T259+Vagyongazd!Q244+Közút!Q248+Sport!Q246+Közművelődés!S295+Támogatás!W259</f>
        <v>0</v>
      </c>
      <c r="S244" s="79">
        <f>Igazgatás!R273+Községgazd!U259+Vagyongazd!R244+Közút!R248+Sport!R246+Közművelődés!T295+Támogatás!X259</f>
        <v>0</v>
      </c>
      <c r="T244" s="79">
        <f>Igazgatás!S273+Községgazd!V259+Vagyongazd!S244+Közút!S248+Sport!S246+Közművelődés!U295+Támogatás!Y259</f>
        <v>0</v>
      </c>
      <c r="U244" s="45">
        <f>Igazgatás!T273+Községgazd!W259+Vagyongazd!T244+Közút!T248+Sport!T246+Közművelődés!V295+Támogatás!Z259</f>
        <v>0</v>
      </c>
      <c r="V244" s="342">
        <f>Igazgatás!U273+Községgazd!X259+Vagyongazd!U244+Közút!U248+Sport!U246+Közművelődés!W295+Támogatás!AA259</f>
        <v>0</v>
      </c>
      <c r="W244" s="79">
        <f>Igazgatás!V273+Községgazd!Y259+Vagyongazd!V244+Közút!V248+Sport!V246+Közművelődés!X295+Támogatás!AB259</f>
        <v>0</v>
      </c>
      <c r="X244" s="45">
        <f>Igazgatás!W273+Községgazd!Z259+Vagyongazd!W244+Közút!W248+Sport!W246+Közművelődés!Y295+Támogatás!AC259</f>
        <v>0</v>
      </c>
      <c r="Y244" s="411">
        <f>Igazgatás!X273+Községgazd!AA259+Vagyongazd!X244+Közút!X248+Sport!X246+Közművelődés!Z295+Támogatás!AD259</f>
        <v>0</v>
      </c>
      <c r="AB244" s="180"/>
    </row>
    <row r="245" spans="1:28" s="199" customFormat="1" ht="15.75" hidden="1" customHeight="1" thickBot="1" x14ac:dyDescent="0.3">
      <c r="A245" s="118" t="s">
        <v>902</v>
      </c>
      <c r="B245" s="181" t="s">
        <v>901</v>
      </c>
      <c r="C245" s="190"/>
      <c r="D245" s="630" t="s">
        <v>905</v>
      </c>
      <c r="E245" s="630"/>
      <c r="F245" s="183" t="e">
        <v>#REF!</v>
      </c>
      <c r="G245" s="340" t="e">
        <v>#REF!</v>
      </c>
      <c r="H245" s="340" t="e">
        <v>#REF!</v>
      </c>
      <c r="I245" s="340" t="e">
        <v>#REF!</v>
      </c>
      <c r="J245" s="340" t="e">
        <v>#REF!</v>
      </c>
      <c r="K245" s="251" t="e">
        <f>Igazgatás!J274+Községgazd!J260+Vagyongazd!#REF!+Közút!J249+Sport!J247+Közművelődés!J296+Támogatás!J260</f>
        <v>#REF!</v>
      </c>
      <c r="L245" s="182" t="e">
        <f>Igazgatás!K274+Községgazd!K260+Vagyongazd!#REF!+Közút!K249+Sport!K247+Közművelődés!K296+Támogatás!K260</f>
        <v>#REF!</v>
      </c>
      <c r="M245" s="183" t="e">
        <f>Igazgatás!L274+Községgazd!L260+Vagyongazd!#REF!+Közút!L249+Sport!L247+Közművelődés!L296+Támogatás!L260</f>
        <v>#REF!</v>
      </c>
      <c r="N245" s="191">
        <f>Igazgatás!M274+Községgazd!P260+Vagyongazd!M245+Közút!M249+Sport!M247+Közművelődés!O296+Támogatás!S260</f>
        <v>0</v>
      </c>
      <c r="O245" s="185">
        <f>Igazgatás!N274+Községgazd!Q260+Vagyongazd!N245+Közút!N249+Sport!N247+Közművelődés!P296+Támogatás!T260</f>
        <v>0</v>
      </c>
      <c r="P245" s="186">
        <f>Igazgatás!O274+Községgazd!R260+Vagyongazd!O245+Közút!O249+Sport!O247+Közművelődés!Q296+Támogatás!U260</f>
        <v>0</v>
      </c>
      <c r="Q245" s="186">
        <f>Igazgatás!P274+Községgazd!S260+Vagyongazd!P245+Közút!P249+Sport!P247+Közművelődés!R296+Támogatás!V260</f>
        <v>0</v>
      </c>
      <c r="R245" s="185">
        <f>Igazgatás!Q274+Községgazd!T260+Vagyongazd!Q245+Közút!Q249+Sport!Q247+Közművelődés!S296+Támogatás!W260</f>
        <v>0</v>
      </c>
      <c r="S245" s="186">
        <f>Igazgatás!R274+Községgazd!U260+Vagyongazd!R245+Közút!R249+Sport!R247+Közművelődés!T296+Támogatás!X260</f>
        <v>0</v>
      </c>
      <c r="T245" s="186">
        <f>Igazgatás!S274+Községgazd!V260+Vagyongazd!S245+Közút!S249+Sport!S247+Közművelődés!U296+Támogatás!Y260</f>
        <v>0</v>
      </c>
      <c r="U245" s="187">
        <f>Igazgatás!T274+Községgazd!W260+Vagyongazd!T245+Közút!T249+Sport!T247+Közművelődés!V296+Támogatás!Z260</f>
        <v>0</v>
      </c>
      <c r="V245" s="340">
        <f>Igazgatás!U274+Községgazd!X260+Vagyongazd!U245+Közút!U249+Sport!U247+Közművelődés!W296+Támogatás!AA260</f>
        <v>0</v>
      </c>
      <c r="W245" s="186">
        <f>Igazgatás!V274+Községgazd!Y260+Vagyongazd!V245+Közút!V249+Sport!V247+Közművelődés!X296+Támogatás!AB260</f>
        <v>0</v>
      </c>
      <c r="X245" s="187">
        <f>Igazgatás!W274+Községgazd!Z260+Vagyongazd!W245+Közút!W249+Sport!W247+Közművelődés!Y296+Támogatás!AC260</f>
        <v>0</v>
      </c>
      <c r="Y245" s="388">
        <f>Igazgatás!X274+Községgazd!AA260+Vagyongazd!X245+Közút!X249+Sport!X247+Közművelődés!Z296+Támogatás!AD260</f>
        <v>0</v>
      </c>
      <c r="AB245" s="180"/>
    </row>
    <row r="246" spans="1:28" s="199" customFormat="1" ht="15.75" hidden="1" customHeight="1" thickBot="1" x14ac:dyDescent="0.3">
      <c r="A246" s="118" t="s">
        <v>903</v>
      </c>
      <c r="B246" s="181" t="s">
        <v>904</v>
      </c>
      <c r="C246" s="190"/>
      <c r="D246" s="630" t="s">
        <v>906</v>
      </c>
      <c r="E246" s="630"/>
      <c r="F246" s="183" t="e">
        <v>#REF!</v>
      </c>
      <c r="G246" s="340" t="e">
        <v>#REF!</v>
      </c>
      <c r="H246" s="340" t="e">
        <v>#REF!</v>
      </c>
      <c r="I246" s="340" t="e">
        <v>#REF!</v>
      </c>
      <c r="J246" s="340" t="e">
        <v>#REF!</v>
      </c>
      <c r="K246" s="251" t="e">
        <f>Igazgatás!J275+Községgazd!J261+Vagyongazd!#REF!+Közút!J250+Sport!J248+Közművelődés!J297+Támogatás!J261</f>
        <v>#REF!</v>
      </c>
      <c r="L246" s="182" t="e">
        <f>Igazgatás!K275+Községgazd!K261+Vagyongazd!#REF!+Közút!K250+Sport!K248+Közművelődés!K297+Támogatás!K261</f>
        <v>#REF!</v>
      </c>
      <c r="M246" s="183" t="e">
        <f>Igazgatás!L275+Községgazd!L261+Vagyongazd!#REF!+Közút!L250+Sport!L248+Közművelődés!L297+Támogatás!L261</f>
        <v>#REF!</v>
      </c>
      <c r="N246" s="191">
        <f>Igazgatás!M275+Községgazd!P261+Vagyongazd!M246+Közút!M250+Sport!M248+Közművelődés!O297+Támogatás!S261</f>
        <v>0</v>
      </c>
      <c r="O246" s="185">
        <f>Igazgatás!N275+Községgazd!Q261+Vagyongazd!N246+Közút!N250+Sport!N248+Közművelődés!P297+Támogatás!T261</f>
        <v>0</v>
      </c>
      <c r="P246" s="186">
        <f>Igazgatás!O275+Községgazd!R261+Vagyongazd!O246+Közút!O250+Sport!O248+Közművelődés!Q297+Támogatás!U261</f>
        <v>0</v>
      </c>
      <c r="Q246" s="186">
        <f>Igazgatás!P275+Községgazd!S261+Vagyongazd!P246+Közút!P250+Sport!P248+Közművelődés!R297+Támogatás!V261</f>
        <v>0</v>
      </c>
      <c r="R246" s="185">
        <f>Igazgatás!Q275+Községgazd!T261+Vagyongazd!Q246+Közút!Q250+Sport!Q248+Közművelődés!S297+Támogatás!W261</f>
        <v>0</v>
      </c>
      <c r="S246" s="186">
        <f>Igazgatás!R275+Községgazd!U261+Vagyongazd!R246+Közút!R250+Sport!R248+Közművelődés!T297+Támogatás!X261</f>
        <v>0</v>
      </c>
      <c r="T246" s="186">
        <f>Igazgatás!S275+Községgazd!V261+Vagyongazd!S246+Közút!S250+Sport!S248+Közművelődés!U297+Támogatás!Y261</f>
        <v>0</v>
      </c>
      <c r="U246" s="187">
        <f>Igazgatás!T275+Községgazd!W261+Vagyongazd!T246+Közút!T250+Sport!T248+Közművelődés!V297+Támogatás!Z261</f>
        <v>0</v>
      </c>
      <c r="V246" s="340">
        <f>Igazgatás!U275+Községgazd!X261+Vagyongazd!U246+Közút!U250+Sport!U248+Közművelődés!W297+Támogatás!AA261</f>
        <v>0</v>
      </c>
      <c r="W246" s="186">
        <f>Igazgatás!V275+Községgazd!Y261+Vagyongazd!V246+Közút!V250+Sport!V248+Közművelődés!X297+Támogatás!AB261</f>
        <v>0</v>
      </c>
      <c r="X246" s="187">
        <f>Igazgatás!W275+Községgazd!Z261+Vagyongazd!W246+Közút!W250+Sport!W248+Közművelődés!Y297+Támogatás!AC261</f>
        <v>0</v>
      </c>
      <c r="Y246" s="388">
        <f>Igazgatás!X275+Községgazd!AA261+Vagyongazd!X246+Közút!X250+Sport!X248+Közművelődés!Z297+Támogatás!AD261</f>
        <v>0</v>
      </c>
      <c r="AB246" s="180"/>
    </row>
    <row r="247" spans="1:28" ht="15.75" hidden="1" customHeight="1" thickBot="1" x14ac:dyDescent="0.3">
      <c r="B247" s="88" t="s">
        <v>708</v>
      </c>
      <c r="C247" s="626" t="s">
        <v>304</v>
      </c>
      <c r="D247" s="627"/>
      <c r="E247" s="627"/>
      <c r="F247" s="158" t="e">
        <v>#REF!</v>
      </c>
      <c r="G247" s="341" t="e">
        <v>#REF!</v>
      </c>
      <c r="H247" s="341" t="e">
        <v>#REF!</v>
      </c>
      <c r="I247" s="346" t="e">
        <v>#REF!</v>
      </c>
      <c r="J247" s="346" t="e">
        <v>#REF!</v>
      </c>
      <c r="K247" s="233" t="e">
        <f>Igazgatás!J276+Községgazd!J262+Vagyongazd!#REF!+Közút!J251+Sport!J249+Közművelődés!J298+Támogatás!J262</f>
        <v>#REF!</v>
      </c>
      <c r="L247" s="142" t="e">
        <f>Igazgatás!K276+Községgazd!K262+Vagyongazd!#REF!+Közút!K251+Sport!K249+Közművelődés!K298+Támogatás!K262</f>
        <v>#REF!</v>
      </c>
      <c r="M247" s="158" t="e">
        <f>Igazgatás!L276+Községgazd!L262+Vagyongazd!#REF!+Közút!L251+Sport!L249+Közművelődés!L298+Támogatás!L262</f>
        <v>#REF!</v>
      </c>
      <c r="N247" s="90">
        <f>Igazgatás!M276+Községgazd!P262+Vagyongazd!M247+Közút!M251+Sport!M249+Közművelődés!O298+Támogatás!S262</f>
        <v>0</v>
      </c>
      <c r="O247" s="91">
        <f>Igazgatás!N276+Községgazd!Q262+Vagyongazd!N247+Közút!N251+Sport!N249+Közművelődés!P298+Támogatás!T262</f>
        <v>0</v>
      </c>
      <c r="P247" s="94">
        <f>Igazgatás!O276+Községgazd!R262+Vagyongazd!O247+Közút!O251+Sport!O249+Közművelődés!Q298+Támogatás!U262</f>
        <v>0</v>
      </c>
      <c r="Q247" s="94">
        <f>Igazgatás!P276+Községgazd!S262+Vagyongazd!P247+Közút!P251+Sport!P249+Közművelődés!R298+Támogatás!V262</f>
        <v>0</v>
      </c>
      <c r="R247" s="91">
        <f>Igazgatás!Q276+Községgazd!T262+Vagyongazd!Q247+Közút!Q251+Sport!Q249+Közművelődés!S298+Támogatás!W262</f>
        <v>0</v>
      </c>
      <c r="S247" s="94">
        <f>Igazgatás!R276+Községgazd!U262+Vagyongazd!R247+Közút!R251+Sport!R249+Közművelődés!T298+Támogatás!X262</f>
        <v>0</v>
      </c>
      <c r="T247" s="94">
        <f>Igazgatás!S276+Községgazd!V262+Vagyongazd!S247+Közút!S251+Sport!S249+Közművelődés!U298+Támogatás!Y262</f>
        <v>0</v>
      </c>
      <c r="U247" s="95">
        <f>Igazgatás!T276+Községgazd!W262+Vagyongazd!T247+Közút!T251+Sport!T249+Közművelődés!V298+Támogatás!Z262</f>
        <v>0</v>
      </c>
      <c r="V247" s="341">
        <f>Igazgatás!U276+Községgazd!X262+Vagyongazd!U247+Közút!U251+Sport!U249+Közművelődés!W298+Támogatás!AA262</f>
        <v>0</v>
      </c>
      <c r="W247" s="94">
        <f>Igazgatás!V276+Községgazd!Y262+Vagyongazd!V247+Közút!V251+Sport!V249+Közművelődés!X298+Támogatás!AB262</f>
        <v>0</v>
      </c>
      <c r="X247" s="95">
        <f>Igazgatás!W276+Községgazd!Z262+Vagyongazd!W247+Közút!W251+Sport!W249+Közművelődés!Y298+Támogatás!AC262</f>
        <v>0</v>
      </c>
      <c r="Y247" s="412">
        <f>Igazgatás!X276+Községgazd!AA262+Vagyongazd!X247+Közút!X251+Sport!X249+Közművelődés!Z298+Támogatás!AD262</f>
        <v>0</v>
      </c>
      <c r="AB247" s="180"/>
    </row>
    <row r="248" spans="1:28" s="41" customFormat="1" ht="15.75" hidden="1" customHeight="1" thickBot="1" x14ac:dyDescent="0.3">
      <c r="A248" s="118" t="s">
        <v>305</v>
      </c>
      <c r="B248" s="188" t="s">
        <v>709</v>
      </c>
      <c r="C248" s="706" t="s">
        <v>385</v>
      </c>
      <c r="D248" s="707"/>
      <c r="E248" s="707"/>
      <c r="F248" s="201" t="e">
        <v>#REF!</v>
      </c>
      <c r="G248" s="347" t="e">
        <v>#REF!</v>
      </c>
      <c r="H248" s="347" t="e">
        <v>#REF!</v>
      </c>
      <c r="I248" s="347" t="e">
        <v>#REF!</v>
      </c>
      <c r="J248" s="347" t="e">
        <v>#REF!</v>
      </c>
      <c r="K248" s="252" t="e">
        <f>Igazgatás!J277+Községgazd!J263+Vagyongazd!#REF!+Közút!J252+Sport!J250+Közművelődés!J299+Támogatás!J263</f>
        <v>#REF!</v>
      </c>
      <c r="L248" s="189" t="e">
        <f>Igazgatás!K277+Községgazd!K263+Vagyongazd!#REF!+Közút!K252+Sport!K250+Közművelődés!K299+Támogatás!K263</f>
        <v>#REF!</v>
      </c>
      <c r="M248" s="201" t="e">
        <f>Igazgatás!L277+Községgazd!L263+Vagyongazd!#REF!+Közút!L252+Sport!L250+Közművelődés!L299+Támogatás!L263</f>
        <v>#REF!</v>
      </c>
      <c r="N248" s="202">
        <f>Igazgatás!M277+Községgazd!P263+Vagyongazd!M248+Közút!M252+Sport!M250+Közművelődés!O299+Támogatás!S263</f>
        <v>0</v>
      </c>
      <c r="O248" s="203">
        <f>Igazgatás!N277+Községgazd!Q263+Vagyongazd!N248+Közút!N252+Sport!N250+Közművelődés!P299+Támogatás!T263</f>
        <v>0</v>
      </c>
      <c r="P248" s="206">
        <f>Igazgatás!O277+Községgazd!R263+Vagyongazd!O248+Közút!O252+Sport!O250+Közművelődés!Q299+Támogatás!U263</f>
        <v>0</v>
      </c>
      <c r="Q248" s="206">
        <f>Igazgatás!P277+Községgazd!S263+Vagyongazd!P248+Közút!P252+Sport!P250+Közművelődés!R299+Támogatás!V263</f>
        <v>0</v>
      </c>
      <c r="R248" s="203">
        <f>Igazgatás!Q277+Községgazd!T263+Vagyongazd!Q248+Közút!Q252+Sport!Q250+Közművelődés!S299+Támogatás!W263</f>
        <v>0</v>
      </c>
      <c r="S248" s="206">
        <f>Igazgatás!R277+Községgazd!U263+Vagyongazd!R248+Közút!R252+Sport!R250+Közművelődés!T299+Támogatás!X263</f>
        <v>0</v>
      </c>
      <c r="T248" s="206">
        <f>Igazgatás!S277+Községgazd!V263+Vagyongazd!S248+Közút!S252+Sport!S250+Közművelődés!U299+Támogatás!Y263</f>
        <v>0</v>
      </c>
      <c r="U248" s="204">
        <f>Igazgatás!T277+Községgazd!W263+Vagyongazd!T248+Közút!T252+Sport!T250+Közművelődés!V299+Támogatás!Z263</f>
        <v>0</v>
      </c>
      <c r="V248" s="347">
        <f>Igazgatás!U277+Községgazd!X263+Vagyongazd!U248+Közút!U252+Sport!U250+Közművelődés!W299+Támogatás!AA263</f>
        <v>0</v>
      </c>
      <c r="W248" s="206">
        <f>Igazgatás!V277+Községgazd!Y263+Vagyongazd!V248+Közút!V252+Sport!V250+Közművelődés!X299+Támogatás!AB263</f>
        <v>0</v>
      </c>
      <c r="X248" s="204">
        <f>Igazgatás!W277+Községgazd!Z263+Vagyongazd!W248+Közút!W252+Sport!W250+Közművelődés!Y299+Támogatás!AC263</f>
        <v>0</v>
      </c>
      <c r="Y248" s="413">
        <f>Igazgatás!X277+Községgazd!AA263+Vagyongazd!X248+Közút!X252+Sport!X250+Közművelődés!Z299+Támogatás!AD263</f>
        <v>0</v>
      </c>
      <c r="AB248" s="180"/>
    </row>
    <row r="249" spans="1:28" s="41" customFormat="1" ht="15.75" hidden="1" customHeight="1" thickBot="1" x14ac:dyDescent="0.3">
      <c r="A249" s="118" t="s">
        <v>306</v>
      </c>
      <c r="B249" s="188" t="s">
        <v>710</v>
      </c>
      <c r="C249" s="706" t="s">
        <v>386</v>
      </c>
      <c r="D249" s="707"/>
      <c r="E249" s="707"/>
      <c r="F249" s="201" t="e">
        <v>#REF!</v>
      </c>
      <c r="G249" s="347" t="e">
        <v>#REF!</v>
      </c>
      <c r="H249" s="347" t="e">
        <v>#REF!</v>
      </c>
      <c r="I249" s="347" t="e">
        <v>#REF!</v>
      </c>
      <c r="J249" s="347" t="e">
        <v>#REF!</v>
      </c>
      <c r="K249" s="252" t="e">
        <f>Igazgatás!J278+Községgazd!J264+Vagyongazd!#REF!+Közút!J253+Sport!J251+Közművelődés!J300+Támogatás!J264</f>
        <v>#REF!</v>
      </c>
      <c r="L249" s="189" t="e">
        <f>Igazgatás!K278+Községgazd!K264+Vagyongazd!#REF!+Közút!K253+Sport!K251+Közművelődés!K300+Támogatás!K264</f>
        <v>#REF!</v>
      </c>
      <c r="M249" s="201" t="e">
        <f>Igazgatás!L278+Községgazd!L264+Vagyongazd!#REF!+Közút!L253+Sport!L251+Közművelődés!L300+Támogatás!L264</f>
        <v>#REF!</v>
      </c>
      <c r="N249" s="202">
        <f>Igazgatás!M278+Községgazd!P264+Vagyongazd!M249+Közút!M253+Sport!M251+Közművelődés!O300+Támogatás!S264</f>
        <v>0</v>
      </c>
      <c r="O249" s="203">
        <f>Igazgatás!N278+Községgazd!Q264+Vagyongazd!N249+Közút!N253+Sport!N251+Közművelődés!P300+Támogatás!T264</f>
        <v>0</v>
      </c>
      <c r="P249" s="206">
        <f>Igazgatás!O278+Községgazd!R264+Vagyongazd!O249+Közút!O253+Sport!O251+Közművelődés!Q300+Támogatás!U264</f>
        <v>0</v>
      </c>
      <c r="Q249" s="206">
        <f>Igazgatás!P278+Községgazd!S264+Vagyongazd!P249+Közút!P253+Sport!P251+Közművelődés!R300+Támogatás!V264</f>
        <v>0</v>
      </c>
      <c r="R249" s="203">
        <f>Igazgatás!Q278+Községgazd!T264+Vagyongazd!Q249+Közút!Q253+Sport!Q251+Közművelődés!S300+Támogatás!W264</f>
        <v>0</v>
      </c>
      <c r="S249" s="206">
        <f>Igazgatás!R278+Községgazd!U264+Vagyongazd!R249+Közút!R253+Sport!R251+Közművelődés!T300+Támogatás!X264</f>
        <v>0</v>
      </c>
      <c r="T249" s="206">
        <f>Igazgatás!S278+Községgazd!V264+Vagyongazd!S249+Közút!S253+Sport!S251+Közművelődés!U300+Támogatás!Y264</f>
        <v>0</v>
      </c>
      <c r="U249" s="204">
        <f>Igazgatás!T278+Községgazd!W264+Vagyongazd!T249+Közút!T253+Sport!T251+Közművelődés!V300+Támogatás!Z264</f>
        <v>0</v>
      </c>
      <c r="V249" s="347">
        <f>Igazgatás!U278+Községgazd!X264+Vagyongazd!U249+Közút!U253+Sport!U251+Közművelődés!W300+Támogatás!AA264</f>
        <v>0</v>
      </c>
      <c r="W249" s="206">
        <f>Igazgatás!V278+Községgazd!Y264+Vagyongazd!V249+Közút!V253+Sport!V251+Közművelődés!X300+Támogatás!AB264</f>
        <v>0</v>
      </c>
      <c r="X249" s="204">
        <f>Igazgatás!W278+Községgazd!Z264+Vagyongazd!W249+Közút!W253+Sport!W251+Közművelődés!Y300+Támogatás!AC264</f>
        <v>0</v>
      </c>
      <c r="Y249" s="413">
        <f>Igazgatás!X278+Községgazd!AA264+Vagyongazd!X249+Közút!X253+Sport!X251+Közművelődés!Z300+Támogatás!AD264</f>
        <v>0</v>
      </c>
      <c r="AB249" s="180"/>
    </row>
    <row r="250" spans="1:28" s="41" customFormat="1" ht="15.75" hidden="1" customHeight="1" thickBot="1" x14ac:dyDescent="0.3">
      <c r="A250" s="118" t="s">
        <v>307</v>
      </c>
      <c r="B250" s="188" t="s">
        <v>711</v>
      </c>
      <c r="C250" s="706" t="s">
        <v>308</v>
      </c>
      <c r="D250" s="707"/>
      <c r="E250" s="707"/>
      <c r="F250" s="201" t="e">
        <v>#REF!</v>
      </c>
      <c r="G250" s="347" t="e">
        <v>#REF!</v>
      </c>
      <c r="H250" s="347" t="e">
        <v>#REF!</v>
      </c>
      <c r="I250" s="347" t="e">
        <v>#REF!</v>
      </c>
      <c r="J250" s="347" t="e">
        <v>#REF!</v>
      </c>
      <c r="K250" s="252" t="e">
        <f>Igazgatás!J279+Községgazd!J265+Vagyongazd!#REF!+Közút!J254+Sport!J252+Közművelődés!J301+Támogatás!J265</f>
        <v>#REF!</v>
      </c>
      <c r="L250" s="189" t="e">
        <f>Igazgatás!K279+Községgazd!K265+Vagyongazd!#REF!+Közút!K254+Sport!K252+Közművelődés!K301+Támogatás!K265</f>
        <v>#REF!</v>
      </c>
      <c r="M250" s="201" t="e">
        <f>Igazgatás!L279+Községgazd!L265+Vagyongazd!#REF!+Közút!L254+Sport!L252+Közművelődés!L301+Támogatás!L265</f>
        <v>#REF!</v>
      </c>
      <c r="N250" s="202">
        <f>Igazgatás!M279+Községgazd!P265+Vagyongazd!M250+Közút!M254+Sport!M252+Közművelődés!O301+Támogatás!S265</f>
        <v>0</v>
      </c>
      <c r="O250" s="203">
        <f>Igazgatás!N279+Községgazd!Q265+Vagyongazd!N250+Közút!N254+Sport!N252+Közművelődés!P301+Támogatás!T265</f>
        <v>0</v>
      </c>
      <c r="P250" s="206">
        <f>Igazgatás!O279+Községgazd!R265+Vagyongazd!O250+Közút!O254+Sport!O252+Közművelődés!Q301+Támogatás!U265</f>
        <v>0</v>
      </c>
      <c r="Q250" s="206">
        <f>Igazgatás!P279+Községgazd!S265+Vagyongazd!P250+Közút!P254+Sport!P252+Közművelődés!R301+Támogatás!V265</f>
        <v>0</v>
      </c>
      <c r="R250" s="203">
        <f>Igazgatás!Q279+Községgazd!T265+Vagyongazd!Q250+Közút!Q254+Sport!Q252+Közművelődés!S301+Támogatás!W265</f>
        <v>0</v>
      </c>
      <c r="S250" s="206">
        <f>Igazgatás!R279+Községgazd!U265+Vagyongazd!R250+Közút!R254+Sport!R252+Közművelődés!T301+Támogatás!X265</f>
        <v>0</v>
      </c>
      <c r="T250" s="206">
        <f>Igazgatás!S279+Községgazd!V265+Vagyongazd!S250+Közút!S254+Sport!S252+Közművelődés!U301+Támogatás!Y265</f>
        <v>0</v>
      </c>
      <c r="U250" s="204">
        <f>Igazgatás!T279+Községgazd!W265+Vagyongazd!T250+Közút!T254+Sport!T252+Közművelődés!V301+Támogatás!Z265</f>
        <v>0</v>
      </c>
      <c r="V250" s="347">
        <f>Igazgatás!U279+Községgazd!X265+Vagyongazd!U250+Közút!U254+Sport!U252+Közművelődés!W301+Támogatás!AA265</f>
        <v>0</v>
      </c>
      <c r="W250" s="206">
        <f>Igazgatás!V279+Községgazd!Y265+Vagyongazd!V250+Közút!V254+Sport!V252+Közművelődés!X301+Támogatás!AB265</f>
        <v>0</v>
      </c>
      <c r="X250" s="204">
        <f>Igazgatás!W279+Községgazd!Z265+Vagyongazd!W250+Közút!W254+Sport!W252+Közművelődés!Y301+Támogatás!AC265</f>
        <v>0</v>
      </c>
      <c r="Y250" s="413">
        <f>Igazgatás!X279+Községgazd!AA265+Vagyongazd!X250+Közút!X254+Sport!X252+Közművelődés!Z301+Támogatás!AD265</f>
        <v>0</v>
      </c>
      <c r="AB250" s="180"/>
    </row>
    <row r="251" spans="1:28" s="41" customFormat="1" ht="15.75" hidden="1" customHeight="1" thickBot="1" x14ac:dyDescent="0.3">
      <c r="A251" s="118" t="s">
        <v>309</v>
      </c>
      <c r="B251" s="188" t="s">
        <v>712</v>
      </c>
      <c r="C251" s="706" t="s">
        <v>310</v>
      </c>
      <c r="D251" s="707"/>
      <c r="E251" s="707"/>
      <c r="F251" s="201" t="e">
        <v>#REF!</v>
      </c>
      <c r="G251" s="347" t="e">
        <v>#REF!</v>
      </c>
      <c r="H251" s="347" t="e">
        <v>#REF!</v>
      </c>
      <c r="I251" s="347" t="e">
        <v>#REF!</v>
      </c>
      <c r="J251" s="347" t="e">
        <v>#REF!</v>
      </c>
      <c r="K251" s="252" t="e">
        <f>Igazgatás!J280+Községgazd!J266+Vagyongazd!#REF!+Közút!J255+Sport!J253+Közművelődés!J302+Támogatás!J266</f>
        <v>#REF!</v>
      </c>
      <c r="L251" s="189" t="e">
        <f>Igazgatás!K280+Községgazd!K266+Vagyongazd!#REF!+Közút!K255+Sport!K253+Közművelődés!K302+Támogatás!K266</f>
        <v>#REF!</v>
      </c>
      <c r="M251" s="201" t="e">
        <f>Igazgatás!L280+Községgazd!L266+Vagyongazd!#REF!+Közút!L255+Sport!L253+Közművelődés!L302+Támogatás!L266</f>
        <v>#REF!</v>
      </c>
      <c r="N251" s="202">
        <f>Igazgatás!M280+Községgazd!P266+Vagyongazd!M251+Közút!M255+Sport!M253+Közművelődés!O302+Támogatás!S266</f>
        <v>0</v>
      </c>
      <c r="O251" s="203">
        <f>Igazgatás!N280+Községgazd!Q266+Vagyongazd!N251+Közút!N255+Sport!N253+Közművelődés!P302+Támogatás!T266</f>
        <v>0</v>
      </c>
      <c r="P251" s="206">
        <f>Igazgatás!O280+Községgazd!R266+Vagyongazd!O251+Közút!O255+Sport!O253+Közművelődés!Q302+Támogatás!U266</f>
        <v>0</v>
      </c>
      <c r="Q251" s="206">
        <f>Igazgatás!P280+Községgazd!S266+Vagyongazd!P251+Közút!P255+Sport!P253+Közművelődés!R302+Támogatás!V266</f>
        <v>0</v>
      </c>
      <c r="R251" s="203">
        <f>Igazgatás!Q280+Községgazd!T266+Vagyongazd!Q251+Közút!Q255+Sport!Q253+Közművelődés!S302+Támogatás!W266</f>
        <v>0</v>
      </c>
      <c r="S251" s="206">
        <f>Igazgatás!R280+Községgazd!U266+Vagyongazd!R251+Közút!R255+Sport!R253+Közművelődés!T302+Támogatás!X266</f>
        <v>0</v>
      </c>
      <c r="T251" s="206">
        <f>Igazgatás!S280+Községgazd!V266+Vagyongazd!S251+Közút!S255+Sport!S253+Közművelődés!U302+Támogatás!Y266</f>
        <v>0</v>
      </c>
      <c r="U251" s="204">
        <f>Igazgatás!T280+Községgazd!W266+Vagyongazd!T251+Közút!T255+Sport!T253+Közművelődés!V302+Támogatás!Z266</f>
        <v>0</v>
      </c>
      <c r="V251" s="347">
        <f>Igazgatás!U280+Községgazd!X266+Vagyongazd!U251+Közút!U255+Sport!U253+Közművelődés!W302+Támogatás!AA266</f>
        <v>0</v>
      </c>
      <c r="W251" s="206">
        <f>Igazgatás!V280+Községgazd!Y266+Vagyongazd!V251+Közút!V255+Sport!V253+Közművelődés!X302+Támogatás!AB266</f>
        <v>0</v>
      </c>
      <c r="X251" s="204">
        <f>Igazgatás!W280+Községgazd!Z266+Vagyongazd!W251+Közút!W255+Sport!W253+Közművelődés!Y302+Támogatás!AC266</f>
        <v>0</v>
      </c>
      <c r="Y251" s="413">
        <f>Igazgatás!X280+Községgazd!AA266+Vagyongazd!X251+Közút!X255+Sport!X253+Közművelődés!Z302+Támogatás!AD266</f>
        <v>0</v>
      </c>
      <c r="AB251" s="180"/>
    </row>
    <row r="252" spans="1:28" s="41" customFormat="1" ht="15.75" hidden="1" customHeight="1" thickBot="1" x14ac:dyDescent="0.3">
      <c r="A252" s="118" t="s">
        <v>311</v>
      </c>
      <c r="B252" s="188" t="s">
        <v>713</v>
      </c>
      <c r="C252" s="706" t="s">
        <v>387</v>
      </c>
      <c r="D252" s="707"/>
      <c r="E252" s="707"/>
      <c r="F252" s="201" t="e">
        <v>#REF!</v>
      </c>
      <c r="G252" s="347" t="e">
        <v>#REF!</v>
      </c>
      <c r="H252" s="347" t="e">
        <v>#REF!</v>
      </c>
      <c r="I252" s="347" t="e">
        <v>#REF!</v>
      </c>
      <c r="J252" s="347" t="e">
        <v>#REF!</v>
      </c>
      <c r="K252" s="252" t="e">
        <f>Igazgatás!J281+Községgazd!J267+Vagyongazd!#REF!+Közút!J256+Sport!J254+Közművelődés!J303+Támogatás!J267</f>
        <v>#REF!</v>
      </c>
      <c r="L252" s="189" t="e">
        <f>Igazgatás!K281+Községgazd!K267+Vagyongazd!#REF!+Közút!K256+Sport!K254+Közművelődés!K303+Támogatás!K267</f>
        <v>#REF!</v>
      </c>
      <c r="M252" s="201" t="e">
        <f>Igazgatás!L281+Községgazd!L267+Vagyongazd!#REF!+Közút!L256+Sport!L254+Közművelődés!L303+Támogatás!L267</f>
        <v>#REF!</v>
      </c>
      <c r="N252" s="202">
        <f>Igazgatás!M281+Községgazd!P267+Vagyongazd!M252+Közút!M256+Sport!M254+Közművelődés!O303+Támogatás!S267</f>
        <v>0</v>
      </c>
      <c r="O252" s="203">
        <f>Igazgatás!N281+Községgazd!Q267+Vagyongazd!N252+Közút!N256+Sport!N254+Közművelődés!P303+Támogatás!T267</f>
        <v>0</v>
      </c>
      <c r="P252" s="206">
        <f>Igazgatás!O281+Községgazd!R267+Vagyongazd!O252+Közút!O256+Sport!O254+Közművelődés!Q303+Támogatás!U267</f>
        <v>0</v>
      </c>
      <c r="Q252" s="206">
        <f>Igazgatás!P281+Községgazd!S267+Vagyongazd!P252+Közút!P256+Sport!P254+Közművelődés!R303+Támogatás!V267</f>
        <v>0</v>
      </c>
      <c r="R252" s="203">
        <f>Igazgatás!Q281+Községgazd!T267+Vagyongazd!Q252+Közút!Q256+Sport!Q254+Közművelődés!S303+Támogatás!W267</f>
        <v>0</v>
      </c>
      <c r="S252" s="206">
        <f>Igazgatás!R281+Községgazd!U267+Vagyongazd!R252+Közút!R256+Sport!R254+Közművelődés!T303+Támogatás!X267</f>
        <v>0</v>
      </c>
      <c r="T252" s="206">
        <f>Igazgatás!S281+Községgazd!V267+Vagyongazd!S252+Közút!S256+Sport!S254+Közművelődés!U303+Támogatás!Y267</f>
        <v>0</v>
      </c>
      <c r="U252" s="204">
        <f>Igazgatás!T281+Községgazd!W267+Vagyongazd!T252+Közút!T256+Sport!T254+Közművelődés!V303+Támogatás!Z267</f>
        <v>0</v>
      </c>
      <c r="V252" s="347">
        <f>Igazgatás!U281+Községgazd!X267+Vagyongazd!U252+Közút!U256+Sport!U254+Közművelődés!W303+Támogatás!AA267</f>
        <v>0</v>
      </c>
      <c r="W252" s="206">
        <f>Igazgatás!V281+Községgazd!Y267+Vagyongazd!V252+Közút!V256+Sport!V254+Közművelődés!X303+Támogatás!AB267</f>
        <v>0</v>
      </c>
      <c r="X252" s="204">
        <f>Igazgatás!W281+Községgazd!Z267+Vagyongazd!W252+Közút!W256+Sport!W254+Közművelődés!Y303+Támogatás!AC267</f>
        <v>0</v>
      </c>
      <c r="Y252" s="413">
        <f>Igazgatás!X281+Községgazd!AA267+Vagyongazd!X252+Közút!X256+Sport!X254+Közművelődés!Z303+Támogatás!AD267</f>
        <v>0</v>
      </c>
      <c r="AB252" s="180"/>
    </row>
    <row r="253" spans="1:28" ht="15.75" hidden="1" customHeight="1" thickBot="1" x14ac:dyDescent="0.3">
      <c r="A253" s="118" t="s">
        <v>313</v>
      </c>
      <c r="B253" s="88" t="s">
        <v>714</v>
      </c>
      <c r="C253" s="626" t="s">
        <v>312</v>
      </c>
      <c r="D253" s="627"/>
      <c r="E253" s="627"/>
      <c r="F253" s="158" t="e">
        <v>#REF!</v>
      </c>
      <c r="G253" s="341" t="e">
        <v>#REF!</v>
      </c>
      <c r="H253" s="341" t="e">
        <v>#REF!</v>
      </c>
      <c r="I253" s="346" t="e">
        <v>#REF!</v>
      </c>
      <c r="J253" s="346" t="e">
        <v>#REF!</v>
      </c>
      <c r="K253" s="233" t="e">
        <f>Igazgatás!J282+Községgazd!J268+Vagyongazd!#REF!+Közút!J257+Sport!J255+Közművelődés!J304+Támogatás!J268</f>
        <v>#REF!</v>
      </c>
      <c r="L253" s="142" t="e">
        <f>Igazgatás!K282+Községgazd!K268+Vagyongazd!#REF!+Közút!K257+Sport!K255+Közművelődés!K304+Támogatás!K268</f>
        <v>#REF!</v>
      </c>
      <c r="M253" s="158" t="e">
        <f>Igazgatás!L282+Községgazd!L268+Vagyongazd!#REF!+Közút!L257+Sport!L255+Közművelődés!L304+Támogatás!L268</f>
        <v>#REF!</v>
      </c>
      <c r="N253" s="90">
        <f>Igazgatás!M282+Községgazd!P268+Vagyongazd!M253+Közút!M257+Sport!M255+Közművelődés!O304+Támogatás!S268</f>
        <v>0</v>
      </c>
      <c r="O253" s="91">
        <f>Igazgatás!N282+Községgazd!Q268+Vagyongazd!N253+Közút!N257+Sport!N255+Közművelődés!P304+Támogatás!T268</f>
        <v>0</v>
      </c>
      <c r="P253" s="94">
        <f>Igazgatás!O282+Községgazd!R268+Vagyongazd!O253+Közút!O257+Sport!O255+Közművelődés!Q304+Támogatás!U268</f>
        <v>0</v>
      </c>
      <c r="Q253" s="94">
        <f>Igazgatás!P282+Községgazd!S268+Vagyongazd!P253+Közút!P257+Sport!P255+Közművelődés!R304+Támogatás!V268</f>
        <v>0</v>
      </c>
      <c r="R253" s="91">
        <f>Igazgatás!Q282+Községgazd!T268+Vagyongazd!Q253+Közút!Q257+Sport!Q255+Közművelődés!S304+Támogatás!W268</f>
        <v>0</v>
      </c>
      <c r="S253" s="94">
        <f>Igazgatás!R282+Községgazd!U268+Vagyongazd!R253+Közút!R257+Sport!R255+Közművelődés!T304+Támogatás!X268</f>
        <v>0</v>
      </c>
      <c r="T253" s="94">
        <f>Igazgatás!S282+Községgazd!V268+Vagyongazd!S253+Közút!S257+Sport!S255+Közművelődés!U304+Támogatás!Y268</f>
        <v>0</v>
      </c>
      <c r="U253" s="95">
        <f>Igazgatás!T282+Községgazd!W268+Vagyongazd!T253+Közút!T257+Sport!T255+Közművelődés!V304+Támogatás!Z268</f>
        <v>0</v>
      </c>
      <c r="V253" s="341">
        <f>Igazgatás!U282+Községgazd!X268+Vagyongazd!U253+Közút!U257+Sport!U255+Közművelődés!W304+Támogatás!AA268</f>
        <v>0</v>
      </c>
      <c r="W253" s="94">
        <f>Igazgatás!V282+Községgazd!Y268+Vagyongazd!V253+Közút!V257+Sport!V255+Közművelődés!X304+Támogatás!AB268</f>
        <v>0</v>
      </c>
      <c r="X253" s="95">
        <f>Igazgatás!W282+Községgazd!Z268+Vagyongazd!W253+Közút!W257+Sport!W255+Közművelődés!Y304+Támogatás!AC268</f>
        <v>0</v>
      </c>
      <c r="Y253" s="412">
        <f>Igazgatás!X282+Községgazd!AA268+Vagyongazd!X253+Közút!X257+Sport!X255+Közművelődés!Z304+Támogatás!AD268</f>
        <v>0</v>
      </c>
      <c r="AB253" s="180"/>
    </row>
    <row r="254" spans="1:28" ht="15.75" hidden="1" customHeight="1" thickBot="1" x14ac:dyDescent="0.3">
      <c r="A254" s="118" t="s">
        <v>907</v>
      </c>
      <c r="B254" s="88" t="s">
        <v>908</v>
      </c>
      <c r="C254" s="626" t="s">
        <v>909</v>
      </c>
      <c r="D254" s="627"/>
      <c r="E254" s="627"/>
      <c r="F254" s="158" t="e">
        <v>#REF!</v>
      </c>
      <c r="G254" s="341" t="e">
        <v>#REF!</v>
      </c>
      <c r="H254" s="341" t="e">
        <v>#REF!</v>
      </c>
      <c r="I254" s="346" t="e">
        <v>#REF!</v>
      </c>
      <c r="J254" s="346" t="e">
        <v>#REF!</v>
      </c>
      <c r="K254" s="233" t="e">
        <f>Igazgatás!J283+Községgazd!J269+Vagyongazd!#REF!+Közút!J258+Sport!J256+Közművelődés!J305+Támogatás!J269</f>
        <v>#REF!</v>
      </c>
      <c r="L254" s="142" t="e">
        <f>Igazgatás!K283+Községgazd!K269+Vagyongazd!#REF!+Közút!K258+Sport!K256+Közművelődés!K305+Támogatás!K269</f>
        <v>#REF!</v>
      </c>
      <c r="M254" s="158" t="e">
        <f>Igazgatás!L283+Községgazd!L269+Vagyongazd!#REF!+Közút!L258+Sport!L256+Közművelődés!L305+Támogatás!L269</f>
        <v>#REF!</v>
      </c>
      <c r="N254" s="90">
        <f>Igazgatás!M283+Községgazd!P269+Vagyongazd!M254+Közút!M258+Sport!M256+Közművelődés!O305+Támogatás!S269</f>
        <v>0</v>
      </c>
      <c r="O254" s="91">
        <f>Igazgatás!N283+Községgazd!Q269+Vagyongazd!N254+Közút!N258+Sport!N256+Közművelődés!P305+Támogatás!T269</f>
        <v>0</v>
      </c>
      <c r="P254" s="94">
        <f>Igazgatás!O283+Községgazd!R269+Vagyongazd!O254+Közút!O258+Sport!O256+Közművelődés!Q305+Támogatás!U269</f>
        <v>0</v>
      </c>
      <c r="Q254" s="94">
        <f>Igazgatás!P283+Községgazd!S269+Vagyongazd!P254+Közút!P258+Sport!P256+Közművelődés!R305+Támogatás!V269</f>
        <v>0</v>
      </c>
      <c r="R254" s="91">
        <f>Igazgatás!Q283+Községgazd!T269+Vagyongazd!Q254+Közút!Q258+Sport!Q256+Közművelődés!S305+Támogatás!W269</f>
        <v>0</v>
      </c>
      <c r="S254" s="94">
        <f>Igazgatás!R283+Községgazd!U269+Vagyongazd!R254+Közút!R258+Sport!R256+Közművelődés!T305+Támogatás!X269</f>
        <v>0</v>
      </c>
      <c r="T254" s="94">
        <f>Igazgatás!S283+Községgazd!V269+Vagyongazd!S254+Közút!S258+Sport!S256+Közművelődés!U305+Támogatás!Y269</f>
        <v>0</v>
      </c>
      <c r="U254" s="95">
        <f>Igazgatás!T283+Községgazd!W269+Vagyongazd!T254+Közút!T258+Sport!T256+Közművelődés!V305+Támogatás!Z269</f>
        <v>0</v>
      </c>
      <c r="V254" s="341">
        <f>Igazgatás!U283+Községgazd!X269+Vagyongazd!U254+Közút!U258+Sport!U256+Közművelődés!W305+Támogatás!AA269</f>
        <v>0</v>
      </c>
      <c r="W254" s="94">
        <f>Igazgatás!V283+Községgazd!Y269+Vagyongazd!V254+Közút!V258+Sport!V256+Közművelődés!X305+Támogatás!AB269</f>
        <v>0</v>
      </c>
      <c r="X254" s="95">
        <f>Igazgatás!W283+Községgazd!Z269+Vagyongazd!W254+Közút!W258+Sport!W256+Közművelődés!Y305+Támogatás!AC269</f>
        <v>0</v>
      </c>
      <c r="Y254" s="412">
        <f>Igazgatás!X283+Községgazd!AA269+Vagyongazd!X254+Közút!X258+Sport!X256+Közművelődés!Z305+Támogatás!AD269</f>
        <v>0</v>
      </c>
      <c r="AB254" s="180"/>
    </row>
    <row r="255" spans="1:28" ht="15.75" thickBot="1" x14ac:dyDescent="0.3">
      <c r="B255" s="722" t="s">
        <v>314</v>
      </c>
      <c r="C255" s="723"/>
      <c r="D255" s="723"/>
      <c r="E255" s="723"/>
      <c r="F255" s="156">
        <v>141163764</v>
      </c>
      <c r="G255" s="156">
        <v>135936164</v>
      </c>
      <c r="H255" s="156">
        <v>138698203.31999999</v>
      </c>
      <c r="I255" s="571">
        <f>I225+I162+I157+I147+I75+I59+I32+I24+I5</f>
        <v>138756896.71000001</v>
      </c>
      <c r="J255" s="571">
        <f t="shared" ref="J255:M255" si="4">J225+J162+J157+J147+J75+J59+J32+J24+J5</f>
        <v>174124082</v>
      </c>
      <c r="K255" s="573">
        <f t="shared" si="4"/>
        <v>173421311.81999999</v>
      </c>
      <c r="L255" s="573">
        <f t="shared" si="4"/>
        <v>702770</v>
      </c>
      <c r="M255" s="573">
        <f t="shared" si="4"/>
        <v>174124081.81999999</v>
      </c>
      <c r="N255" s="82">
        <f>Igazgatás!M284+Községgazd!P270+Vagyongazd!M255+Közút!M259+Sport!M257+Közművelődés!O306+Támogatás!S270</f>
        <v>6101472.7199999997</v>
      </c>
      <c r="O255" s="83">
        <f>Igazgatás!N284+Községgazd!Q270+Vagyongazd!N255+Szennyvíz!M254+Közút!N259+Sport!N257+Közművelődés!P306+Támogatás!T270</f>
        <v>1155214.6499999999</v>
      </c>
      <c r="P255" s="86">
        <f>Igazgatás!O284+Községgazd!R270+Vagyongazd!O255+Közút!O259+Sport!O257+Közművelődés!Q306+Támogatás!U270</f>
        <v>1386129.62</v>
      </c>
      <c r="Q255" s="86">
        <f>Igazgatás!P284+Községgazd!S270+Vagyongazd!P255+Közút!P259+Sport!P257+Közművelődés!R306+Támogatás!V270</f>
        <v>14710628.65</v>
      </c>
      <c r="R255" s="83">
        <f>Igazgatás!Q284+Községgazd!T270+Vagyongazd!Q255+Közút!Q259+Sport!Q257+Közművelődés!S306+Támogatás!W270</f>
        <v>2270514.65</v>
      </c>
      <c r="S255" s="86">
        <f>Igazgatás!R284+Községgazd!U270+Vagyongazd!R255+Szennyvíz!Q254+Közút!R259+Sport!R257+Közművelődés!T306+Támogatás!X270</f>
        <v>37191703.649999999</v>
      </c>
      <c r="T255" s="86">
        <f>Igazgatás!S284+Községgazd!V270+Vagyongazd!S255+Szennyvíz!R254+Közút!S259+Sport!S257+Közművelődés!U306+Támogatás!Y270</f>
        <v>17784344.649999999</v>
      </c>
      <c r="U255" s="87">
        <f>Igazgatás!T284+Községgazd!W270+Vagyongazd!T255+Szennyvíz!S254+Közút!T259+Sport!T257+Közművelődés!V306+Támogatás!Z270</f>
        <v>2189005</v>
      </c>
      <c r="V255" s="338">
        <f>Igazgatás!U284+Községgazd!X270+Vagyongazd!U255+Szennyvíz!T254+Közút!U259+Sport!U257+Közművelődés!W306+Támogatás!AA270</f>
        <v>15880147.145000001</v>
      </c>
      <c r="W255" s="86">
        <f>Igazgatás!V284+Községgazd!Y270+Vagyongazd!V255+Közút!V259+Sport!V257+Közművelődés!X306+Támogatás!AB270</f>
        <v>3579331.835</v>
      </c>
      <c r="X255" s="87">
        <f>Igazgatás!W284+Községgazd!Z270+Vagyongazd!W255+Szennyvíz!V254+Közút!W259+Sport!W257+Közművelődés!Y306+Támogatás!AC270</f>
        <v>4368730.625</v>
      </c>
      <c r="Y255" s="410">
        <f>Igazgatás!X284+Községgazd!AA270+Vagyongazd!X255+Szennyvíz!W254+Közút!X259+Sport!X257+Közművelődés!Z306+Támogatás!AD270</f>
        <v>68989061.625</v>
      </c>
      <c r="AB255" s="180"/>
    </row>
    <row r="256" spans="1:28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24"/>
      <c r="L256" s="24"/>
      <c r="M256" s="58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24"/>
      <c r="L257" s="24"/>
      <c r="M257" s="58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28" t="s">
        <v>1051</v>
      </c>
      <c r="L258" s="28"/>
      <c r="M258" s="58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B259" s="27"/>
      <c r="C259" s="24"/>
      <c r="D259" s="24"/>
      <c r="E259" s="28"/>
      <c r="F259" s="28"/>
      <c r="G259" s="28"/>
      <c r="H259" s="28"/>
      <c r="I259" s="28"/>
      <c r="J259" s="28"/>
      <c r="K259" s="28"/>
      <c r="L259" s="334"/>
      <c r="M259" s="58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28"/>
      <c r="L260" s="334"/>
      <c r="M260" s="58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28"/>
      <c r="L261" s="28"/>
      <c r="M261" s="58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28"/>
      <c r="M262" s="58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28"/>
      <c r="M263" s="58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24"/>
      <c r="L264" s="24"/>
      <c r="M264" s="58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24"/>
      <c r="L265" s="24"/>
      <c r="M265" s="58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24"/>
      <c r="L266" s="24"/>
      <c r="M266" s="58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28"/>
      <c r="M267" s="58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28"/>
      <c r="L268" s="28"/>
      <c r="M268" s="58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28"/>
      <c r="L269" s="28"/>
      <c r="M269" s="58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28"/>
      <c r="K270" s="28"/>
      <c r="L270" s="28"/>
      <c r="M270" s="58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28"/>
      <c r="M271" s="58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28"/>
      <c r="M272" s="58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28"/>
      <c r="M273" s="58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28"/>
      <c r="M274" s="58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28"/>
      <c r="M275" s="58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28"/>
      <c r="M276" s="58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24"/>
      <c r="K277" s="24"/>
      <c r="L277" s="24"/>
      <c r="M277" s="58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28"/>
      <c r="M278" s="58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28"/>
      <c r="M279" s="58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28"/>
      <c r="M280" s="58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28"/>
      <c r="K281" s="28"/>
      <c r="L281" s="28"/>
      <c r="M281" s="58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28"/>
      <c r="M282" s="58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28"/>
      <c r="M283" s="58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28"/>
      <c r="M284" s="58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28"/>
      <c r="M285" s="58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28"/>
      <c r="M286" s="58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28"/>
      <c r="M287" s="58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24"/>
      <c r="K288" s="24"/>
      <c r="L288" s="24"/>
      <c r="M288" s="58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28"/>
      <c r="M289" s="58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28"/>
      <c r="M290" s="58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28"/>
      <c r="M291" s="58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28"/>
      <c r="M292" s="58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28"/>
      <c r="M293" s="58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28"/>
      <c r="M294" s="58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28"/>
      <c r="M295" s="58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28"/>
      <c r="M296" s="58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28"/>
      <c r="M297" s="58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28"/>
      <c r="M298" s="58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24"/>
      <c r="K299" s="24"/>
      <c r="L299" s="24"/>
      <c r="M299" s="58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24"/>
      <c r="K300" s="24"/>
      <c r="L300" s="24"/>
      <c r="M300" s="58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24"/>
      <c r="K301" s="24"/>
      <c r="L301" s="24"/>
      <c r="M301" s="58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24"/>
      <c r="K302" s="24"/>
      <c r="L302" s="24"/>
      <c r="M302" s="58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28"/>
      <c r="M303" s="58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28"/>
      <c r="M304" s="58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28"/>
      <c r="M305" s="58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28"/>
      <c r="M306" s="58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28"/>
      <c r="M307" s="58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28"/>
      <c r="M308" s="58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28"/>
      <c r="M309" s="58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28"/>
      <c r="M310" s="58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28"/>
      <c r="M311" s="58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28"/>
      <c r="M312" s="58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24"/>
      <c r="K313" s="24"/>
      <c r="L313" s="24"/>
      <c r="M313" s="58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28"/>
      <c r="M314" s="58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28"/>
      <c r="M315" s="58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28"/>
      <c r="M316" s="58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4"/>
      <c r="D317" s="24"/>
      <c r="E317" s="28"/>
      <c r="F317" s="28"/>
      <c r="G317" s="28"/>
      <c r="H317" s="28"/>
      <c r="I317" s="28"/>
      <c r="J317" s="28"/>
      <c r="K317" s="28"/>
      <c r="L317" s="28"/>
    </row>
    <row r="318" spans="1:25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28"/>
      <c r="M318" s="18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28"/>
      <c r="M319" s="49"/>
    </row>
    <row r="320" spans="1:25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28"/>
      <c r="M320" s="49"/>
    </row>
    <row r="321" spans="1:25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28"/>
      <c r="M321" s="49"/>
    </row>
    <row r="322" spans="1:25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28"/>
      <c r="M322" s="49"/>
    </row>
    <row r="323" spans="1:25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28"/>
      <c r="M323" s="49"/>
    </row>
    <row r="324" spans="1:25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24"/>
      <c r="K324" s="24"/>
      <c r="L324" s="24"/>
      <c r="M324" s="49"/>
    </row>
    <row r="325" spans="1:25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28"/>
      <c r="M325" s="49"/>
    </row>
    <row r="326" spans="1:25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28"/>
      <c r="M326" s="49"/>
    </row>
    <row r="327" spans="1:25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28"/>
      <c r="M327" s="49"/>
    </row>
    <row r="328" spans="1:25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28"/>
      <c r="K328" s="28"/>
      <c r="L328" s="28"/>
      <c r="M328" s="49"/>
    </row>
    <row r="329" spans="1:25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28"/>
      <c r="M329" s="49"/>
    </row>
    <row r="330" spans="1:25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28"/>
      <c r="M330" s="49"/>
    </row>
    <row r="331" spans="1:25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28"/>
      <c r="M331" s="49"/>
    </row>
    <row r="332" spans="1:25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28"/>
      <c r="M332" s="49"/>
    </row>
    <row r="333" spans="1:25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28"/>
      <c r="M333" s="49"/>
    </row>
    <row r="334" spans="1:25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28"/>
      <c r="M334" s="49"/>
    </row>
    <row r="335" spans="1:25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K335" s="28"/>
      <c r="L335" s="28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K336" s="24"/>
      <c r="L336" s="24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28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K338" s="24"/>
      <c r="L338" s="24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28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28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28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28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24"/>
      <c r="L343" s="24"/>
      <c r="M343" s="58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28"/>
      <c r="M344" s="58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28"/>
      <c r="M345" s="58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24"/>
      <c r="L346" s="24"/>
      <c r="M346" s="58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24"/>
      <c r="M347" s="58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28"/>
      <c r="M348" s="58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28"/>
      <c r="M349" s="58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28"/>
      <c r="M350" s="58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24"/>
      <c r="M351" s="58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28"/>
      <c r="M352" s="58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28"/>
      <c r="M353" s="58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28"/>
      <c r="M354" s="58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28"/>
      <c r="M355" s="58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28"/>
      <c r="M356" s="58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28"/>
      <c r="M357" s="58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28"/>
      <c r="M358" s="58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28"/>
      <c r="M359" s="58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28"/>
      <c r="M360" s="58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28"/>
      <c r="M361" s="58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24"/>
      <c r="K362" s="24"/>
      <c r="L362" s="24"/>
      <c r="M362" s="58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24"/>
      <c r="K363" s="24"/>
      <c r="L363" s="24"/>
      <c r="M363" s="58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24"/>
      <c r="K364" s="24"/>
      <c r="L364" s="24"/>
      <c r="M364" s="58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28"/>
      <c r="M365" s="58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L366" s="28"/>
      <c r="M366" s="58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28"/>
      <c r="M367" s="58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24"/>
      <c r="M368" s="58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28"/>
      <c r="M369" s="58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28"/>
      <c r="M370" s="58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24"/>
      <c r="K371" s="24"/>
      <c r="L371" s="24"/>
      <c r="M371" s="58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28"/>
      <c r="M372" s="58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28"/>
      <c r="M373" s="58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28"/>
      <c r="M374" s="58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28"/>
      <c r="M375" s="58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28"/>
      <c r="M376" s="58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28"/>
      <c r="M377" s="58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28"/>
      <c r="M378" s="58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24"/>
      <c r="M379" s="58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24"/>
      <c r="M380" s="58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24"/>
      <c r="K381" s="24"/>
      <c r="L381" s="24"/>
      <c r="M381" s="58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24"/>
      <c r="K382" s="24"/>
      <c r="L382" s="24"/>
      <c r="M382" s="58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28"/>
      <c r="M383" s="58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28"/>
      <c r="M384" s="58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28"/>
      <c r="M385" s="58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28"/>
      <c r="M386" s="58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24"/>
      <c r="K387" s="24"/>
      <c r="L387" s="24"/>
      <c r="M387" s="58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28"/>
      <c r="M388" s="58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28"/>
      <c r="M389" s="58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28"/>
      <c r="M390" s="58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28"/>
      <c r="M391" s="58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28"/>
      <c r="M392" s="58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24"/>
      <c r="M393" s="58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24"/>
      <c r="M394" s="58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28"/>
      <c r="M395" s="58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28"/>
      <c r="M396" s="58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28"/>
      <c r="K397" s="28"/>
      <c r="L397" s="28"/>
      <c r="M397" s="58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24"/>
      <c r="K398" s="24"/>
      <c r="L398" s="24"/>
      <c r="M398" s="58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24"/>
      <c r="K399" s="24"/>
      <c r="L399" s="24"/>
      <c r="M399" s="58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24"/>
      <c r="M400" s="58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28"/>
      <c r="M401" s="58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28"/>
      <c r="M402" s="58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24"/>
      <c r="M403" s="58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24"/>
      <c r="M404" s="58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28"/>
      <c r="M405" s="58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28"/>
      <c r="M406" s="58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24"/>
      <c r="M407" s="58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24"/>
      <c r="K408" s="24"/>
      <c r="L408" s="24"/>
      <c r="M408" s="58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24"/>
      <c r="M409" s="58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24"/>
      <c r="M410" s="58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24"/>
      <c r="M411" s="58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24"/>
      <c r="K412" s="24"/>
      <c r="L412" s="24"/>
      <c r="M412" s="58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58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58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58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58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58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58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58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58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58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24"/>
      <c r="M422" s="58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58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58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58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5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5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5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58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58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58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28"/>
      <c r="M432" s="58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28"/>
      <c r="M433" s="58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24"/>
      <c r="K434" s="24"/>
      <c r="L434" s="24"/>
      <c r="M434" s="58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24"/>
      <c r="K435" s="24"/>
      <c r="L435" s="24"/>
      <c r="M435" s="58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24"/>
      <c r="M436" s="58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24"/>
      <c r="M437" s="58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24"/>
      <c r="M438" s="58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28"/>
      <c r="M439" s="58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28"/>
      <c r="M440" s="58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28"/>
      <c r="M441" s="58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28"/>
      <c r="M442" s="58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28"/>
      <c r="M443" s="58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28"/>
      <c r="M444" s="58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28"/>
      <c r="M445" s="58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28"/>
      <c r="M446" s="58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28"/>
      <c r="M447" s="58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24"/>
      <c r="K448" s="24"/>
      <c r="L448" s="24"/>
      <c r="M448" s="58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28"/>
      <c r="M449" s="58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28"/>
      <c r="M450" s="58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28"/>
      <c r="M451" s="58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28"/>
      <c r="M452" s="58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28"/>
      <c r="M453" s="58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28"/>
      <c r="M454" s="58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28"/>
      <c r="M455" s="58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28"/>
      <c r="M456" s="58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28"/>
      <c r="M457" s="58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28"/>
      <c r="M458" s="58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28"/>
      <c r="M459" s="58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24"/>
      <c r="K460" s="24"/>
      <c r="L460" s="24"/>
      <c r="M460" s="58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24"/>
      <c r="K461" s="24"/>
      <c r="L461" s="24"/>
      <c r="M461" s="58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36"/>
      <c r="K462" s="36"/>
      <c r="L462" s="36"/>
      <c r="M462" s="58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24"/>
      <c r="K463" s="24"/>
      <c r="L463" s="24"/>
      <c r="M463" s="58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24"/>
      <c r="K464" s="24"/>
      <c r="L464" s="24"/>
      <c r="M464" s="58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24"/>
      <c r="K465" s="24"/>
      <c r="L465" s="24"/>
      <c r="M465" s="58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36"/>
      <c r="M466" s="58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24"/>
      <c r="M467" s="58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19"/>
      <c r="C468" s="24"/>
      <c r="D468" s="24"/>
      <c r="E468" s="37"/>
      <c r="F468" s="37"/>
      <c r="G468" s="37"/>
      <c r="H468" s="37"/>
      <c r="I468" s="37"/>
      <c r="J468" s="37"/>
      <c r="K468" s="37"/>
      <c r="L468" s="37"/>
    </row>
    <row r="469" spans="1:25" x14ac:dyDescent="0.25">
      <c r="A469" s="120"/>
      <c r="B469" s="19"/>
      <c r="C469" s="24"/>
      <c r="D469" s="24"/>
      <c r="E469" s="37"/>
      <c r="F469" s="37"/>
      <c r="G469" s="37"/>
      <c r="H469" s="37"/>
      <c r="I469" s="37"/>
      <c r="J469" s="37"/>
      <c r="K469" s="37"/>
      <c r="L469" s="37"/>
    </row>
    <row r="470" spans="1:25" x14ac:dyDescent="0.25">
      <c r="A470" s="120"/>
      <c r="B470" s="19"/>
      <c r="C470" s="24"/>
      <c r="D470" s="24"/>
      <c r="E470" s="37"/>
      <c r="F470" s="37"/>
      <c r="G470" s="37"/>
      <c r="H470" s="37"/>
      <c r="I470" s="37"/>
      <c r="J470" s="37"/>
      <c r="K470" s="37"/>
      <c r="L470" s="37"/>
    </row>
    <row r="471" spans="1:25" x14ac:dyDescent="0.25">
      <c r="A471" s="120"/>
      <c r="B471" s="19"/>
      <c r="C471" s="24"/>
      <c r="D471" s="24"/>
      <c r="E471" s="37"/>
      <c r="F471" s="37"/>
      <c r="G471" s="37"/>
      <c r="H471" s="37"/>
      <c r="I471" s="37"/>
      <c r="J471" s="37"/>
      <c r="K471" s="37"/>
      <c r="L471" s="37"/>
    </row>
    <row r="472" spans="1:25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  <c r="L472" s="37"/>
    </row>
    <row r="473" spans="1:25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  <c r="L473" s="37"/>
    </row>
    <row r="474" spans="1:25" x14ac:dyDescent="0.25">
      <c r="A474" s="120"/>
      <c r="B474" s="34"/>
      <c r="C474" s="35"/>
      <c r="D474" s="35"/>
      <c r="E474" s="36"/>
      <c r="F474" s="36"/>
      <c r="G474" s="36"/>
      <c r="H474" s="36"/>
      <c r="I474" s="36"/>
      <c r="J474" s="36"/>
      <c r="K474" s="36"/>
      <c r="L474" s="36"/>
    </row>
    <row r="475" spans="1:25" x14ac:dyDescent="0.25">
      <c r="A475" s="120"/>
      <c r="B475" s="19"/>
      <c r="C475" s="37"/>
      <c r="D475" s="37"/>
      <c r="E475" s="24"/>
      <c r="F475" s="24"/>
      <c r="G475" s="24"/>
      <c r="H475" s="24"/>
      <c r="I475" s="24"/>
      <c r="J475" s="24"/>
      <c r="K475" s="24"/>
      <c r="L475" s="24"/>
    </row>
    <row r="476" spans="1:25" x14ac:dyDescent="0.25">
      <c r="A476" s="120"/>
      <c r="B476" s="19"/>
      <c r="C476" s="37"/>
      <c r="D476" s="37"/>
      <c r="E476" s="24"/>
      <c r="F476" s="24"/>
      <c r="G476" s="24"/>
      <c r="H476" s="24"/>
      <c r="I476" s="24"/>
      <c r="J476" s="24"/>
      <c r="K476" s="24"/>
      <c r="L476" s="24"/>
    </row>
    <row r="477" spans="1:25" x14ac:dyDescent="0.25">
      <c r="A477" s="120"/>
      <c r="B477" s="19"/>
      <c r="C477" s="37"/>
      <c r="D477" s="37"/>
      <c r="E477" s="24"/>
      <c r="F477" s="24"/>
      <c r="G477" s="24"/>
      <c r="H477" s="24"/>
      <c r="I477" s="24"/>
      <c r="J477" s="24"/>
      <c r="K477" s="24"/>
      <c r="L477" s="24"/>
    </row>
    <row r="478" spans="1:25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24"/>
      <c r="M478" s="18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24"/>
      <c r="M479" s="49"/>
    </row>
    <row r="480" spans="1:25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24"/>
      <c r="K480" s="24"/>
      <c r="L480" s="24"/>
      <c r="M480" s="49"/>
    </row>
    <row r="481" spans="1:25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24"/>
      <c r="K481" s="24"/>
      <c r="L481" s="24"/>
      <c r="M481" s="49"/>
    </row>
    <row r="482" spans="1:25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24"/>
      <c r="M482" s="49"/>
    </row>
    <row r="483" spans="1:25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24"/>
      <c r="M483" s="49"/>
    </row>
    <row r="484" spans="1:25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24"/>
      <c r="K484" s="24"/>
      <c r="L484" s="24"/>
      <c r="M484" s="49"/>
    </row>
    <row r="485" spans="1:25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24"/>
      <c r="M485" s="49"/>
    </row>
    <row r="486" spans="1:25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24"/>
      <c r="M486" s="49"/>
    </row>
    <row r="487" spans="1:25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8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8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8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8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8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8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8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8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8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8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8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8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8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8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8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8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8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8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8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8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8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8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8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8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8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8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8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8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8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8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8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8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8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8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8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8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8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8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8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8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8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8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8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8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8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8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8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8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8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8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8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8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8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8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8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8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8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8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8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8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8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8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8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8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8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8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8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8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8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8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8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8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8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8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8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8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8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8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8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8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8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8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8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8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8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8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8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8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8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8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8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8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8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8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8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8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8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8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8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8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8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8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8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8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8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8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8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8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8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8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8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8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8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8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8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8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8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8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8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8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8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8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8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8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8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8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8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8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8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8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8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8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8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8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8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8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8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8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8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8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8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8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8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8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8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8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8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8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8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8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8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8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8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8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8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8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8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8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8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8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8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8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8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8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8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8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8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8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8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8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8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8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8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8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8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8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8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8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8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8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8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8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8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8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8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8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8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8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8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8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8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8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8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8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8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8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8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8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8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8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8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8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8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8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8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8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8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8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8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8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8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8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8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8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8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8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8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8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8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8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8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8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8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8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8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8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8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8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8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8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8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8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8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</sheetData>
  <mergeCells count="247"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41:E41"/>
    <mergeCell ref="C42:E42"/>
    <mergeCell ref="C43:E43"/>
    <mergeCell ref="C44:E44"/>
    <mergeCell ref="C45:E45"/>
    <mergeCell ref="D46:E46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23:E23"/>
    <mergeCell ref="F2:F4"/>
    <mergeCell ref="G2:G4"/>
    <mergeCell ref="C24:E24"/>
    <mergeCell ref="C20:E20"/>
    <mergeCell ref="C21:E21"/>
    <mergeCell ref="V2:Y3"/>
    <mergeCell ref="N2:U3"/>
    <mergeCell ref="C22:E22"/>
    <mergeCell ref="K2:M2"/>
    <mergeCell ref="K3:K4"/>
    <mergeCell ref="L3:L4"/>
    <mergeCell ref="M3:M4"/>
    <mergeCell ref="C5:E5"/>
    <mergeCell ref="B2:E4"/>
    <mergeCell ref="C6:E6"/>
    <mergeCell ref="H2:H4"/>
    <mergeCell ref="I2:I4"/>
    <mergeCell ref="J2:J4"/>
  </mergeCells>
  <pageMargins left="0.23622047244094491" right="0.23622047244094491" top="0.74803149606299213" bottom="0.74803149606299213" header="0.31496062992125984" footer="0.31496062992125984"/>
  <pageSetup paperSize="9" scale="62" orientation="portrait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748"/>
  <sheetViews>
    <sheetView view="pageLayout" topLeftCell="B1" zoomScale="76" zoomScaleNormal="79" zoomScaleSheetLayoutView="100" zoomScalePageLayoutView="76" workbookViewId="0">
      <selection activeCell="Y1" sqref="Y1:Y104857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140625" style="12" customWidth="1"/>
    <col min="10" max="10" width="11.85546875" style="12" customWidth="1"/>
    <col min="11" max="11" width="11.140625" style="12" customWidth="1"/>
    <col min="12" max="12" width="11.7109375" style="49" customWidth="1"/>
    <col min="13" max="16" width="10.140625" style="12" bestFit="1" customWidth="1"/>
    <col min="17" max="17" width="10.5703125" style="12" bestFit="1" customWidth="1"/>
    <col min="18" max="19" width="10.140625" style="12" bestFit="1" customWidth="1"/>
    <col min="20" max="20" width="11.85546875" style="12" bestFit="1" customWidth="1"/>
    <col min="21" max="21" width="11" style="12" customWidth="1"/>
    <col min="22" max="22" width="10.140625" style="12" bestFit="1" customWidth="1"/>
    <col min="23" max="23" width="11.7109375" style="12" customWidth="1"/>
    <col min="24" max="25" width="11.28515625" style="12" bestFit="1" customWidth="1"/>
    <col min="26" max="28" width="9.140625" style="17"/>
    <col min="29" max="29" width="10.140625" style="17" bestFit="1" customWidth="1"/>
    <col min="30" max="16384" width="9.140625" style="17"/>
  </cols>
  <sheetData>
    <row r="1" spans="1:25" ht="15.75" thickBot="1" x14ac:dyDescent="0.3">
      <c r="X1" s="11" t="s">
        <v>827</v>
      </c>
      <c r="Y1" s="11"/>
    </row>
    <row r="2" spans="1:25" ht="15" customHeight="1" x14ac:dyDescent="0.25">
      <c r="B2" s="677" t="s">
        <v>0</v>
      </c>
      <c r="C2" s="668"/>
      <c r="D2" s="668"/>
      <c r="E2" s="668"/>
      <c r="F2" s="669" t="s">
        <v>1049</v>
      </c>
      <c r="G2" s="669" t="s">
        <v>1052</v>
      </c>
      <c r="H2" s="669" t="s">
        <v>1054</v>
      </c>
      <c r="I2" s="669" t="s">
        <v>1055</v>
      </c>
      <c r="J2" s="691" t="s">
        <v>1041</v>
      </c>
      <c r="K2" s="683"/>
      <c r="L2" s="684"/>
      <c r="M2" s="661" t="s">
        <v>1053</v>
      </c>
      <c r="N2" s="668"/>
      <c r="O2" s="668"/>
      <c r="P2" s="668"/>
      <c r="Q2" s="668"/>
      <c r="R2" s="668"/>
      <c r="S2" s="668"/>
      <c r="T2" s="669"/>
      <c r="U2" s="668" t="s">
        <v>1042</v>
      </c>
      <c r="V2" s="668"/>
      <c r="W2" s="668"/>
      <c r="X2" s="669"/>
      <c r="Y2" s="725"/>
    </row>
    <row r="3" spans="1:25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  <c r="Y3" s="726"/>
    </row>
    <row r="4" spans="1:25" ht="21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553" t="s">
        <v>600</v>
      </c>
      <c r="V4" s="408" t="s">
        <v>601</v>
      </c>
      <c r="W4" s="408" t="s">
        <v>602</v>
      </c>
      <c r="X4" s="390" t="s">
        <v>603</v>
      </c>
      <c r="Y4" s="727"/>
    </row>
    <row r="5" spans="1:25" ht="15.75" customHeight="1" thickBot="1" x14ac:dyDescent="0.3">
      <c r="B5" s="81" t="s">
        <v>118</v>
      </c>
      <c r="C5" s="698" t="s">
        <v>119</v>
      </c>
      <c r="D5" s="699"/>
      <c r="E5" s="699"/>
      <c r="F5" s="156">
        <v>5903794</v>
      </c>
      <c r="G5" s="338">
        <v>5829789</v>
      </c>
      <c r="H5" s="308">
        <v>5829789</v>
      </c>
      <c r="I5" s="506">
        <v>5929789</v>
      </c>
      <c r="J5" s="230">
        <f>J6+J20</f>
        <v>6329893</v>
      </c>
      <c r="K5" s="139">
        <f t="shared" ref="K5:X5" si="0">K6+K20</f>
        <v>472500</v>
      </c>
      <c r="L5" s="156">
        <f>SUM(J5:K5)</f>
        <v>6802393</v>
      </c>
      <c r="M5" s="82">
        <f t="shared" si="0"/>
        <v>452590</v>
      </c>
      <c r="N5" s="83">
        <f t="shared" si="0"/>
        <v>459358</v>
      </c>
      <c r="O5" s="86">
        <f t="shared" si="0"/>
        <v>470585</v>
      </c>
      <c r="P5" s="86">
        <f t="shared" si="0"/>
        <v>676805</v>
      </c>
      <c r="Q5" s="83">
        <f t="shared" si="0"/>
        <v>424652</v>
      </c>
      <c r="R5" s="86">
        <f t="shared" si="0"/>
        <v>465585</v>
      </c>
      <c r="S5" s="86">
        <f t="shared" si="0"/>
        <v>470585</v>
      </c>
      <c r="T5" s="87">
        <f t="shared" si="0"/>
        <v>575099</v>
      </c>
      <c r="U5" s="338">
        <f t="shared" si="0"/>
        <v>500416</v>
      </c>
      <c r="V5" s="86">
        <f t="shared" si="0"/>
        <v>449558</v>
      </c>
      <c r="W5" s="86">
        <f t="shared" si="0"/>
        <v>476680</v>
      </c>
      <c r="X5" s="87">
        <f t="shared" si="0"/>
        <v>1380480</v>
      </c>
      <c r="Y5" s="308"/>
    </row>
    <row r="6" spans="1:25" x14ac:dyDescent="0.25">
      <c r="B6" s="115" t="s">
        <v>608</v>
      </c>
      <c r="C6" s="653" t="s">
        <v>120</v>
      </c>
      <c r="D6" s="654"/>
      <c r="E6" s="654"/>
      <c r="F6" s="157">
        <v>1153330</v>
      </c>
      <c r="G6" s="339">
        <v>1079325</v>
      </c>
      <c r="H6" s="309">
        <v>1079325</v>
      </c>
      <c r="I6" s="507">
        <v>1079325</v>
      </c>
      <c r="J6" s="231">
        <f>J7+J8+J9+J10+J11+J12+J13+J14+J15+J16+J17+J18+J19</f>
        <v>1951929</v>
      </c>
      <c r="K6" s="140">
        <f t="shared" ref="K6:X6" si="1">K7+K8+K9+K10+K11+K12+K13+K14+K15+K16+K17+K18+K19</f>
        <v>0</v>
      </c>
      <c r="L6" s="157">
        <f t="shared" ref="L6:L94" si="2">SUM(J6:K6)</f>
        <v>1951929</v>
      </c>
      <c r="M6" s="109">
        <f t="shared" si="1"/>
        <v>66010</v>
      </c>
      <c r="N6" s="110">
        <f t="shared" si="1"/>
        <v>74005</v>
      </c>
      <c r="O6" s="113">
        <f t="shared" si="1"/>
        <v>74005</v>
      </c>
      <c r="P6" s="113">
        <f t="shared" si="1"/>
        <v>115005</v>
      </c>
      <c r="Q6" s="110">
        <f t="shared" si="1"/>
        <v>74005</v>
      </c>
      <c r="R6" s="113">
        <f t="shared" si="1"/>
        <v>74005</v>
      </c>
      <c r="S6" s="113">
        <f t="shared" si="1"/>
        <v>74005</v>
      </c>
      <c r="T6" s="114">
        <f t="shared" si="1"/>
        <v>207269</v>
      </c>
      <c r="U6" s="339">
        <f t="shared" si="1"/>
        <v>74005</v>
      </c>
      <c r="V6" s="113">
        <f t="shared" si="1"/>
        <v>74005</v>
      </c>
      <c r="W6" s="113">
        <f t="shared" si="1"/>
        <v>74005</v>
      </c>
      <c r="X6" s="114">
        <f t="shared" si="1"/>
        <v>971605</v>
      </c>
      <c r="Y6" s="309"/>
    </row>
    <row r="7" spans="1:25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880065</v>
      </c>
      <c r="G7" s="340">
        <v>880065</v>
      </c>
      <c r="H7" s="310">
        <v>880065</v>
      </c>
      <c r="I7" s="508">
        <v>880065</v>
      </c>
      <c r="J7" s="251">
        <f>SUM(M7:X7)</f>
        <v>880065</v>
      </c>
      <c r="K7" s="182"/>
      <c r="L7" s="183">
        <f t="shared" si="2"/>
        <v>880065</v>
      </c>
      <c r="M7" s="191">
        <v>66010</v>
      </c>
      <c r="N7" s="185">
        <v>74005</v>
      </c>
      <c r="O7" s="186">
        <v>74005</v>
      </c>
      <c r="P7" s="186">
        <v>74005</v>
      </c>
      <c r="Q7" s="185">
        <v>74005</v>
      </c>
      <c r="R7" s="186">
        <v>74005</v>
      </c>
      <c r="S7" s="186">
        <v>74005</v>
      </c>
      <c r="T7" s="187">
        <v>74005</v>
      </c>
      <c r="U7" s="184">
        <v>74005</v>
      </c>
      <c r="V7" s="185">
        <v>74005</v>
      </c>
      <c r="W7" s="185">
        <v>74005</v>
      </c>
      <c r="X7" s="185">
        <v>74005</v>
      </c>
      <c r="Y7" s="310"/>
    </row>
    <row r="8" spans="1:25" s="199" customFormat="1" ht="15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74005</v>
      </c>
      <c r="G8" s="340">
        <v>74005</v>
      </c>
      <c r="H8" s="310">
        <v>74005</v>
      </c>
      <c r="I8" s="508">
        <v>74005</v>
      </c>
      <c r="J8" s="251">
        <f t="shared" ref="J8:J19" si="3">SUM(M8:X8)</f>
        <v>897600</v>
      </c>
      <c r="K8" s="182"/>
      <c r="L8" s="183">
        <f t="shared" si="2"/>
        <v>897600</v>
      </c>
      <c r="M8" s="191">
        <v>0</v>
      </c>
      <c r="N8" s="184">
        <v>0</v>
      </c>
      <c r="O8" s="186">
        <v>0</v>
      </c>
      <c r="P8" s="186">
        <v>0</v>
      </c>
      <c r="Q8" s="185">
        <v>0</v>
      </c>
      <c r="R8" s="186">
        <v>0</v>
      </c>
      <c r="S8" s="186">
        <v>0</v>
      </c>
      <c r="T8" s="187"/>
      <c r="U8" s="340"/>
      <c r="V8" s="186"/>
      <c r="W8" s="186"/>
      <c r="X8" s="187">
        <v>897600</v>
      </c>
      <c r="Y8" s="310"/>
    </row>
    <row r="9" spans="1:25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74005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  <c r="Y9" s="310"/>
    </row>
    <row r="10" spans="1:25" s="199" customForma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74005</v>
      </c>
      <c r="G10" s="340">
        <v>74005</v>
      </c>
      <c r="H10" s="310">
        <v>74005</v>
      </c>
      <c r="I10" s="508">
        <v>74005</v>
      </c>
      <c r="J10" s="251">
        <f>SUM(M10:X10)</f>
        <v>74005</v>
      </c>
      <c r="K10" s="182"/>
      <c r="L10" s="183">
        <f>SUM(J10:K10)</f>
        <v>74005</v>
      </c>
      <c r="M10" s="191">
        <v>0</v>
      </c>
      <c r="N10" s="184">
        <v>0</v>
      </c>
      <c r="O10" s="186">
        <v>0</v>
      </c>
      <c r="P10" s="186">
        <v>0</v>
      </c>
      <c r="Q10" s="185">
        <v>0</v>
      </c>
      <c r="R10" s="186">
        <v>0</v>
      </c>
      <c r="S10" s="186">
        <v>0</v>
      </c>
      <c r="T10" s="187">
        <v>74005</v>
      </c>
      <c r="U10" s="340"/>
      <c r="V10" s="186"/>
      <c r="W10" s="186"/>
      <c r="X10" s="187">
        <v>0</v>
      </c>
      <c r="Y10" s="310"/>
    </row>
    <row r="11" spans="1:25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  <c r="Y11" s="310"/>
    </row>
    <row r="12" spans="1:25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  <c r="Y12" s="310"/>
    </row>
    <row r="13" spans="1:25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41000</v>
      </c>
      <c r="G13" s="340">
        <v>41000</v>
      </c>
      <c r="H13" s="310">
        <v>41000</v>
      </c>
      <c r="I13" s="508">
        <v>41000</v>
      </c>
      <c r="J13" s="251">
        <f>SUM(M13:X13)</f>
        <v>90009</v>
      </c>
      <c r="K13" s="182"/>
      <c r="L13" s="183">
        <f>SUM(J13:K13)</f>
        <v>90009</v>
      </c>
      <c r="M13" s="191">
        <v>0</v>
      </c>
      <c r="N13" s="185">
        <v>0</v>
      </c>
      <c r="O13" s="186"/>
      <c r="P13" s="186">
        <v>41000</v>
      </c>
      <c r="Q13" s="185">
        <v>0</v>
      </c>
      <c r="R13" s="186">
        <v>0</v>
      </c>
      <c r="S13" s="186">
        <v>0</v>
      </c>
      <c r="T13" s="187">
        <v>49009</v>
      </c>
      <c r="U13" s="340">
        <v>0</v>
      </c>
      <c r="V13" s="186">
        <v>0</v>
      </c>
      <c r="W13" s="186">
        <v>0</v>
      </c>
      <c r="X13" s="187">
        <v>0</v>
      </c>
      <c r="Y13" s="310"/>
    </row>
    <row r="14" spans="1:25" s="199" customFormat="1" ht="15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10250</v>
      </c>
      <c r="G14" s="340">
        <v>10250</v>
      </c>
      <c r="H14" s="310">
        <v>10250</v>
      </c>
      <c r="I14" s="508">
        <v>10250</v>
      </c>
      <c r="J14" s="251">
        <f t="shared" si="3"/>
        <v>10250</v>
      </c>
      <c r="K14" s="182"/>
      <c r="L14" s="183">
        <f t="shared" si="2"/>
        <v>10250</v>
      </c>
      <c r="M14" s="191">
        <v>0</v>
      </c>
      <c r="N14" s="185">
        <v>0</v>
      </c>
      <c r="O14" s="186">
        <v>0</v>
      </c>
      <c r="P14" s="186">
        <v>0</v>
      </c>
      <c r="Q14" s="185">
        <v>0</v>
      </c>
      <c r="R14" s="186">
        <v>0</v>
      </c>
      <c r="S14" s="186">
        <v>0</v>
      </c>
      <c r="T14" s="187">
        <v>10250</v>
      </c>
      <c r="U14" s="340"/>
      <c r="V14" s="186"/>
      <c r="W14" s="186"/>
      <c r="X14" s="187"/>
      <c r="Y14" s="310"/>
    </row>
    <row r="15" spans="1:25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  <c r="Y15" s="310"/>
    </row>
    <row r="16" spans="1:25" s="199" customFormat="1" ht="15.75" hidden="1" customHeight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  <c r="Y16" s="310"/>
    </row>
    <row r="17" spans="1:25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  <c r="Y17" s="310"/>
    </row>
    <row r="18" spans="1:25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  <c r="Y18" s="310"/>
    </row>
    <row r="19" spans="1:25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  <c r="Y19" s="310"/>
    </row>
    <row r="20" spans="1:25" ht="15" customHeight="1" x14ac:dyDescent="0.25">
      <c r="B20" s="88" t="s">
        <v>622</v>
      </c>
      <c r="C20" s="640" t="s">
        <v>146</v>
      </c>
      <c r="D20" s="641"/>
      <c r="E20" s="641"/>
      <c r="F20" s="158">
        <v>4750464</v>
      </c>
      <c r="G20" s="341">
        <v>4750464</v>
      </c>
      <c r="H20" s="311">
        <v>4750464</v>
      </c>
      <c r="I20" s="509">
        <v>4850464</v>
      </c>
      <c r="J20" s="233">
        <f>J21+J22+J23</f>
        <v>4377964</v>
      </c>
      <c r="K20" s="142">
        <f t="shared" ref="K20:X20" si="4">K21+K22+K23</f>
        <v>472500</v>
      </c>
      <c r="L20" s="158">
        <f>SUM(J20:K20)</f>
        <v>4850464</v>
      </c>
      <c r="M20" s="90">
        <f t="shared" si="4"/>
        <v>386580</v>
      </c>
      <c r="N20" s="91">
        <f t="shared" si="4"/>
        <v>385353</v>
      </c>
      <c r="O20" s="94">
        <f t="shared" si="4"/>
        <v>396580</v>
      </c>
      <c r="P20" s="94">
        <f t="shared" si="4"/>
        <v>561800</v>
      </c>
      <c r="Q20" s="91">
        <f t="shared" si="4"/>
        <v>350647</v>
      </c>
      <c r="R20" s="94">
        <f t="shared" si="4"/>
        <v>391580</v>
      </c>
      <c r="S20" s="94">
        <f t="shared" si="4"/>
        <v>396580</v>
      </c>
      <c r="T20" s="95">
        <f t="shared" si="4"/>
        <v>367830</v>
      </c>
      <c r="U20" s="341">
        <f t="shared" si="4"/>
        <v>426411</v>
      </c>
      <c r="V20" s="94">
        <f t="shared" si="4"/>
        <v>375553</v>
      </c>
      <c r="W20" s="94">
        <f>W21+W22+W23</f>
        <v>402675</v>
      </c>
      <c r="X20" s="95">
        <f t="shared" si="4"/>
        <v>408875</v>
      </c>
      <c r="Y20" s="311"/>
    </row>
    <row r="21" spans="1:25" s="41" customForma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4277964</v>
      </c>
      <c r="G21" s="342">
        <v>4277964</v>
      </c>
      <c r="H21" s="312">
        <v>4277964</v>
      </c>
      <c r="I21" s="510">
        <v>4277964</v>
      </c>
      <c r="J21" s="239">
        <f>SUM(M21:X21)</f>
        <v>4277964</v>
      </c>
      <c r="K21" s="148"/>
      <c r="L21" s="160">
        <f t="shared" si="2"/>
        <v>4277964</v>
      </c>
      <c r="M21" s="13">
        <v>344080</v>
      </c>
      <c r="N21" s="13">
        <v>344080</v>
      </c>
      <c r="O21" s="79">
        <v>344080</v>
      </c>
      <c r="P21" s="79">
        <v>444080</v>
      </c>
      <c r="Q21" s="13">
        <v>344080</v>
      </c>
      <c r="R21" s="79">
        <v>344080</v>
      </c>
      <c r="S21" s="79">
        <v>344080</v>
      </c>
      <c r="T21" s="45">
        <v>344080</v>
      </c>
      <c r="U21" s="43">
        <v>355833</v>
      </c>
      <c r="V21" s="13">
        <f>344080+12417</f>
        <v>356497</v>
      </c>
      <c r="W21" s="13">
        <f>344080+12417</f>
        <v>356497</v>
      </c>
      <c r="X21" s="13">
        <f>344080+12417</f>
        <v>356497</v>
      </c>
      <c r="Y21" s="312"/>
    </row>
    <row r="22" spans="1:25" s="41" customFormat="1" ht="29.25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372500</v>
      </c>
      <c r="G22" s="342">
        <v>372500</v>
      </c>
      <c r="H22" s="312">
        <v>372500</v>
      </c>
      <c r="I22" s="510">
        <v>472500</v>
      </c>
      <c r="J22" s="239"/>
      <c r="K22" s="148">
        <f>SUM(M22:X22)</f>
        <v>472500</v>
      </c>
      <c r="L22" s="160">
        <f>SUM(J22:K22)</f>
        <v>472500</v>
      </c>
      <c r="M22" s="74">
        <v>42500</v>
      </c>
      <c r="N22" s="13">
        <v>40000</v>
      </c>
      <c r="O22" s="79">
        <v>52500</v>
      </c>
      <c r="P22" s="79">
        <v>92500</v>
      </c>
      <c r="Q22" s="13"/>
      <c r="R22" s="79">
        <v>47500</v>
      </c>
      <c r="S22" s="79">
        <v>52500</v>
      </c>
      <c r="T22" s="45">
        <v>23750</v>
      </c>
      <c r="U22" s="342">
        <v>55000</v>
      </c>
      <c r="V22" s="79"/>
      <c r="W22" s="79">
        <v>26250</v>
      </c>
      <c r="X22" s="45">
        <v>40000</v>
      </c>
      <c r="Y22" s="312"/>
    </row>
    <row r="23" spans="1:25" s="41" customFormat="1" ht="15.75" customHeight="1" thickBot="1" x14ac:dyDescent="0.3">
      <c r="A23" s="118" t="s">
        <v>150</v>
      </c>
      <c r="B23" s="188" t="s">
        <v>625</v>
      </c>
      <c r="C23" s="687" t="s">
        <v>1024</v>
      </c>
      <c r="D23" s="688"/>
      <c r="E23" s="688"/>
      <c r="F23" s="160">
        <v>100000</v>
      </c>
      <c r="G23" s="347">
        <v>100000</v>
      </c>
      <c r="H23" s="319">
        <v>100000</v>
      </c>
      <c r="I23" s="511">
        <v>100000</v>
      </c>
      <c r="J23" s="252">
        <f>SUM(M23:X23)</f>
        <v>100000</v>
      </c>
      <c r="K23" s="189"/>
      <c r="L23" s="160">
        <f>SUM(J23:K23)</f>
        <v>100000</v>
      </c>
      <c r="M23" s="72"/>
      <c r="N23" s="1">
        <v>1273</v>
      </c>
      <c r="O23" s="78"/>
      <c r="P23" s="78">
        <v>25220</v>
      </c>
      <c r="Q23" s="1">
        <v>6567</v>
      </c>
      <c r="R23" s="78"/>
      <c r="S23" s="288"/>
      <c r="T23" s="44"/>
      <c r="U23" s="343">
        <v>15578</v>
      </c>
      <c r="V23" s="78">
        <f>16011+3045</f>
        <v>19056</v>
      </c>
      <c r="W23" s="78">
        <v>19928</v>
      </c>
      <c r="X23" s="44">
        <v>12378</v>
      </c>
      <c r="Y23" s="312"/>
    </row>
    <row r="24" spans="1:25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1252756.855</v>
      </c>
      <c r="G24" s="338">
        <v>1252756.855</v>
      </c>
      <c r="H24" s="308">
        <v>1283766.9549999998</v>
      </c>
      <c r="I24" s="506">
        <v>1283767.0949999997</v>
      </c>
      <c r="J24" s="235">
        <f>J25+J26+J27+J28+J29+J30+J31</f>
        <v>1453359.13</v>
      </c>
      <c r="K24" s="144">
        <f>K25+K26+K27+K28+K29+K30+K31</f>
        <v>30000</v>
      </c>
      <c r="L24" s="156">
        <f>SUM(J24:K24)</f>
        <v>1483359.13</v>
      </c>
      <c r="M24" s="82">
        <f t="shared" ref="M24:X24" si="5">M25+M26+M27+M28+M29+M30+M31</f>
        <v>135717</v>
      </c>
      <c r="N24" s="83">
        <f t="shared" si="5"/>
        <v>88547</v>
      </c>
      <c r="O24" s="86">
        <f t="shared" si="5"/>
        <v>90741</v>
      </c>
      <c r="P24" s="86">
        <f t="shared" si="5"/>
        <v>146011</v>
      </c>
      <c r="Q24" s="83">
        <f t="shared" si="5"/>
        <v>81527</v>
      </c>
      <c r="R24" s="86">
        <f t="shared" si="5"/>
        <v>89863</v>
      </c>
      <c r="S24" s="86">
        <f t="shared" si="5"/>
        <v>90741</v>
      </c>
      <c r="T24" s="87">
        <f t="shared" si="5"/>
        <v>106639</v>
      </c>
      <c r="U24" s="338">
        <f t="shared" si="5"/>
        <v>139202.12</v>
      </c>
      <c r="V24" s="86">
        <f t="shared" si="5"/>
        <v>121201.81</v>
      </c>
      <c r="W24" s="86">
        <f t="shared" si="5"/>
        <v>93975.6</v>
      </c>
      <c r="X24" s="87">
        <f t="shared" si="5"/>
        <v>299193.60000000003</v>
      </c>
      <c r="Y24" s="308"/>
    </row>
    <row r="25" spans="1:25" x14ac:dyDescent="0.25">
      <c r="B25" s="59"/>
      <c r="C25" s="700" t="s">
        <v>154</v>
      </c>
      <c r="D25" s="701"/>
      <c r="E25" s="701"/>
      <c r="F25" s="159">
        <v>1147401.7050000001</v>
      </c>
      <c r="G25" s="468">
        <v>1147401.7050000001</v>
      </c>
      <c r="H25" s="316">
        <v>1147188.8049999999</v>
      </c>
      <c r="I25" s="512">
        <v>1147188.9449999998</v>
      </c>
      <c r="J25" s="236">
        <f>SUM(M25:X25)</f>
        <v>1293359.1299999999</v>
      </c>
      <c r="K25" s="145"/>
      <c r="L25" s="159">
        <f t="shared" si="2"/>
        <v>1293359.1299999999</v>
      </c>
      <c r="M25" s="1">
        <v>98635</v>
      </c>
      <c r="N25" s="1">
        <v>88547</v>
      </c>
      <c r="O25" s="78">
        <v>90741</v>
      </c>
      <c r="P25" s="78">
        <v>97761</v>
      </c>
      <c r="Q25" s="1">
        <v>81527</v>
      </c>
      <c r="R25" s="78">
        <v>89863</v>
      </c>
      <c r="S25" s="78">
        <v>90741</v>
      </c>
      <c r="T25" s="44">
        <v>85695</v>
      </c>
      <c r="U25" s="42">
        <f>(U7+U20)*0.195+2206+2462</f>
        <v>102249.12000000001</v>
      </c>
      <c r="V25" s="1">
        <f>(V7+V20)*0.195+16767</f>
        <v>104430.81</v>
      </c>
      <c r="W25" s="1">
        <f>(W7+W20)*0.195+1023</f>
        <v>93975.6</v>
      </c>
      <c r="X25" s="1">
        <f>(X7+X20+X8+X10)*0.195</f>
        <v>269193.60000000003</v>
      </c>
      <c r="Y25" s="313"/>
    </row>
    <row r="26" spans="1:25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>SUM(M26:X26)</f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  <c r="Y26" s="313"/>
    </row>
    <row r="27" spans="1:25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>SUM(M27:X27)</f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  <c r="Y27" s="313"/>
    </row>
    <row r="28" spans="1:25" x14ac:dyDescent="0.25">
      <c r="B28" s="60"/>
      <c r="C28" s="702" t="s">
        <v>157</v>
      </c>
      <c r="D28" s="703"/>
      <c r="E28" s="703"/>
      <c r="F28" s="159">
        <v>57193.9</v>
      </c>
      <c r="G28" s="343">
        <v>57193.9</v>
      </c>
      <c r="H28" s="313">
        <v>76098.899999999994</v>
      </c>
      <c r="I28" s="513">
        <v>76098.899999999994</v>
      </c>
      <c r="J28" s="237">
        <f>SUM(M28:X28)-K28</f>
        <v>80000</v>
      </c>
      <c r="K28" s="146">
        <f>20000</f>
        <v>20000</v>
      </c>
      <c r="L28" s="159">
        <f>SUM(J28:K28)</f>
        <v>100000</v>
      </c>
      <c r="M28" s="72">
        <v>22049</v>
      </c>
      <c r="N28" s="1">
        <v>0</v>
      </c>
      <c r="O28" s="78"/>
      <c r="P28" s="78">
        <v>23293</v>
      </c>
      <c r="Q28" s="1"/>
      <c r="R28" s="78">
        <v>0</v>
      </c>
      <c r="S28" s="78"/>
      <c r="T28" s="44">
        <v>10455</v>
      </c>
      <c r="U28" s="343">
        <v>16107</v>
      </c>
      <c r="V28" s="78">
        <v>8096</v>
      </c>
      <c r="W28" s="78">
        <f>W14*1.18*0.22</f>
        <v>0</v>
      </c>
      <c r="X28" s="44">
        <v>20000</v>
      </c>
      <c r="Y28" s="313"/>
    </row>
    <row r="29" spans="1:25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>SUM(M29:X29)</f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  <c r="Y29" s="313"/>
    </row>
    <row r="30" spans="1:25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>SUM(M30:X30)</f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  <c r="Y30" s="313"/>
    </row>
    <row r="31" spans="1:25" ht="15.75" thickBot="1" x14ac:dyDescent="0.3">
      <c r="B31" s="61"/>
      <c r="C31" s="704" t="s">
        <v>160</v>
      </c>
      <c r="D31" s="705"/>
      <c r="E31" s="705"/>
      <c r="F31" s="159">
        <v>48161.25</v>
      </c>
      <c r="G31" s="467">
        <v>48161.25</v>
      </c>
      <c r="H31" s="486">
        <v>60479.25</v>
      </c>
      <c r="I31" s="514">
        <v>60479.25</v>
      </c>
      <c r="J31" s="238">
        <f>SUM(M31:X31)-K31</f>
        <v>80000</v>
      </c>
      <c r="K31" s="147">
        <v>10000</v>
      </c>
      <c r="L31" s="159">
        <f t="shared" si="2"/>
        <v>90000</v>
      </c>
      <c r="M31" s="72">
        <v>15033</v>
      </c>
      <c r="N31" s="1">
        <v>0</v>
      </c>
      <c r="O31" s="78"/>
      <c r="P31" s="78">
        <v>24957</v>
      </c>
      <c r="Q31" s="1"/>
      <c r="R31" s="78">
        <v>0</v>
      </c>
      <c r="S31" s="288"/>
      <c r="T31" s="44">
        <v>10489</v>
      </c>
      <c r="U31" s="343">
        <v>20846</v>
      </c>
      <c r="V31" s="78">
        <v>8675</v>
      </c>
      <c r="W31" s="78">
        <f>(W14)*1.18*0.15</f>
        <v>0</v>
      </c>
      <c r="X31" s="44">
        <v>10000</v>
      </c>
      <c r="Y31" s="313"/>
    </row>
    <row r="32" spans="1:25" ht="15.75" customHeight="1" thickBot="1" x14ac:dyDescent="0.3">
      <c r="B32" s="81" t="s">
        <v>161</v>
      </c>
      <c r="C32" s="648" t="s">
        <v>162</v>
      </c>
      <c r="D32" s="649"/>
      <c r="E32" s="649"/>
      <c r="F32" s="156">
        <v>5880167</v>
      </c>
      <c r="G32" s="338">
        <v>6150167</v>
      </c>
      <c r="H32" s="308">
        <v>6255683</v>
      </c>
      <c r="I32" s="506">
        <v>6434630</v>
      </c>
      <c r="J32" s="235">
        <f>J33+J39+J46+J71+J76</f>
        <v>6922176</v>
      </c>
      <c r="K32" s="144">
        <f>K33+K39+K46+K71+K76</f>
        <v>200270</v>
      </c>
      <c r="L32" s="156">
        <f t="shared" si="2"/>
        <v>7122446</v>
      </c>
      <c r="M32" s="82">
        <f t="shared" ref="M32:X32" si="6">M33+M39+M46+M71+M76</f>
        <v>173603</v>
      </c>
      <c r="N32" s="83">
        <f t="shared" si="6"/>
        <v>65092</v>
      </c>
      <c r="O32" s="86">
        <f t="shared" si="6"/>
        <v>196688</v>
      </c>
      <c r="P32" s="86">
        <f t="shared" si="6"/>
        <v>793043</v>
      </c>
      <c r="Q32" s="83">
        <f t="shared" si="6"/>
        <v>200142</v>
      </c>
      <c r="R32" s="86">
        <f t="shared" si="6"/>
        <v>1429967</v>
      </c>
      <c r="S32" s="86">
        <f t="shared" si="6"/>
        <v>1255101</v>
      </c>
      <c r="T32" s="87">
        <f t="shared" si="6"/>
        <v>148971</v>
      </c>
      <c r="U32" s="338">
        <f t="shared" si="6"/>
        <v>323838</v>
      </c>
      <c r="V32" s="86">
        <f t="shared" si="6"/>
        <v>215533</v>
      </c>
      <c r="W32" s="86">
        <f t="shared" si="6"/>
        <v>1049723</v>
      </c>
      <c r="X32" s="87">
        <f t="shared" si="6"/>
        <v>1270745</v>
      </c>
      <c r="Y32" s="308"/>
    </row>
    <row r="33" spans="1:25" x14ac:dyDescent="0.25">
      <c r="B33" s="115" t="s">
        <v>626</v>
      </c>
      <c r="C33" s="653" t="s">
        <v>163</v>
      </c>
      <c r="D33" s="654"/>
      <c r="E33" s="654"/>
      <c r="F33" s="157">
        <v>80000</v>
      </c>
      <c r="G33" s="339">
        <v>80000</v>
      </c>
      <c r="H33" s="309">
        <v>83125</v>
      </c>
      <c r="I33" s="507">
        <v>83125</v>
      </c>
      <c r="J33" s="231">
        <f>J34+J35+J38</f>
        <v>90000</v>
      </c>
      <c r="K33" s="140">
        <f t="shared" ref="K33:X33" si="7">K34+K35+K38</f>
        <v>0</v>
      </c>
      <c r="L33" s="157">
        <f t="shared" si="2"/>
        <v>90000</v>
      </c>
      <c r="M33" s="109">
        <f t="shared" si="7"/>
        <v>0</v>
      </c>
      <c r="N33" s="110">
        <f t="shared" si="7"/>
        <v>5750</v>
      </c>
      <c r="O33" s="113">
        <f t="shared" si="7"/>
        <v>0</v>
      </c>
      <c r="P33" s="113">
        <f t="shared" si="7"/>
        <v>0</v>
      </c>
      <c r="Q33" s="110">
        <f t="shared" si="7"/>
        <v>8819</v>
      </c>
      <c r="R33" s="113">
        <f t="shared" si="7"/>
        <v>3110</v>
      </c>
      <c r="S33" s="113">
        <f t="shared" si="7"/>
        <v>4717</v>
      </c>
      <c r="T33" s="114">
        <f t="shared" si="7"/>
        <v>17257</v>
      </c>
      <c r="U33" s="339">
        <f t="shared" si="7"/>
        <v>3937</v>
      </c>
      <c r="V33" s="113">
        <f t="shared" si="7"/>
        <v>13343</v>
      </c>
      <c r="W33" s="113">
        <f t="shared" si="7"/>
        <v>4130</v>
      </c>
      <c r="X33" s="114">
        <f t="shared" si="7"/>
        <v>28937</v>
      </c>
      <c r="Y33" s="309"/>
    </row>
    <row r="34" spans="1:25" s="41" customForma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  <c r="Y34" s="312"/>
    </row>
    <row r="35" spans="1:25" s="41" customFormat="1" ht="15" customHeigh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80000</v>
      </c>
      <c r="G35" s="342">
        <v>80000</v>
      </c>
      <c r="H35" s="312">
        <v>83125</v>
      </c>
      <c r="I35" s="510">
        <v>83125</v>
      </c>
      <c r="J35" s="239">
        <f>SUM(J36:J37)</f>
        <v>90000</v>
      </c>
      <c r="K35" s="148">
        <f>SUM(K36:K37)</f>
        <v>0</v>
      </c>
      <c r="L35" s="160">
        <f>SUM(J35:K35)</f>
        <v>90000</v>
      </c>
      <c r="M35" s="74">
        <f t="shared" ref="M35:X35" si="8">SUM(M36:M37)</f>
        <v>0</v>
      </c>
      <c r="N35" s="13">
        <f t="shared" si="8"/>
        <v>5750</v>
      </c>
      <c r="O35" s="79">
        <f t="shared" si="8"/>
        <v>0</v>
      </c>
      <c r="P35" s="79">
        <f t="shared" si="8"/>
        <v>0</v>
      </c>
      <c r="Q35" s="13">
        <f t="shared" si="8"/>
        <v>8819</v>
      </c>
      <c r="R35" s="79">
        <f t="shared" si="8"/>
        <v>3110</v>
      </c>
      <c r="S35" s="79">
        <f t="shared" si="8"/>
        <v>4717</v>
      </c>
      <c r="T35" s="45">
        <f t="shared" si="8"/>
        <v>17257</v>
      </c>
      <c r="U35" s="342">
        <f t="shared" si="8"/>
        <v>3937</v>
      </c>
      <c r="V35" s="79">
        <f t="shared" si="8"/>
        <v>13343</v>
      </c>
      <c r="W35" s="79">
        <f t="shared" si="8"/>
        <v>4130</v>
      </c>
      <c r="X35" s="45">
        <f t="shared" si="8"/>
        <v>28937</v>
      </c>
      <c r="Y35" s="312"/>
    </row>
    <row r="36" spans="1:25" x14ac:dyDescent="0.25">
      <c r="B36" s="54"/>
      <c r="C36" s="281"/>
      <c r="D36" s="225" t="s">
        <v>1005</v>
      </c>
      <c r="E36" s="225"/>
      <c r="F36" s="159">
        <v>80000</v>
      </c>
      <c r="G36" s="343">
        <v>80000</v>
      </c>
      <c r="H36" s="313">
        <v>83125</v>
      </c>
      <c r="I36" s="513">
        <v>83125</v>
      </c>
      <c r="J36" s="232">
        <f>SUM(M36:X36)</f>
        <v>90000</v>
      </c>
      <c r="K36" s="141"/>
      <c r="L36" s="159">
        <f>SUM(J36:K36)</f>
        <v>90000</v>
      </c>
      <c r="M36" s="72"/>
      <c r="N36" s="1">
        <v>5750</v>
      </c>
      <c r="O36" s="78"/>
      <c r="P36" s="78"/>
      <c r="Q36" s="1">
        <v>8819</v>
      </c>
      <c r="R36" s="78">
        <v>3110</v>
      </c>
      <c r="S36" s="78">
        <v>4717</v>
      </c>
      <c r="T36" s="44">
        <v>17257</v>
      </c>
      <c r="U36" s="343">
        <v>3937</v>
      </c>
      <c r="V36" s="78">
        <v>13343</v>
      </c>
      <c r="W36" s="78">
        <f>2168-780+2742</f>
        <v>4130</v>
      </c>
      <c r="X36" s="44">
        <v>28937</v>
      </c>
      <c r="Y36" s="313"/>
    </row>
    <row r="37" spans="1:25" x14ac:dyDescent="0.25">
      <c r="B37" s="54"/>
      <c r="C37" s="281"/>
      <c r="D37" s="225" t="s">
        <v>1006</v>
      </c>
      <c r="E37" s="225"/>
      <c r="F37" s="159">
        <v>0</v>
      </c>
      <c r="G37" s="343">
        <v>0</v>
      </c>
      <c r="H37" s="313">
        <v>0</v>
      </c>
      <c r="I37" s="513">
        <v>0</v>
      </c>
      <c r="J37" s="232"/>
      <c r="K37" s="141">
        <f>SUM(M37:X37)</f>
        <v>0</v>
      </c>
      <c r="L37" s="159">
        <f>SUM(J37:K37)</f>
        <v>0</v>
      </c>
      <c r="M37" s="72"/>
      <c r="N37" s="1" t="s">
        <v>1051</v>
      </c>
      <c r="O37" s="78"/>
      <c r="P37" s="78"/>
      <c r="Q37" s="1"/>
      <c r="R37" s="78"/>
      <c r="S37" s="78"/>
      <c r="T37" s="44"/>
      <c r="U37" s="343"/>
      <c r="V37" s="78"/>
      <c r="W37" s="78"/>
      <c r="X37" s="44"/>
      <c r="Y37" s="313"/>
    </row>
    <row r="38" spans="1:25" s="41" customFormat="1" ht="15" hidden="1" customHeight="1" x14ac:dyDescent="0.25">
      <c r="A38" s="118" t="s">
        <v>168</v>
      </c>
      <c r="B38" s="53" t="s">
        <v>629</v>
      </c>
      <c r="C38" s="642" t="s">
        <v>169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  <c r="Y38" s="312"/>
    </row>
    <row r="39" spans="1:25" x14ac:dyDescent="0.25">
      <c r="B39" s="88" t="s">
        <v>630</v>
      </c>
      <c r="C39" s="640" t="s">
        <v>170</v>
      </c>
      <c r="D39" s="641"/>
      <c r="E39" s="641"/>
      <c r="F39" s="158">
        <v>162120</v>
      </c>
      <c r="G39" s="341">
        <v>162120</v>
      </c>
      <c r="H39" s="311">
        <v>162121</v>
      </c>
      <c r="I39" s="509">
        <v>162721</v>
      </c>
      <c r="J39" s="233">
        <f>J40+J45</f>
        <v>249175</v>
      </c>
      <c r="K39" s="142">
        <f t="shared" ref="K39:X39" si="9">K40+K45</f>
        <v>0</v>
      </c>
      <c r="L39" s="158">
        <f t="shared" si="2"/>
        <v>249175</v>
      </c>
      <c r="M39" s="90">
        <f t="shared" si="9"/>
        <v>22510</v>
      </c>
      <c r="N39" s="91">
        <f t="shared" si="9"/>
        <v>4500</v>
      </c>
      <c r="O39" s="94">
        <f t="shared" si="9"/>
        <v>13521</v>
      </c>
      <c r="P39" s="94">
        <f t="shared" si="9"/>
        <v>13575</v>
      </c>
      <c r="Q39" s="91">
        <f t="shared" si="9"/>
        <v>13575</v>
      </c>
      <c r="R39" s="94">
        <f t="shared" si="9"/>
        <v>13610</v>
      </c>
      <c r="S39" s="94">
        <f t="shared" si="9"/>
        <v>22586</v>
      </c>
      <c r="T39" s="95">
        <f t="shared" si="9"/>
        <v>28619</v>
      </c>
      <c r="U39" s="341">
        <f t="shared" si="9"/>
        <v>28589</v>
      </c>
      <c r="V39" s="94">
        <f t="shared" si="9"/>
        <v>28585</v>
      </c>
      <c r="W39" s="94">
        <f t="shared" si="9"/>
        <v>28585</v>
      </c>
      <c r="X39" s="95">
        <f t="shared" si="9"/>
        <v>30920</v>
      </c>
      <c r="Y39" s="311"/>
    </row>
    <row r="40" spans="1:25" s="41" customFormat="1" x14ac:dyDescent="0.25">
      <c r="A40" s="118" t="s">
        <v>171</v>
      </c>
      <c r="B40" s="53" t="s">
        <v>631</v>
      </c>
      <c r="C40" s="642" t="s">
        <v>172</v>
      </c>
      <c r="D40" s="643"/>
      <c r="E40" s="643"/>
      <c r="F40" s="160">
        <v>132000</v>
      </c>
      <c r="G40" s="342">
        <v>132000</v>
      </c>
      <c r="H40" s="312">
        <v>132000</v>
      </c>
      <c r="I40" s="510">
        <v>132600</v>
      </c>
      <c r="J40" s="239">
        <f>SUM(J41:J44)</f>
        <v>214175</v>
      </c>
      <c r="K40" s="148">
        <f>SUM(K41:K43)</f>
        <v>0</v>
      </c>
      <c r="L40" s="160">
        <f t="shared" si="2"/>
        <v>214175</v>
      </c>
      <c r="M40" s="74">
        <f t="shared" ref="M40:R40" si="10">SUM(M41:M43)</f>
        <v>17500</v>
      </c>
      <c r="N40" s="13">
        <f t="shared" si="10"/>
        <v>4500</v>
      </c>
      <c r="O40" s="79">
        <f t="shared" si="10"/>
        <v>11000</v>
      </c>
      <c r="P40" s="79">
        <f>SUM(P41:P43)</f>
        <v>11075</v>
      </c>
      <c r="Q40" s="13">
        <f t="shared" si="10"/>
        <v>11075</v>
      </c>
      <c r="R40" s="79">
        <f t="shared" si="10"/>
        <v>11075</v>
      </c>
      <c r="S40" s="79">
        <f>SUM(S41:S43)</f>
        <v>17575</v>
      </c>
      <c r="T40" s="45">
        <f>SUM(T41:T44)</f>
        <v>26075</v>
      </c>
      <c r="U40" s="43">
        <f>SUM(U41:U44)</f>
        <v>26075</v>
      </c>
      <c r="V40" s="43">
        <f>SUM(V41:V44)</f>
        <v>26075</v>
      </c>
      <c r="W40" s="43">
        <f>SUM(W41:W44)</f>
        <v>26075</v>
      </c>
      <c r="X40" s="45">
        <f>SUM(X41:X44)</f>
        <v>26075</v>
      </c>
      <c r="Y40" s="312"/>
    </row>
    <row r="41" spans="1:25" ht="15" customHeight="1" x14ac:dyDescent="0.25">
      <c r="B41" s="54"/>
      <c r="C41" s="281"/>
      <c r="D41" s="225" t="s">
        <v>987</v>
      </c>
      <c r="E41" s="225"/>
      <c r="F41" s="159">
        <v>78000</v>
      </c>
      <c r="G41" s="343">
        <v>78000</v>
      </c>
      <c r="H41" s="313">
        <v>78000</v>
      </c>
      <c r="I41" s="513">
        <v>78000</v>
      </c>
      <c r="J41" s="232">
        <f>SUM(M41:X41)</f>
        <v>84500</v>
      </c>
      <c r="K41" s="141"/>
      <c r="L41" s="159">
        <f>SUM(J41:K41)</f>
        <v>84500</v>
      </c>
      <c r="M41" s="72">
        <v>13000</v>
      </c>
      <c r="N41" s="1"/>
      <c r="O41" s="78">
        <v>6500</v>
      </c>
      <c r="P41" s="78">
        <v>6500</v>
      </c>
      <c r="Q41" s="1">
        <v>6500</v>
      </c>
      <c r="R41" s="78">
        <v>6500</v>
      </c>
      <c r="S41" s="78">
        <v>13000</v>
      </c>
      <c r="T41" s="44">
        <v>6500</v>
      </c>
      <c r="U41" s="42">
        <v>6500</v>
      </c>
      <c r="V41" s="78">
        <v>6500</v>
      </c>
      <c r="W41" s="78">
        <v>6500</v>
      </c>
      <c r="X41" s="44">
        <v>6500</v>
      </c>
      <c r="Y41" s="313"/>
    </row>
    <row r="42" spans="1:25" x14ac:dyDescent="0.25">
      <c r="B42" s="54"/>
      <c r="C42" s="281"/>
      <c r="D42" s="225" t="s">
        <v>988</v>
      </c>
      <c r="E42" s="225"/>
      <c r="F42" s="159">
        <v>36000</v>
      </c>
      <c r="G42" s="343">
        <v>36000</v>
      </c>
      <c r="H42" s="313">
        <v>36000</v>
      </c>
      <c r="I42" s="513">
        <v>36600</v>
      </c>
      <c r="J42" s="232">
        <f>SUM(M42:X42)</f>
        <v>36675</v>
      </c>
      <c r="K42" s="141"/>
      <c r="L42" s="159">
        <f>SUM(J42:K42)</f>
        <v>36675</v>
      </c>
      <c r="M42" s="72">
        <v>3000</v>
      </c>
      <c r="N42" s="1">
        <v>3000</v>
      </c>
      <c r="O42" s="78">
        <v>3000</v>
      </c>
      <c r="P42" s="78">
        <v>3075</v>
      </c>
      <c r="Q42" s="1">
        <v>3075</v>
      </c>
      <c r="R42" s="78">
        <v>3075</v>
      </c>
      <c r="S42" s="78">
        <v>3075</v>
      </c>
      <c r="T42" s="44">
        <v>3075</v>
      </c>
      <c r="U42" s="343">
        <v>3075</v>
      </c>
      <c r="V42" s="78">
        <v>3075</v>
      </c>
      <c r="W42" s="78">
        <v>3075</v>
      </c>
      <c r="X42" s="44">
        <v>3075</v>
      </c>
      <c r="Y42" s="313"/>
    </row>
    <row r="43" spans="1:25" x14ac:dyDescent="0.25">
      <c r="B43" s="54"/>
      <c r="C43" s="281"/>
      <c r="D43" s="225" t="s">
        <v>989</v>
      </c>
      <c r="E43" s="225"/>
      <c r="F43" s="159">
        <v>18000</v>
      </c>
      <c r="G43" s="343">
        <v>18000</v>
      </c>
      <c r="H43" s="313">
        <v>18000</v>
      </c>
      <c r="I43" s="513">
        <v>18000</v>
      </c>
      <c r="J43" s="232">
        <f>SUM(M43:X43)</f>
        <v>18000</v>
      </c>
      <c r="K43" s="141"/>
      <c r="L43" s="159">
        <f>SUM(J43:K43)</f>
        <v>18000</v>
      </c>
      <c r="M43" s="72">
        <v>1500</v>
      </c>
      <c r="N43" s="1">
        <v>1500</v>
      </c>
      <c r="O43" s="78">
        <v>1500</v>
      </c>
      <c r="P43" s="78">
        <v>1500</v>
      </c>
      <c r="Q43" s="1">
        <v>1500</v>
      </c>
      <c r="R43" s="78">
        <v>1500</v>
      </c>
      <c r="S43" s="78">
        <v>1500</v>
      </c>
      <c r="T43" s="44">
        <v>1500</v>
      </c>
      <c r="U43" s="343">
        <v>1500</v>
      </c>
      <c r="V43" s="78">
        <v>1500</v>
      </c>
      <c r="W43" s="78">
        <v>1500</v>
      </c>
      <c r="X43" s="44">
        <v>1500</v>
      </c>
      <c r="Y43" s="313"/>
    </row>
    <row r="44" spans="1:25" x14ac:dyDescent="0.25">
      <c r="B44" s="54"/>
      <c r="C44" s="281"/>
      <c r="D44" s="225" t="s">
        <v>1057</v>
      </c>
      <c r="E44" s="225"/>
      <c r="F44" s="159"/>
      <c r="G44" s="343"/>
      <c r="H44" s="313"/>
      <c r="I44" s="513"/>
      <c r="J44" s="232">
        <f>SUM(M44:X44)</f>
        <v>75000</v>
      </c>
      <c r="K44" s="141"/>
      <c r="L44" s="159">
        <f>SUM(J44:K44)</f>
        <v>75000</v>
      </c>
      <c r="M44" s="72"/>
      <c r="N44" s="1"/>
      <c r="O44" s="78"/>
      <c r="P44" s="78"/>
      <c r="Q44" s="1"/>
      <c r="R44" s="78"/>
      <c r="S44" s="78"/>
      <c r="T44" s="44">
        <v>15000</v>
      </c>
      <c r="U44" s="42">
        <v>15000</v>
      </c>
      <c r="V44" s="42">
        <v>15000</v>
      </c>
      <c r="W44" s="42">
        <v>15000</v>
      </c>
      <c r="X44" s="44">
        <v>15000</v>
      </c>
      <c r="Y44" s="313"/>
    </row>
    <row r="45" spans="1:25" s="41" customFormat="1" ht="15" customHeight="1" x14ac:dyDescent="0.25">
      <c r="A45" s="118" t="s">
        <v>173</v>
      </c>
      <c r="B45" s="53" t="s">
        <v>632</v>
      </c>
      <c r="C45" s="642" t="s">
        <v>174</v>
      </c>
      <c r="D45" s="643"/>
      <c r="E45" s="643"/>
      <c r="F45" s="160">
        <v>30120</v>
      </c>
      <c r="G45" s="342">
        <v>30120</v>
      </c>
      <c r="H45" s="312">
        <v>30121</v>
      </c>
      <c r="I45" s="510">
        <v>30121</v>
      </c>
      <c r="J45" s="239">
        <f>SUM(M45:X45)</f>
        <v>35000</v>
      </c>
      <c r="K45" s="148"/>
      <c r="L45" s="160">
        <f t="shared" si="2"/>
        <v>35000</v>
      </c>
      <c r="M45" s="74">
        <v>5010</v>
      </c>
      <c r="N45" s="13"/>
      <c r="O45" s="79">
        <v>2521</v>
      </c>
      <c r="P45" s="79">
        <v>2500</v>
      </c>
      <c r="Q45" s="13">
        <v>2500</v>
      </c>
      <c r="R45" s="79">
        <v>2535</v>
      </c>
      <c r="S45" s="79">
        <v>5011</v>
      </c>
      <c r="T45" s="45">
        <v>2544</v>
      </c>
      <c r="U45" s="43">
        <v>2514</v>
      </c>
      <c r="V45" s="13">
        <v>2510</v>
      </c>
      <c r="W45" s="13">
        <v>2510</v>
      </c>
      <c r="X45" s="45">
        <f>2335+2510</f>
        <v>4845</v>
      </c>
      <c r="Y45" s="312"/>
    </row>
    <row r="46" spans="1:25" x14ac:dyDescent="0.25">
      <c r="B46" s="88" t="s">
        <v>633</v>
      </c>
      <c r="C46" s="640" t="s">
        <v>175</v>
      </c>
      <c r="D46" s="641"/>
      <c r="E46" s="641"/>
      <c r="F46" s="158">
        <v>3650273</v>
      </c>
      <c r="G46" s="341">
        <v>3650273</v>
      </c>
      <c r="H46" s="311">
        <v>3755016</v>
      </c>
      <c r="I46" s="509">
        <v>3805224</v>
      </c>
      <c r="J46" s="233">
        <f>J47+J51+J52+J53+J54+J57+J65</f>
        <v>3795441</v>
      </c>
      <c r="K46" s="142">
        <f>K47+K51+K52+K53+K54+K57+K65</f>
        <v>200270</v>
      </c>
      <c r="L46" s="158">
        <f t="shared" si="2"/>
        <v>3995711</v>
      </c>
      <c r="M46" s="90">
        <f t="shared" ref="M46:X46" si="11">M47+M51+M52+M53+M54+M57+M65</f>
        <v>144936</v>
      </c>
      <c r="N46" s="91">
        <f t="shared" si="11"/>
        <v>42722</v>
      </c>
      <c r="O46" s="94">
        <f t="shared" si="11"/>
        <v>154255</v>
      </c>
      <c r="P46" s="94">
        <f t="shared" si="11"/>
        <v>618968</v>
      </c>
      <c r="Q46" s="91">
        <f t="shared" si="11"/>
        <v>154994</v>
      </c>
      <c r="R46" s="94">
        <f t="shared" si="11"/>
        <v>952992</v>
      </c>
      <c r="S46" s="94">
        <f t="shared" si="11"/>
        <v>173152</v>
      </c>
      <c r="T46" s="95">
        <f t="shared" si="11"/>
        <v>91462</v>
      </c>
      <c r="U46" s="341">
        <f t="shared" si="11"/>
        <v>190718</v>
      </c>
      <c r="V46" s="94">
        <f t="shared" si="11"/>
        <v>82699</v>
      </c>
      <c r="W46" s="94">
        <f t="shared" si="11"/>
        <v>269445</v>
      </c>
      <c r="X46" s="95">
        <f t="shared" si="11"/>
        <v>1119368</v>
      </c>
      <c r="Y46" s="311"/>
    </row>
    <row r="47" spans="1:25" s="41" customFormat="1" x14ac:dyDescent="0.25">
      <c r="A47" s="118" t="s">
        <v>176</v>
      </c>
      <c r="B47" s="53" t="s">
        <v>634</v>
      </c>
      <c r="C47" s="642" t="s">
        <v>177</v>
      </c>
      <c r="D47" s="643"/>
      <c r="E47" s="643"/>
      <c r="F47" s="160">
        <v>136266</v>
      </c>
      <c r="G47" s="342">
        <v>136266</v>
      </c>
      <c r="H47" s="312">
        <v>136388</v>
      </c>
      <c r="I47" s="510">
        <v>136596</v>
      </c>
      <c r="J47" s="239">
        <f>SUM(J48:J50)</f>
        <v>126578</v>
      </c>
      <c r="K47" s="148">
        <f>SUM(K48:K50)</f>
        <v>0</v>
      </c>
      <c r="L47" s="160">
        <f t="shared" si="2"/>
        <v>126578</v>
      </c>
      <c r="M47" s="74">
        <f t="shared" ref="M47:X47" si="12">SUM(M48:M50)</f>
        <v>10887</v>
      </c>
      <c r="N47" s="13">
        <f t="shared" si="12"/>
        <v>10973</v>
      </c>
      <c r="O47" s="79">
        <f t="shared" si="12"/>
        <v>10826</v>
      </c>
      <c r="P47" s="79">
        <f t="shared" si="12"/>
        <v>10933</v>
      </c>
      <c r="Q47" s="13">
        <f t="shared" si="12"/>
        <v>10927</v>
      </c>
      <c r="R47" s="79">
        <f t="shared" si="12"/>
        <v>790</v>
      </c>
      <c r="S47" s="79">
        <f t="shared" si="12"/>
        <v>16852</v>
      </c>
      <c r="T47" s="45">
        <f t="shared" si="12"/>
        <v>10669</v>
      </c>
      <c r="U47" s="342">
        <f t="shared" si="12"/>
        <v>10925</v>
      </c>
      <c r="V47" s="79">
        <f t="shared" si="12"/>
        <v>8689</v>
      </c>
      <c r="W47" s="79">
        <f t="shared" si="12"/>
        <v>13220</v>
      </c>
      <c r="X47" s="45">
        <f t="shared" si="12"/>
        <v>10887</v>
      </c>
      <c r="Y47" s="312"/>
    </row>
    <row r="48" spans="1:25" ht="15" customHeight="1" x14ac:dyDescent="0.25">
      <c r="B48" s="54"/>
      <c r="C48" s="281"/>
      <c r="D48" s="225" t="s">
        <v>991</v>
      </c>
      <c r="E48" s="225"/>
      <c r="F48" s="159">
        <v>14996</v>
      </c>
      <c r="G48" s="343">
        <v>14996</v>
      </c>
      <c r="H48" s="313">
        <v>14996</v>
      </c>
      <c r="I48" s="513">
        <v>14996</v>
      </c>
      <c r="J48" s="232">
        <f>SUM(M48:X48)</f>
        <v>14961</v>
      </c>
      <c r="K48" s="141"/>
      <c r="L48" s="159">
        <f>SUM(J48:K48)</f>
        <v>14961</v>
      </c>
      <c r="M48" s="72">
        <v>1175</v>
      </c>
      <c r="N48" s="1">
        <v>1183</v>
      </c>
      <c r="O48" s="78">
        <v>1070</v>
      </c>
      <c r="P48" s="78">
        <v>1177</v>
      </c>
      <c r="Q48" s="1">
        <v>1171</v>
      </c>
      <c r="R48" s="78">
        <v>790</v>
      </c>
      <c r="S48" s="78">
        <v>1106</v>
      </c>
      <c r="T48" s="44">
        <v>1140</v>
      </c>
      <c r="U48" s="42">
        <v>1175</v>
      </c>
      <c r="V48" s="1">
        <f>69+1175</f>
        <v>1244</v>
      </c>
      <c r="W48" s="1">
        <v>2555</v>
      </c>
      <c r="X48" s="1">
        <v>1175</v>
      </c>
      <c r="Y48" s="313"/>
    </row>
    <row r="49" spans="1:25" x14ac:dyDescent="0.25">
      <c r="B49" s="54"/>
      <c r="C49" s="281"/>
      <c r="D49" s="225" t="s">
        <v>992</v>
      </c>
      <c r="E49" s="225"/>
      <c r="F49" s="159">
        <v>116670</v>
      </c>
      <c r="G49" s="343">
        <v>116670</v>
      </c>
      <c r="H49" s="313">
        <v>116792</v>
      </c>
      <c r="I49" s="513">
        <v>117000</v>
      </c>
      <c r="J49" s="232">
        <f>SUM(M49:X49)</f>
        <v>107017</v>
      </c>
      <c r="K49" s="141"/>
      <c r="L49" s="159">
        <f>SUM(J49:K49)</f>
        <v>107017</v>
      </c>
      <c r="M49" s="72">
        <v>9712</v>
      </c>
      <c r="N49" s="1">
        <v>9790</v>
      </c>
      <c r="O49" s="78">
        <v>9756</v>
      </c>
      <c r="P49" s="78">
        <v>9756</v>
      </c>
      <c r="Q49" s="1">
        <v>9756</v>
      </c>
      <c r="R49" s="78"/>
      <c r="S49" s="78">
        <v>15746</v>
      </c>
      <c r="T49" s="44">
        <v>9529</v>
      </c>
      <c r="U49" s="343">
        <v>9750</v>
      </c>
      <c r="V49" s="78">
        <f>9782-5990</f>
        <v>3792</v>
      </c>
      <c r="W49" s="78">
        <v>9718</v>
      </c>
      <c r="X49" s="44">
        <v>9712</v>
      </c>
      <c r="Y49" s="313"/>
    </row>
    <row r="50" spans="1:25" x14ac:dyDescent="0.25">
      <c r="B50" s="54"/>
      <c r="C50" s="281"/>
      <c r="D50" s="225" t="s">
        <v>993</v>
      </c>
      <c r="E50" s="225"/>
      <c r="F50" s="159">
        <v>4600</v>
      </c>
      <c r="G50" s="343">
        <v>4600</v>
      </c>
      <c r="H50" s="313">
        <v>4600</v>
      </c>
      <c r="I50" s="513">
        <v>4600</v>
      </c>
      <c r="J50" s="232">
        <f>SUM(M50:X50)</f>
        <v>4600</v>
      </c>
      <c r="K50" s="141"/>
      <c r="L50" s="159">
        <f>SUM(J50:K50)</f>
        <v>4600</v>
      </c>
      <c r="M50" s="72"/>
      <c r="N50" s="1"/>
      <c r="O50" s="78"/>
      <c r="P50" s="78"/>
      <c r="Q50" s="1"/>
      <c r="R50" s="78"/>
      <c r="S50" s="78"/>
      <c r="T50" s="44"/>
      <c r="U50" s="343"/>
      <c r="V50" s="78">
        <v>3653</v>
      </c>
      <c r="W50" s="78">
        <v>947</v>
      </c>
      <c r="X50" s="44"/>
      <c r="Y50" s="313"/>
    </row>
    <row r="51" spans="1:25" s="41" customFormat="1" ht="15" hidden="1" customHeight="1" x14ac:dyDescent="0.25">
      <c r="A51" s="118" t="s">
        <v>178</v>
      </c>
      <c r="B51" s="53" t="s">
        <v>635</v>
      </c>
      <c r="C51" s="642" t="s">
        <v>179</v>
      </c>
      <c r="D51" s="643"/>
      <c r="E51" s="643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  <c r="Y51" s="312"/>
    </row>
    <row r="52" spans="1:25" s="41" customFormat="1" x14ac:dyDescent="0.25">
      <c r="A52" s="118" t="s">
        <v>180</v>
      </c>
      <c r="B52" s="53" t="s">
        <v>636</v>
      </c>
      <c r="C52" s="642" t="s">
        <v>181</v>
      </c>
      <c r="D52" s="643"/>
      <c r="E52" s="643"/>
      <c r="F52" s="160">
        <v>133260</v>
      </c>
      <c r="G52" s="342">
        <v>133260</v>
      </c>
      <c r="H52" s="312">
        <v>133260</v>
      </c>
      <c r="I52" s="510">
        <v>183260</v>
      </c>
      <c r="J52" s="239"/>
      <c r="K52" s="148">
        <f>SUM(M52:X52)</f>
        <v>200270</v>
      </c>
      <c r="L52" s="160">
        <f t="shared" si="2"/>
        <v>200270</v>
      </c>
      <c r="M52" s="74">
        <v>69360</v>
      </c>
      <c r="N52" s="13"/>
      <c r="O52" s="79"/>
      <c r="P52" s="79"/>
      <c r="Q52" s="13">
        <v>59160</v>
      </c>
      <c r="R52" s="79"/>
      <c r="S52" s="79">
        <f>21260+50490</f>
        <v>71750</v>
      </c>
      <c r="T52" s="45"/>
      <c r="U52" s="342">
        <v>0</v>
      </c>
      <c r="V52" s="79"/>
      <c r="W52" s="79"/>
      <c r="X52" s="45"/>
      <c r="Y52" s="312"/>
    </row>
    <row r="53" spans="1:25" s="41" customFormat="1" x14ac:dyDescent="0.25">
      <c r="A53" s="118" t="s">
        <v>182</v>
      </c>
      <c r="B53" s="53" t="s">
        <v>637</v>
      </c>
      <c r="C53" s="642" t="s">
        <v>183</v>
      </c>
      <c r="D53" s="643"/>
      <c r="E53" s="643"/>
      <c r="F53" s="160">
        <v>10000</v>
      </c>
      <c r="G53" s="342">
        <v>10000</v>
      </c>
      <c r="H53" s="312">
        <v>10000</v>
      </c>
      <c r="I53" s="510">
        <v>10000</v>
      </c>
      <c r="J53" s="239">
        <f>SUM(M53:X53)</f>
        <v>26400</v>
      </c>
      <c r="K53" s="148"/>
      <c r="L53" s="160">
        <f t="shared" si="2"/>
        <v>26400</v>
      </c>
      <c r="M53" s="74"/>
      <c r="N53" s="13"/>
      <c r="O53" s="79"/>
      <c r="P53" s="79"/>
      <c r="Q53" s="13"/>
      <c r="R53" s="79"/>
      <c r="S53" s="79"/>
      <c r="T53" s="45">
        <v>20440</v>
      </c>
      <c r="U53" s="342">
        <v>5960</v>
      </c>
      <c r="V53" s="79"/>
      <c r="W53" s="79"/>
      <c r="X53" s="45"/>
      <c r="Y53" s="312"/>
    </row>
    <row r="54" spans="1:25" s="18" customFormat="1" ht="15" customHeight="1" x14ac:dyDescent="0.25">
      <c r="A54" s="118" t="s">
        <v>184</v>
      </c>
      <c r="B54" s="53" t="s">
        <v>638</v>
      </c>
      <c r="C54" s="642" t="s">
        <v>185</v>
      </c>
      <c r="D54" s="643"/>
      <c r="E54" s="643"/>
      <c r="F54" s="160">
        <v>100000</v>
      </c>
      <c r="G54" s="342">
        <v>100000</v>
      </c>
      <c r="H54" s="312">
        <v>100000</v>
      </c>
      <c r="I54" s="510">
        <v>100000</v>
      </c>
      <c r="J54" s="239">
        <f>J55+J56</f>
        <v>100000</v>
      </c>
      <c r="K54" s="148">
        <f t="shared" ref="K54:X54" si="13">K55+K56</f>
        <v>0</v>
      </c>
      <c r="L54" s="160">
        <f t="shared" si="2"/>
        <v>100000</v>
      </c>
      <c r="M54" s="74">
        <f t="shared" si="13"/>
        <v>0</v>
      </c>
      <c r="N54" s="13">
        <f>N55+N56</f>
        <v>0</v>
      </c>
      <c r="O54" s="79">
        <f>O55+O56</f>
        <v>11603</v>
      </c>
      <c r="P54" s="79">
        <f>P55+P56</f>
        <v>0</v>
      </c>
      <c r="Q54" s="13">
        <f t="shared" si="13"/>
        <v>0</v>
      </c>
      <c r="R54" s="79">
        <f t="shared" si="13"/>
        <v>0</v>
      </c>
      <c r="S54" s="79">
        <f t="shared" si="13"/>
        <v>11161</v>
      </c>
      <c r="T54" s="45">
        <f t="shared" si="13"/>
        <v>3600</v>
      </c>
      <c r="U54" s="342">
        <f t="shared" si="13"/>
        <v>46342</v>
      </c>
      <c r="V54" s="79">
        <f t="shared" si="13"/>
        <v>7192</v>
      </c>
      <c r="W54" s="79">
        <f t="shared" si="13"/>
        <v>9092</v>
      </c>
      <c r="X54" s="45">
        <f t="shared" si="13"/>
        <v>11010</v>
      </c>
      <c r="Y54" s="312"/>
    </row>
    <row r="55" spans="1:25" x14ac:dyDescent="0.25">
      <c r="B55" s="54"/>
      <c r="C55" s="229"/>
      <c r="D55" s="624" t="s">
        <v>186</v>
      </c>
      <c r="E55" s="624"/>
      <c r="F55" s="159">
        <v>100000</v>
      </c>
      <c r="G55" s="343">
        <v>100000</v>
      </c>
      <c r="H55" s="313">
        <v>100000</v>
      </c>
      <c r="I55" s="513">
        <v>100000</v>
      </c>
      <c r="J55" s="232">
        <f t="shared" ref="J55:J64" si="14">SUM(M55:X55)</f>
        <v>100000</v>
      </c>
      <c r="K55" s="141"/>
      <c r="L55" s="159">
        <f t="shared" si="2"/>
        <v>100000</v>
      </c>
      <c r="M55" s="72"/>
      <c r="N55" s="1"/>
      <c r="O55" s="78">
        <v>11603</v>
      </c>
      <c r="P55" s="78"/>
      <c r="Q55" s="1"/>
      <c r="R55" s="78"/>
      <c r="S55" s="78">
        <v>11161</v>
      </c>
      <c r="T55" s="44">
        <v>3600</v>
      </c>
      <c r="U55" s="343">
        <f>9151+72767-31976-3600</f>
        <v>46342</v>
      </c>
      <c r="V55" s="78">
        <v>7192</v>
      </c>
      <c r="W55" s="78">
        <v>9092</v>
      </c>
      <c r="X55" s="44">
        <v>11010</v>
      </c>
      <c r="Y55" s="313"/>
    </row>
    <row r="56" spans="1:25" ht="15.75" hidden="1" customHeight="1" thickBot="1" x14ac:dyDescent="0.3">
      <c r="B56" s="54"/>
      <c r="C56" s="229"/>
      <c r="D56" s="624" t="s">
        <v>187</v>
      </c>
      <c r="E56" s="624"/>
      <c r="F56" s="159">
        <v>0</v>
      </c>
      <c r="G56" s="343">
        <v>0</v>
      </c>
      <c r="H56" s="313">
        <v>0</v>
      </c>
      <c r="I56" s="513">
        <v>0</v>
      </c>
      <c r="J56" s="232">
        <f t="shared" si="14"/>
        <v>0</v>
      </c>
      <c r="K56" s="141"/>
      <c r="L56" s="159">
        <f t="shared" si="2"/>
        <v>0</v>
      </c>
      <c r="M56" s="72"/>
      <c r="N56" s="1"/>
      <c r="O56" s="78"/>
      <c r="P56" s="78"/>
      <c r="Q56" s="1"/>
      <c r="R56" s="78"/>
      <c r="S56" s="78"/>
      <c r="T56" s="44"/>
      <c r="U56" s="343"/>
      <c r="V56" s="78"/>
      <c r="W56" s="78"/>
      <c r="X56" s="44"/>
      <c r="Y56" s="313"/>
    </row>
    <row r="57" spans="1:25" s="41" customFormat="1" ht="15" customHeight="1" x14ac:dyDescent="0.25">
      <c r="A57" s="118" t="s">
        <v>188</v>
      </c>
      <c r="B57" s="53" t="s">
        <v>639</v>
      </c>
      <c r="C57" s="628" t="s">
        <v>189</v>
      </c>
      <c r="D57" s="629"/>
      <c r="E57" s="629"/>
      <c r="F57" s="160">
        <v>2686952</v>
      </c>
      <c r="G57" s="342">
        <v>2686952</v>
      </c>
      <c r="H57" s="312">
        <v>2716952</v>
      </c>
      <c r="I57" s="510">
        <v>2716952</v>
      </c>
      <c r="J57" s="239">
        <f>SUM(J58:J64)</f>
        <v>2836952</v>
      </c>
      <c r="K57" s="148">
        <f>SUM(K58:K64)</f>
        <v>0</v>
      </c>
      <c r="L57" s="160">
        <f t="shared" si="2"/>
        <v>2836952</v>
      </c>
      <c r="M57" s="74">
        <f t="shared" ref="M57:X57" si="15">SUM(M58:M64)</f>
        <v>16221</v>
      </c>
      <c r="N57" s="13">
        <f t="shared" si="15"/>
        <v>22721</v>
      </c>
      <c r="O57" s="79">
        <f t="shared" si="15"/>
        <v>41221</v>
      </c>
      <c r="P57" s="79">
        <f t="shared" si="15"/>
        <v>516221</v>
      </c>
      <c r="Q57" s="13">
        <f t="shared" si="15"/>
        <v>16221</v>
      </c>
      <c r="R57" s="79">
        <f t="shared" si="15"/>
        <v>916221</v>
      </c>
      <c r="S57" s="79">
        <f t="shared" si="15"/>
        <v>28821</v>
      </c>
      <c r="T57" s="45">
        <f t="shared" si="15"/>
        <v>22721</v>
      </c>
      <c r="U57" s="342">
        <f t="shared" si="15"/>
        <v>20521</v>
      </c>
      <c r="V57" s="79">
        <f t="shared" si="15"/>
        <v>56221</v>
      </c>
      <c r="W57" s="79">
        <f t="shared" si="15"/>
        <v>193621</v>
      </c>
      <c r="X57" s="45">
        <f t="shared" si="15"/>
        <v>986221</v>
      </c>
      <c r="Y57" s="312"/>
    </row>
    <row r="58" spans="1:25" x14ac:dyDescent="0.25">
      <c r="B58" s="54"/>
      <c r="C58" s="250"/>
      <c r="D58" s="274" t="s">
        <v>982</v>
      </c>
      <c r="E58" s="274"/>
      <c r="F58" s="159">
        <v>140000</v>
      </c>
      <c r="G58" s="343">
        <v>140000</v>
      </c>
      <c r="H58" s="313">
        <v>140000</v>
      </c>
      <c r="I58" s="513">
        <v>140000</v>
      </c>
      <c r="J58" s="232">
        <f t="shared" si="14"/>
        <v>140000</v>
      </c>
      <c r="K58" s="141"/>
      <c r="L58" s="159">
        <f t="shared" si="2"/>
        <v>140000</v>
      </c>
      <c r="M58" s="72"/>
      <c r="N58" s="1"/>
      <c r="O58" s="78"/>
      <c r="P58" s="78"/>
      <c r="Q58" s="1"/>
      <c r="R58" s="78"/>
      <c r="S58" s="78"/>
      <c r="T58" s="44"/>
      <c r="U58" s="343"/>
      <c r="V58" s="78"/>
      <c r="W58" s="78">
        <v>140000</v>
      </c>
      <c r="X58" s="44"/>
      <c r="Y58" s="313"/>
    </row>
    <row r="59" spans="1:25" x14ac:dyDescent="0.25">
      <c r="B59" s="54"/>
      <c r="C59" s="250"/>
      <c r="D59" s="274" t="s">
        <v>983</v>
      </c>
      <c r="E59" s="274"/>
      <c r="F59" s="159">
        <v>85000</v>
      </c>
      <c r="G59" s="343">
        <v>85000</v>
      </c>
      <c r="H59" s="313">
        <v>85000</v>
      </c>
      <c r="I59" s="513">
        <v>85000</v>
      </c>
      <c r="J59" s="232">
        <f t="shared" si="14"/>
        <v>85000</v>
      </c>
      <c r="K59" s="141"/>
      <c r="L59" s="159">
        <f t="shared" si="2"/>
        <v>85000</v>
      </c>
      <c r="M59" s="72"/>
      <c r="N59" s="1"/>
      <c r="O59" s="78">
        <v>25000</v>
      </c>
      <c r="P59" s="78"/>
      <c r="Q59" s="1"/>
      <c r="R59" s="78"/>
      <c r="S59" s="78"/>
      <c r="T59" s="44"/>
      <c r="U59" s="343"/>
      <c r="V59" s="78">
        <v>20000</v>
      </c>
      <c r="W59" s="78">
        <v>20000</v>
      </c>
      <c r="X59" s="78">
        <v>20000</v>
      </c>
      <c r="Y59" s="313"/>
    </row>
    <row r="60" spans="1:25" ht="15" customHeight="1" x14ac:dyDescent="0.25">
      <c r="B60" s="54"/>
      <c r="C60" s="250"/>
      <c r="D60" s="274" t="s">
        <v>984</v>
      </c>
      <c r="E60" s="274"/>
      <c r="F60" s="159">
        <v>143052</v>
      </c>
      <c r="G60" s="343">
        <v>143052</v>
      </c>
      <c r="H60" s="313">
        <v>143052</v>
      </c>
      <c r="I60" s="513">
        <v>143052</v>
      </c>
      <c r="J60" s="232">
        <f t="shared" si="14"/>
        <v>143052</v>
      </c>
      <c r="K60" s="141"/>
      <c r="L60" s="159">
        <f t="shared" si="2"/>
        <v>143052</v>
      </c>
      <c r="M60" s="72">
        <v>11921</v>
      </c>
      <c r="N60" s="1">
        <v>11921</v>
      </c>
      <c r="O60" s="78">
        <v>11921</v>
      </c>
      <c r="P60" s="78">
        <v>11921</v>
      </c>
      <c r="Q60" s="1">
        <v>11921</v>
      </c>
      <c r="R60" s="78">
        <v>11921</v>
      </c>
      <c r="S60" s="78">
        <v>11921</v>
      </c>
      <c r="T60" s="44">
        <v>11921</v>
      </c>
      <c r="U60" s="343">
        <v>11921</v>
      </c>
      <c r="V60" s="78">
        <v>11921</v>
      </c>
      <c r="W60" s="78">
        <v>11921</v>
      </c>
      <c r="X60" s="44">
        <v>11921</v>
      </c>
      <c r="Y60" s="313"/>
    </row>
    <row r="61" spans="1:25" x14ac:dyDescent="0.25">
      <c r="B61" s="54"/>
      <c r="C61" s="250"/>
      <c r="D61" s="326" t="s">
        <v>1021</v>
      </c>
      <c r="E61" s="326"/>
      <c r="F61" s="159">
        <v>2200000</v>
      </c>
      <c r="G61" s="343">
        <v>2200000</v>
      </c>
      <c r="H61" s="313">
        <v>2200000</v>
      </c>
      <c r="I61" s="513">
        <v>2200000</v>
      </c>
      <c r="J61" s="232">
        <f t="shared" si="14"/>
        <v>2300000</v>
      </c>
      <c r="K61" s="141"/>
      <c r="L61" s="159">
        <f>SUM(J61:K61)</f>
        <v>2300000</v>
      </c>
      <c r="M61" s="72"/>
      <c r="N61" s="1"/>
      <c r="O61" s="78"/>
      <c r="P61" s="78">
        <v>500000</v>
      </c>
      <c r="Q61" s="1"/>
      <c r="R61" s="78">
        <v>900000</v>
      </c>
      <c r="S61" s="78"/>
      <c r="T61" s="44"/>
      <c r="U61" s="343"/>
      <c r="V61" s="78"/>
      <c r="W61" s="78"/>
      <c r="X61" s="44">
        <f>1700000-900000+100000</f>
        <v>900000</v>
      </c>
      <c r="Y61" s="313"/>
    </row>
    <row r="62" spans="1:25" x14ac:dyDescent="0.25">
      <c r="B62" s="54"/>
      <c r="C62" s="250"/>
      <c r="D62" s="274" t="s">
        <v>985</v>
      </c>
      <c r="E62" s="274"/>
      <c r="F62" s="159">
        <v>13000</v>
      </c>
      <c r="G62" s="343">
        <v>13000</v>
      </c>
      <c r="H62" s="313">
        <v>13000</v>
      </c>
      <c r="I62" s="513">
        <v>13000</v>
      </c>
      <c r="J62" s="232">
        <f t="shared" si="14"/>
        <v>13000</v>
      </c>
      <c r="K62" s="141"/>
      <c r="L62" s="159">
        <f t="shared" si="2"/>
        <v>13000</v>
      </c>
      <c r="M62" s="72"/>
      <c r="N62" s="1">
        <v>6500</v>
      </c>
      <c r="O62" s="78"/>
      <c r="P62" s="78"/>
      <c r="Q62" s="1"/>
      <c r="R62" s="78"/>
      <c r="S62" s="78"/>
      <c r="T62" s="44">
        <v>6500</v>
      </c>
      <c r="U62" s="343"/>
      <c r="V62" s="78"/>
      <c r="W62" s="78"/>
      <c r="X62" s="44"/>
      <c r="Y62" s="313"/>
    </row>
    <row r="63" spans="1:25" ht="15" customHeight="1" x14ac:dyDescent="0.25">
      <c r="B63" s="54"/>
      <c r="C63" s="250"/>
      <c r="D63" s="274" t="s">
        <v>986</v>
      </c>
      <c r="E63" s="274"/>
      <c r="F63" s="159">
        <v>55900</v>
      </c>
      <c r="G63" s="343">
        <v>55900</v>
      </c>
      <c r="H63" s="313">
        <v>55900</v>
      </c>
      <c r="I63" s="513">
        <v>55900</v>
      </c>
      <c r="J63" s="232">
        <f t="shared" si="14"/>
        <v>55900</v>
      </c>
      <c r="K63" s="141"/>
      <c r="L63" s="159">
        <f t="shared" si="2"/>
        <v>55900</v>
      </c>
      <c r="M63" s="72">
        <v>4300</v>
      </c>
      <c r="N63" s="1">
        <v>4300</v>
      </c>
      <c r="O63" s="78">
        <v>4300</v>
      </c>
      <c r="P63" s="78">
        <v>4300</v>
      </c>
      <c r="Q63" s="1">
        <v>4300</v>
      </c>
      <c r="R63" s="78">
        <v>4300</v>
      </c>
      <c r="S63" s="78">
        <v>4300</v>
      </c>
      <c r="T63" s="44">
        <v>4300</v>
      </c>
      <c r="U63" s="343">
        <v>8600</v>
      </c>
      <c r="V63" s="78">
        <v>4300</v>
      </c>
      <c r="W63" s="78">
        <v>4300</v>
      </c>
      <c r="X63" s="44">
        <v>4300</v>
      </c>
      <c r="Y63" s="313"/>
    </row>
    <row r="64" spans="1:25" x14ac:dyDescent="0.25">
      <c r="B64" s="54"/>
      <c r="C64" s="250"/>
      <c r="D64" s="274" t="s">
        <v>979</v>
      </c>
      <c r="E64" s="274"/>
      <c r="F64" s="159">
        <v>50000</v>
      </c>
      <c r="G64" s="343">
        <v>50000</v>
      </c>
      <c r="H64" s="313">
        <v>80000</v>
      </c>
      <c r="I64" s="513">
        <v>80000</v>
      </c>
      <c r="J64" s="232">
        <f t="shared" si="14"/>
        <v>100000</v>
      </c>
      <c r="K64" s="141"/>
      <c r="L64" s="159">
        <f t="shared" si="2"/>
        <v>100000</v>
      </c>
      <c r="M64" s="72"/>
      <c r="N64" s="1"/>
      <c r="O64" s="78"/>
      <c r="P64" s="78"/>
      <c r="Q64" s="1"/>
      <c r="R64" s="78"/>
      <c r="S64" s="78">
        <v>12600</v>
      </c>
      <c r="T64" s="44"/>
      <c r="U64" s="343"/>
      <c r="V64" s="78">
        <v>20000</v>
      </c>
      <c r="W64" s="78">
        <f>30000-12600</f>
        <v>17400</v>
      </c>
      <c r="X64" s="44">
        <v>50000</v>
      </c>
      <c r="Y64" s="313"/>
    </row>
    <row r="65" spans="1:25" s="41" customFormat="1" x14ac:dyDescent="0.25">
      <c r="A65" s="118" t="s">
        <v>190</v>
      </c>
      <c r="B65" s="53" t="s">
        <v>640</v>
      </c>
      <c r="C65" s="628" t="s">
        <v>191</v>
      </c>
      <c r="D65" s="629"/>
      <c r="E65" s="629"/>
      <c r="F65" s="160">
        <v>583795</v>
      </c>
      <c r="G65" s="342">
        <v>583795</v>
      </c>
      <c r="H65" s="312">
        <v>658416</v>
      </c>
      <c r="I65" s="510">
        <v>658416</v>
      </c>
      <c r="J65" s="239">
        <f>SUM(J66:J70)</f>
        <v>705511</v>
      </c>
      <c r="K65" s="148">
        <f>SUM(K66:K70)</f>
        <v>0</v>
      </c>
      <c r="L65" s="160">
        <f t="shared" si="2"/>
        <v>705511</v>
      </c>
      <c r="M65" s="74">
        <f t="shared" ref="M65:W65" si="16">SUM(M66:M70)</f>
        <v>48468</v>
      </c>
      <c r="N65" s="13">
        <f t="shared" si="16"/>
        <v>9028</v>
      </c>
      <c r="O65" s="79">
        <f t="shared" si="16"/>
        <v>90605</v>
      </c>
      <c r="P65" s="79">
        <f t="shared" si="16"/>
        <v>91814</v>
      </c>
      <c r="Q65" s="13">
        <f t="shared" si="16"/>
        <v>68686</v>
      </c>
      <c r="R65" s="79">
        <f t="shared" si="16"/>
        <v>35981</v>
      </c>
      <c r="S65" s="79">
        <f t="shared" si="16"/>
        <v>44568</v>
      </c>
      <c r="T65" s="45">
        <f t="shared" si="16"/>
        <v>34032</v>
      </c>
      <c r="U65" s="342">
        <f t="shared" si="16"/>
        <v>106970</v>
      </c>
      <c r="V65" s="79">
        <f t="shared" si="16"/>
        <v>10597</v>
      </c>
      <c r="W65" s="79">
        <f t="shared" si="16"/>
        <v>53512</v>
      </c>
      <c r="X65" s="45">
        <f>SUM(X66:X70)</f>
        <v>111250</v>
      </c>
      <c r="Y65" s="312"/>
    </row>
    <row r="66" spans="1:25" ht="15" customHeight="1" x14ac:dyDescent="0.25">
      <c r="B66" s="54"/>
      <c r="C66" s="250"/>
      <c r="D66" s="274" t="s">
        <v>978</v>
      </c>
      <c r="E66" s="274"/>
      <c r="F66" s="159">
        <v>293484</v>
      </c>
      <c r="G66" s="343">
        <v>293484</v>
      </c>
      <c r="H66" s="313">
        <v>302905</v>
      </c>
      <c r="I66" s="513">
        <v>302905</v>
      </c>
      <c r="J66" s="232">
        <f>SUM(M66:X66)</f>
        <v>350000</v>
      </c>
      <c r="K66" s="141"/>
      <c r="L66" s="159">
        <f>SUM(J66:K66)</f>
        <v>350000</v>
      </c>
      <c r="M66" s="72">
        <v>48468</v>
      </c>
      <c r="N66" s="1">
        <v>9028</v>
      </c>
      <c r="O66" s="78">
        <v>53905</v>
      </c>
      <c r="P66" s="78">
        <v>19909</v>
      </c>
      <c r="Q66" s="1">
        <v>43486</v>
      </c>
      <c r="R66" s="78">
        <v>10981</v>
      </c>
      <c r="S66" s="78">
        <v>44568</v>
      </c>
      <c r="T66" s="44">
        <v>34032</v>
      </c>
      <c r="U66" s="343">
        <f>43366-33302</f>
        <v>10064</v>
      </c>
      <c r="V66" s="78">
        <v>10597</v>
      </c>
      <c r="W66" s="78">
        <f>14990+8522+30000</f>
        <v>53512</v>
      </c>
      <c r="X66" s="44">
        <v>11450</v>
      </c>
      <c r="Y66" s="313"/>
    </row>
    <row r="67" spans="1:25" x14ac:dyDescent="0.25">
      <c r="B67" s="54"/>
      <c r="C67" s="250"/>
      <c r="D67" s="274" t="s">
        <v>980</v>
      </c>
      <c r="E67" s="274"/>
      <c r="F67" s="159">
        <v>101602</v>
      </c>
      <c r="G67" s="343">
        <v>101602</v>
      </c>
      <c r="H67" s="313">
        <v>101602</v>
      </c>
      <c r="I67" s="513">
        <v>101602</v>
      </c>
      <c r="J67" s="232">
        <f>SUM(M67:X67)</f>
        <v>101602</v>
      </c>
      <c r="K67" s="141"/>
      <c r="L67" s="159">
        <f>SUM(J67:K67)</f>
        <v>101602</v>
      </c>
      <c r="M67" s="72"/>
      <c r="N67" s="1"/>
      <c r="O67" s="78"/>
      <c r="P67" s="78">
        <v>50801</v>
      </c>
      <c r="Q67" s="1"/>
      <c r="R67" s="78"/>
      <c r="S67" s="78"/>
      <c r="T67" s="44"/>
      <c r="U67" s="343">
        <v>50801</v>
      </c>
      <c r="V67" s="78"/>
      <c r="W67" s="78"/>
      <c r="X67" s="44"/>
      <c r="Y67" s="313"/>
    </row>
    <row r="68" spans="1:25" x14ac:dyDescent="0.25">
      <c r="B68" s="54"/>
      <c r="C68" s="250"/>
      <c r="D68" s="274" t="s">
        <v>981</v>
      </c>
      <c r="E68" s="274"/>
      <c r="F68" s="159">
        <v>100000</v>
      </c>
      <c r="G68" s="343">
        <v>100000</v>
      </c>
      <c r="H68" s="313">
        <v>111700</v>
      </c>
      <c r="I68" s="513">
        <v>111700</v>
      </c>
      <c r="J68" s="232">
        <f>SUM(M68:X68)</f>
        <v>111700</v>
      </c>
      <c r="K68" s="141"/>
      <c r="L68" s="159">
        <f>SUM(J68:K68)</f>
        <v>111700</v>
      </c>
      <c r="M68" s="72"/>
      <c r="N68" s="1"/>
      <c r="O68" s="78">
        <v>36700</v>
      </c>
      <c r="P68" s="78"/>
      <c r="Q68" s="1"/>
      <c r="R68" s="78">
        <v>25000</v>
      </c>
      <c r="S68" s="78"/>
      <c r="T68" s="44"/>
      <c r="U68" s="343">
        <v>25000</v>
      </c>
      <c r="V68" s="78"/>
      <c r="W68" s="78"/>
      <c r="X68" s="44">
        <v>25000</v>
      </c>
      <c r="Y68" s="313"/>
    </row>
    <row r="69" spans="1:25" x14ac:dyDescent="0.25">
      <c r="B69" s="54"/>
      <c r="C69" s="250"/>
      <c r="D69" s="274" t="s">
        <v>1010</v>
      </c>
      <c r="E69" s="274"/>
      <c r="F69" s="159">
        <v>42209</v>
      </c>
      <c r="G69" s="343">
        <v>42209</v>
      </c>
      <c r="H69" s="313">
        <v>42209</v>
      </c>
      <c r="I69" s="513">
        <v>42209</v>
      </c>
      <c r="J69" s="232">
        <f>SUM(M69:X69)</f>
        <v>42209</v>
      </c>
      <c r="K69" s="141"/>
      <c r="L69" s="159">
        <f>SUM(J69:K69)</f>
        <v>42209</v>
      </c>
      <c r="M69" s="72"/>
      <c r="N69" s="1"/>
      <c r="O69" s="78"/>
      <c r="P69" s="78">
        <v>21104</v>
      </c>
      <c r="Q69" s="1"/>
      <c r="R69" s="78"/>
      <c r="S69" s="78"/>
      <c r="T69" s="44"/>
      <c r="U69" s="343">
        <v>21105</v>
      </c>
      <c r="V69" s="78"/>
      <c r="W69" s="78"/>
      <c r="X69" s="44"/>
      <c r="Y69" s="313"/>
    </row>
    <row r="70" spans="1:25" x14ac:dyDescent="0.25">
      <c r="B70" s="54"/>
      <c r="C70" s="250"/>
      <c r="D70" s="274" t="s">
        <v>979</v>
      </c>
      <c r="E70" s="274"/>
      <c r="F70" s="159">
        <v>46500</v>
      </c>
      <c r="G70" s="343">
        <v>46500</v>
      </c>
      <c r="H70" s="313">
        <v>100000</v>
      </c>
      <c r="I70" s="513">
        <v>100000</v>
      </c>
      <c r="J70" s="232">
        <f>SUM(M70:X70)</f>
        <v>100000</v>
      </c>
      <c r="K70" s="141"/>
      <c r="L70" s="159">
        <f>SUM(J70:K70)</f>
        <v>100000</v>
      </c>
      <c r="M70" s="72"/>
      <c r="N70" s="1"/>
      <c r="O70" s="78"/>
      <c r="P70" s="78"/>
      <c r="Q70" s="1">
        <v>25200</v>
      </c>
      <c r="R70" s="78"/>
      <c r="S70" s="78"/>
      <c r="T70" s="44"/>
      <c r="U70" s="343"/>
      <c r="V70" s="78"/>
      <c r="W70" s="78"/>
      <c r="X70" s="44">
        <v>74800</v>
      </c>
      <c r="Y70" s="313"/>
    </row>
    <row r="71" spans="1:25" x14ac:dyDescent="0.25">
      <c r="B71" s="88" t="s">
        <v>641</v>
      </c>
      <c r="C71" s="626" t="s">
        <v>192</v>
      </c>
      <c r="D71" s="627"/>
      <c r="E71" s="627"/>
      <c r="F71" s="158">
        <v>812560</v>
      </c>
      <c r="G71" s="341">
        <v>1082560</v>
      </c>
      <c r="H71" s="311">
        <v>1075680</v>
      </c>
      <c r="I71" s="509">
        <v>1082560</v>
      </c>
      <c r="J71" s="233">
        <f>J72+J73</f>
        <v>1282560</v>
      </c>
      <c r="K71" s="142">
        <f t="shared" ref="K71:X71" si="17">K72+K73</f>
        <v>0</v>
      </c>
      <c r="L71" s="158">
        <f t="shared" si="2"/>
        <v>1282560</v>
      </c>
      <c r="M71" s="90">
        <f t="shared" si="17"/>
        <v>0</v>
      </c>
      <c r="N71" s="91">
        <f t="shared" si="17"/>
        <v>6880</v>
      </c>
      <c r="O71" s="94">
        <f t="shared" si="17"/>
        <v>6880</v>
      </c>
      <c r="P71" s="94">
        <f t="shared" si="17"/>
        <v>13760</v>
      </c>
      <c r="Q71" s="91">
        <f t="shared" si="17"/>
        <v>12225</v>
      </c>
      <c r="R71" s="94">
        <f t="shared" si="17"/>
        <v>191872</v>
      </c>
      <c r="S71" s="94">
        <f t="shared" si="17"/>
        <v>886509</v>
      </c>
      <c r="T71" s="95">
        <f t="shared" si="17"/>
        <v>0</v>
      </c>
      <c r="U71" s="341">
        <f t="shared" si="17"/>
        <v>6880</v>
      </c>
      <c r="V71" s="94">
        <f t="shared" si="17"/>
        <v>6880</v>
      </c>
      <c r="W71" s="94">
        <f t="shared" si="17"/>
        <v>143794</v>
      </c>
      <c r="X71" s="95">
        <f t="shared" si="17"/>
        <v>6880</v>
      </c>
      <c r="Y71" s="311"/>
    </row>
    <row r="72" spans="1:25" s="41" customFormat="1" hidden="1" x14ac:dyDescent="0.25">
      <c r="A72" s="118" t="s">
        <v>193</v>
      </c>
      <c r="B72" s="53" t="s">
        <v>642</v>
      </c>
      <c r="C72" s="628" t="s">
        <v>194</v>
      </c>
      <c r="D72" s="629"/>
      <c r="E72" s="629"/>
      <c r="F72" s="160">
        <v>0</v>
      </c>
      <c r="G72" s="342">
        <v>0</v>
      </c>
      <c r="H72" s="312">
        <v>0</v>
      </c>
      <c r="I72" s="510">
        <v>0</v>
      </c>
      <c r="J72" s="239">
        <f>SUM(M72:X72)</f>
        <v>0</v>
      </c>
      <c r="K72" s="148"/>
      <c r="L72" s="160">
        <f t="shared" si="2"/>
        <v>0</v>
      </c>
      <c r="M72" s="74"/>
      <c r="N72" s="13"/>
      <c r="O72" s="79"/>
      <c r="P72" s="79"/>
      <c r="Q72" s="13"/>
      <c r="R72" s="79"/>
      <c r="S72" s="79"/>
      <c r="T72" s="45"/>
      <c r="U72" s="342"/>
      <c r="V72" s="79"/>
      <c r="W72" s="79"/>
      <c r="X72" s="45"/>
      <c r="Y72" s="312"/>
    </row>
    <row r="73" spans="1:25" s="41" customFormat="1" x14ac:dyDescent="0.25">
      <c r="A73" s="118" t="s">
        <v>195</v>
      </c>
      <c r="B73" s="53" t="s">
        <v>643</v>
      </c>
      <c r="C73" s="628" t="s">
        <v>196</v>
      </c>
      <c r="D73" s="629"/>
      <c r="E73" s="629"/>
      <c r="F73" s="160">
        <v>812560</v>
      </c>
      <c r="G73" s="342">
        <v>1082560</v>
      </c>
      <c r="H73" s="312">
        <v>1075680</v>
      </c>
      <c r="I73" s="510">
        <v>1082560</v>
      </c>
      <c r="J73" s="239">
        <f>SUM(J74:J75)</f>
        <v>1282560</v>
      </c>
      <c r="K73" s="148">
        <f>SUM(K74:K75)</f>
        <v>0</v>
      </c>
      <c r="L73" s="160">
        <f t="shared" si="2"/>
        <v>1282560</v>
      </c>
      <c r="M73" s="74">
        <f t="shared" ref="M73:X73" si="18">SUM(M74:M75)</f>
        <v>0</v>
      </c>
      <c r="N73" s="13">
        <f t="shared" si="18"/>
        <v>6880</v>
      </c>
      <c r="O73" s="79">
        <f t="shared" si="18"/>
        <v>6880</v>
      </c>
      <c r="P73" s="79">
        <f t="shared" si="18"/>
        <v>13760</v>
      </c>
      <c r="Q73" s="13">
        <f t="shared" si="18"/>
        <v>12225</v>
      </c>
      <c r="R73" s="79">
        <f t="shared" si="18"/>
        <v>191872</v>
      </c>
      <c r="S73" s="79">
        <f t="shared" si="18"/>
        <v>886509</v>
      </c>
      <c r="T73" s="45">
        <f t="shared" si="18"/>
        <v>0</v>
      </c>
      <c r="U73" s="342">
        <f t="shared" si="18"/>
        <v>6880</v>
      </c>
      <c r="V73" s="79">
        <f t="shared" si="18"/>
        <v>6880</v>
      </c>
      <c r="W73" s="79">
        <f t="shared" si="18"/>
        <v>143794</v>
      </c>
      <c r="X73" s="45">
        <f t="shared" si="18"/>
        <v>6880</v>
      </c>
      <c r="Y73" s="312"/>
    </row>
    <row r="74" spans="1:25" x14ac:dyDescent="0.25">
      <c r="B74" s="54"/>
      <c r="C74" s="250"/>
      <c r="D74" s="274" t="s">
        <v>1003</v>
      </c>
      <c r="E74" s="274"/>
      <c r="F74" s="159">
        <v>82560</v>
      </c>
      <c r="G74" s="343">
        <v>82560</v>
      </c>
      <c r="H74" s="313">
        <v>75680</v>
      </c>
      <c r="I74" s="513">
        <v>82560</v>
      </c>
      <c r="J74" s="232">
        <f>SUM(M74:X74)</f>
        <v>82560</v>
      </c>
      <c r="K74" s="141"/>
      <c r="L74" s="159">
        <f>SUM(J74:K74)</f>
        <v>82560</v>
      </c>
      <c r="M74" s="72"/>
      <c r="N74" s="1">
        <v>6880</v>
      </c>
      <c r="O74" s="78">
        <v>6880</v>
      </c>
      <c r="P74" s="78">
        <v>13760</v>
      </c>
      <c r="Q74" s="1">
        <v>6880</v>
      </c>
      <c r="R74" s="78">
        <v>6880</v>
      </c>
      <c r="S74" s="78">
        <v>13760</v>
      </c>
      <c r="T74" s="44"/>
      <c r="U74" s="343">
        <v>6880</v>
      </c>
      <c r="V74" s="78">
        <v>6880</v>
      </c>
      <c r="W74" s="78">
        <v>6880</v>
      </c>
      <c r="X74" s="78">
        <v>6880</v>
      </c>
      <c r="Y74" s="313"/>
    </row>
    <row r="75" spans="1:25" x14ac:dyDescent="0.25">
      <c r="B75" s="54"/>
      <c r="C75" s="250"/>
      <c r="D75" s="274" t="s">
        <v>1004</v>
      </c>
      <c r="E75" s="274"/>
      <c r="F75" s="159">
        <v>730000</v>
      </c>
      <c r="G75" s="343">
        <v>1000000</v>
      </c>
      <c r="H75" s="313">
        <v>1000000</v>
      </c>
      <c r="I75" s="513">
        <v>1000000</v>
      </c>
      <c r="J75" s="232">
        <f>SUM(M75:X75)</f>
        <v>1200000</v>
      </c>
      <c r="K75" s="141"/>
      <c r="L75" s="159">
        <f>SUM(J75:K75)</f>
        <v>1200000</v>
      </c>
      <c r="M75" s="72"/>
      <c r="N75" s="1"/>
      <c r="O75" s="78"/>
      <c r="P75" s="78"/>
      <c r="Q75" s="1">
        <v>5345</v>
      </c>
      <c r="R75" s="78">
        <f>136458+48534</f>
        <v>184992</v>
      </c>
      <c r="S75" s="78">
        <f>872749</f>
        <v>872749</v>
      </c>
      <c r="T75" s="44"/>
      <c r="U75" s="343"/>
      <c r="V75" s="78"/>
      <c r="W75" s="78">
        <f>86914+50000</f>
        <v>136914</v>
      </c>
      <c r="X75" s="44"/>
      <c r="Y75" s="313"/>
    </row>
    <row r="76" spans="1:25" x14ac:dyDescent="0.25">
      <c r="B76" s="88" t="s">
        <v>644</v>
      </c>
      <c r="C76" s="626" t="s">
        <v>197</v>
      </c>
      <c r="D76" s="627"/>
      <c r="E76" s="627"/>
      <c r="F76" s="158">
        <v>1175214</v>
      </c>
      <c r="G76" s="341">
        <v>1175214</v>
      </c>
      <c r="H76" s="311">
        <v>1179741</v>
      </c>
      <c r="I76" s="509">
        <v>1301000</v>
      </c>
      <c r="J76" s="233">
        <f>J77+J80+J81+J82+J83</f>
        <v>1505000</v>
      </c>
      <c r="K76" s="142">
        <f t="shared" ref="K76:X76" si="19">K77+K80+K81+K82+K83</f>
        <v>0</v>
      </c>
      <c r="L76" s="158">
        <f t="shared" si="2"/>
        <v>1505000</v>
      </c>
      <c r="M76" s="90">
        <f t="shared" si="19"/>
        <v>6157</v>
      </c>
      <c r="N76" s="91">
        <f t="shared" si="19"/>
        <v>5240</v>
      </c>
      <c r="O76" s="94">
        <f t="shared" si="19"/>
        <v>22032</v>
      </c>
      <c r="P76" s="94">
        <f t="shared" si="19"/>
        <v>146740</v>
      </c>
      <c r="Q76" s="91">
        <f t="shared" si="19"/>
        <v>10529</v>
      </c>
      <c r="R76" s="94">
        <f t="shared" si="19"/>
        <v>268383</v>
      </c>
      <c r="S76" s="94">
        <f t="shared" si="19"/>
        <v>168137</v>
      </c>
      <c r="T76" s="95">
        <f t="shared" si="19"/>
        <v>11633</v>
      </c>
      <c r="U76" s="341">
        <f t="shared" si="19"/>
        <v>93714</v>
      </c>
      <c r="V76" s="94">
        <f t="shared" si="19"/>
        <v>84026</v>
      </c>
      <c r="W76" s="94">
        <f t="shared" si="19"/>
        <v>603769</v>
      </c>
      <c r="X76" s="95">
        <f t="shared" si="19"/>
        <v>84640</v>
      </c>
      <c r="Y76" s="311"/>
    </row>
    <row r="77" spans="1:25" s="41" customFormat="1" x14ac:dyDescent="0.25">
      <c r="A77" s="118" t="s">
        <v>198</v>
      </c>
      <c r="B77" s="53" t="s">
        <v>645</v>
      </c>
      <c r="C77" s="628" t="s">
        <v>876</v>
      </c>
      <c r="D77" s="629"/>
      <c r="E77" s="629"/>
      <c r="F77" s="160">
        <v>1174214</v>
      </c>
      <c r="G77" s="342">
        <v>1174214</v>
      </c>
      <c r="H77" s="312">
        <v>1178741</v>
      </c>
      <c r="I77" s="510">
        <v>1300000</v>
      </c>
      <c r="J77" s="239">
        <f>SUM(J78:J79)</f>
        <v>1500000</v>
      </c>
      <c r="K77" s="148">
        <f>SUM(K78:K79)</f>
        <v>0</v>
      </c>
      <c r="L77" s="160">
        <f t="shared" si="2"/>
        <v>1500000</v>
      </c>
      <c r="M77" s="74">
        <f t="shared" ref="M77:X77" si="20">SUM(M78:M79)</f>
        <v>6157</v>
      </c>
      <c r="N77" s="13">
        <f t="shared" si="20"/>
        <v>5240</v>
      </c>
      <c r="O77" s="79">
        <f t="shared" si="20"/>
        <v>22032</v>
      </c>
      <c r="P77" s="79">
        <f t="shared" si="20"/>
        <v>146740</v>
      </c>
      <c r="Q77" s="13">
        <f t="shared" si="20"/>
        <v>10529</v>
      </c>
      <c r="R77" s="79">
        <f t="shared" si="20"/>
        <v>268384</v>
      </c>
      <c r="S77" s="79">
        <f t="shared" si="20"/>
        <v>167354</v>
      </c>
      <c r="T77" s="45">
        <f t="shared" si="20"/>
        <v>11635</v>
      </c>
      <c r="U77" s="342">
        <f t="shared" si="20"/>
        <v>93714</v>
      </c>
      <c r="V77" s="79">
        <f t="shared" si="20"/>
        <v>84026</v>
      </c>
      <c r="W77" s="79">
        <f t="shared" si="20"/>
        <v>603765</v>
      </c>
      <c r="X77" s="45">
        <f t="shared" si="20"/>
        <v>80424</v>
      </c>
      <c r="Y77" s="312"/>
    </row>
    <row r="78" spans="1:25" x14ac:dyDescent="0.25">
      <c r="B78" s="54"/>
      <c r="C78" s="250"/>
      <c r="D78" s="274" t="s">
        <v>1005</v>
      </c>
      <c r="E78" s="274"/>
      <c r="F78" s="159">
        <v>1174214</v>
      </c>
      <c r="G78" s="343">
        <v>1174214</v>
      </c>
      <c r="H78" s="313">
        <v>1178741</v>
      </c>
      <c r="I78" s="513">
        <v>1300000</v>
      </c>
      <c r="J78" s="232">
        <f t="shared" ref="J78:J83" si="21">SUM(M78:X78)</f>
        <v>1500000</v>
      </c>
      <c r="K78" s="141"/>
      <c r="L78" s="159">
        <f>SUM(J78:K78)</f>
        <v>1500000</v>
      </c>
      <c r="M78" s="72">
        <v>6157</v>
      </c>
      <c r="N78" s="1">
        <v>5240</v>
      </c>
      <c r="O78" s="78">
        <v>22032</v>
      </c>
      <c r="P78" s="78">
        <v>146740</v>
      </c>
      <c r="Q78" s="1">
        <f>1443+9086</f>
        <v>10529</v>
      </c>
      <c r="R78" s="78">
        <f>3837+264547</f>
        <v>268384</v>
      </c>
      <c r="S78" s="78">
        <f>168899-1545</f>
        <v>167354</v>
      </c>
      <c r="T78" s="44">
        <v>11635</v>
      </c>
      <c r="U78" s="343">
        <f>66208+27506</f>
        <v>93714</v>
      </c>
      <c r="V78" s="78">
        <v>84026</v>
      </c>
      <c r="W78" s="78">
        <f>594000+13500-3735</f>
        <v>603765</v>
      </c>
      <c r="X78" s="44">
        <f>108000+41740-69316</f>
        <v>80424</v>
      </c>
      <c r="Y78" s="313"/>
    </row>
    <row r="79" spans="1:25" x14ac:dyDescent="0.25">
      <c r="B79" s="54"/>
      <c r="C79" s="250"/>
      <c r="D79" s="274" t="s">
        <v>1006</v>
      </c>
      <c r="E79" s="274"/>
      <c r="F79" s="159">
        <v>0</v>
      </c>
      <c r="G79" s="343">
        <v>0</v>
      </c>
      <c r="H79" s="313">
        <v>0</v>
      </c>
      <c r="I79" s="513">
        <v>0</v>
      </c>
      <c r="J79" s="232">
        <f t="shared" si="21"/>
        <v>0</v>
      </c>
      <c r="K79" s="141"/>
      <c r="L79" s="159">
        <f>SUM(J79:K79)</f>
        <v>0</v>
      </c>
      <c r="M79" s="72"/>
      <c r="N79" s="1"/>
      <c r="O79" s="78"/>
      <c r="P79" s="78"/>
      <c r="Q79" s="1"/>
      <c r="R79" s="78"/>
      <c r="S79" s="78"/>
      <c r="T79" s="44"/>
      <c r="U79" s="343"/>
      <c r="V79" s="78"/>
      <c r="W79" s="78"/>
      <c r="X79" s="44"/>
      <c r="Y79" s="313"/>
    </row>
    <row r="80" spans="1:25" s="41" customFormat="1" hidden="1" x14ac:dyDescent="0.25">
      <c r="A80" s="118" t="s">
        <v>199</v>
      </c>
      <c r="B80" s="53" t="s">
        <v>646</v>
      </c>
      <c r="C80" s="628" t="s">
        <v>200</v>
      </c>
      <c r="D80" s="629"/>
      <c r="E80" s="629"/>
      <c r="F80" s="160">
        <v>0</v>
      </c>
      <c r="G80" s="342">
        <v>0</v>
      </c>
      <c r="H80" s="312">
        <v>0</v>
      </c>
      <c r="I80" s="510">
        <v>0</v>
      </c>
      <c r="J80" s="239">
        <f t="shared" si="21"/>
        <v>0</v>
      </c>
      <c r="K80" s="148"/>
      <c r="L80" s="160">
        <f t="shared" si="2"/>
        <v>0</v>
      </c>
      <c r="M80" s="74"/>
      <c r="N80" s="13"/>
      <c r="O80" s="79"/>
      <c r="P80" s="79"/>
      <c r="Q80" s="13"/>
      <c r="R80" s="79"/>
      <c r="S80" s="79"/>
      <c r="T80" s="45"/>
      <c r="U80" s="342"/>
      <c r="V80" s="79"/>
      <c r="W80" s="79"/>
      <c r="X80" s="45"/>
      <c r="Y80" s="312"/>
    </row>
    <row r="81" spans="1:26" s="41" customFormat="1" hidden="1" x14ac:dyDescent="0.25">
      <c r="A81" s="118" t="s">
        <v>201</v>
      </c>
      <c r="B81" s="53" t="s">
        <v>647</v>
      </c>
      <c r="C81" s="628" t="s">
        <v>202</v>
      </c>
      <c r="D81" s="629"/>
      <c r="E81" s="629"/>
      <c r="F81" s="160">
        <v>0</v>
      </c>
      <c r="G81" s="342">
        <v>0</v>
      </c>
      <c r="H81" s="312">
        <v>0</v>
      </c>
      <c r="I81" s="510">
        <v>0</v>
      </c>
      <c r="J81" s="239">
        <f t="shared" si="21"/>
        <v>0</v>
      </c>
      <c r="K81" s="148"/>
      <c r="L81" s="160">
        <f t="shared" si="2"/>
        <v>0</v>
      </c>
      <c r="M81" s="74"/>
      <c r="N81" s="13"/>
      <c r="O81" s="79"/>
      <c r="P81" s="79"/>
      <c r="Q81" s="13"/>
      <c r="R81" s="79"/>
      <c r="S81" s="79"/>
      <c r="T81" s="45"/>
      <c r="U81" s="342"/>
      <c r="V81" s="79"/>
      <c r="W81" s="79"/>
      <c r="X81" s="45"/>
      <c r="Y81" s="312"/>
    </row>
    <row r="82" spans="1:26" s="41" customFormat="1" hidden="1" x14ac:dyDescent="0.25">
      <c r="A82" s="118" t="s">
        <v>203</v>
      </c>
      <c r="B82" s="53" t="s">
        <v>648</v>
      </c>
      <c r="C82" s="628" t="s">
        <v>204</v>
      </c>
      <c r="D82" s="629"/>
      <c r="E82" s="629"/>
      <c r="F82" s="160">
        <v>0</v>
      </c>
      <c r="G82" s="342">
        <v>0</v>
      </c>
      <c r="H82" s="312">
        <v>0</v>
      </c>
      <c r="I82" s="510">
        <v>0</v>
      </c>
      <c r="J82" s="239">
        <f t="shared" si="21"/>
        <v>0</v>
      </c>
      <c r="K82" s="148"/>
      <c r="L82" s="160">
        <f t="shared" si="2"/>
        <v>0</v>
      </c>
      <c r="M82" s="74"/>
      <c r="N82" s="13"/>
      <c r="O82" s="79"/>
      <c r="P82" s="79"/>
      <c r="Q82" s="13"/>
      <c r="R82" s="79"/>
      <c r="S82" s="79"/>
      <c r="T82" s="45"/>
      <c r="U82" s="342"/>
      <c r="V82" s="79"/>
      <c r="W82" s="79"/>
      <c r="X82" s="45"/>
      <c r="Y82" s="312"/>
    </row>
    <row r="83" spans="1:26" s="41" customFormat="1" ht="15.75" thickBot="1" x14ac:dyDescent="0.3">
      <c r="A83" s="118" t="s">
        <v>205</v>
      </c>
      <c r="B83" s="188" t="s">
        <v>649</v>
      </c>
      <c r="C83" s="706" t="s">
        <v>206</v>
      </c>
      <c r="D83" s="707"/>
      <c r="E83" s="707"/>
      <c r="F83" s="160">
        <v>1000</v>
      </c>
      <c r="G83" s="347">
        <v>1000</v>
      </c>
      <c r="H83" s="319">
        <v>1000</v>
      </c>
      <c r="I83" s="511">
        <v>1000</v>
      </c>
      <c r="J83" s="252">
        <f t="shared" si="21"/>
        <v>5000</v>
      </c>
      <c r="K83" s="189"/>
      <c r="L83" s="160">
        <f t="shared" si="2"/>
        <v>5000</v>
      </c>
      <c r="M83" s="74"/>
      <c r="N83" s="13"/>
      <c r="O83" s="79"/>
      <c r="P83" s="79"/>
      <c r="Q83" s="13"/>
      <c r="R83" s="79">
        <v>-1</v>
      </c>
      <c r="S83" s="555">
        <v>783</v>
      </c>
      <c r="T83" s="45">
        <v>-2</v>
      </c>
      <c r="U83" s="342"/>
      <c r="V83" s="79"/>
      <c r="W83" s="79">
        <v>4</v>
      </c>
      <c r="X83" s="45">
        <v>4216</v>
      </c>
      <c r="Y83" s="312"/>
    </row>
    <row r="84" spans="1:26" ht="15.75" thickBot="1" x14ac:dyDescent="0.3">
      <c r="B84" s="81" t="s">
        <v>207</v>
      </c>
      <c r="C84" s="632" t="s">
        <v>208</v>
      </c>
      <c r="D84" s="633"/>
      <c r="E84" s="633"/>
      <c r="F84" s="156">
        <v>0</v>
      </c>
      <c r="G84" s="338">
        <v>0</v>
      </c>
      <c r="H84" s="308">
        <v>0</v>
      </c>
      <c r="I84" s="506">
        <v>0</v>
      </c>
      <c r="J84" s="235">
        <f>J85+J86+J87+J88+J89+J90+J91+J95</f>
        <v>0</v>
      </c>
      <c r="K84" s="144">
        <f t="shared" ref="K84:X84" si="22">K85+K86+K87+K88+K89+K90+K91+K95</f>
        <v>0</v>
      </c>
      <c r="L84" s="156">
        <f t="shared" si="2"/>
        <v>0</v>
      </c>
      <c r="M84" s="82">
        <f t="shared" si="22"/>
        <v>0</v>
      </c>
      <c r="N84" s="83">
        <f t="shared" si="22"/>
        <v>0</v>
      </c>
      <c r="O84" s="86">
        <f t="shared" si="22"/>
        <v>0</v>
      </c>
      <c r="P84" s="86">
        <f t="shared" si="22"/>
        <v>0</v>
      </c>
      <c r="Q84" s="83">
        <f t="shared" si="22"/>
        <v>0</v>
      </c>
      <c r="R84" s="86">
        <f t="shared" si="22"/>
        <v>0</v>
      </c>
      <c r="S84" s="86">
        <f t="shared" si="22"/>
        <v>0</v>
      </c>
      <c r="T84" s="87">
        <f t="shared" si="22"/>
        <v>0</v>
      </c>
      <c r="U84" s="338">
        <f t="shared" si="22"/>
        <v>0</v>
      </c>
      <c r="V84" s="86">
        <f t="shared" si="22"/>
        <v>0</v>
      </c>
      <c r="W84" s="86">
        <f t="shared" si="22"/>
        <v>0</v>
      </c>
      <c r="X84" s="87">
        <f t="shared" si="22"/>
        <v>0</v>
      </c>
      <c r="Y84" s="308"/>
    </row>
    <row r="85" spans="1:26" s="18" customFormat="1" ht="15.75" hidden="1" thickBot="1" x14ac:dyDescent="0.3">
      <c r="A85" s="118" t="s">
        <v>877</v>
      </c>
      <c r="B85" s="108" t="s">
        <v>878</v>
      </c>
      <c r="C85" s="634" t="s">
        <v>879</v>
      </c>
      <c r="D85" s="635"/>
      <c r="E85" s="635"/>
      <c r="F85" s="158">
        <v>0</v>
      </c>
      <c r="G85" s="339">
        <v>0</v>
      </c>
      <c r="H85" s="309">
        <v>0</v>
      </c>
      <c r="I85" s="507">
        <v>0</v>
      </c>
      <c r="J85" s="231">
        <f t="shared" ref="J85:J90" si="23">SUM(M85:X85)</f>
        <v>0</v>
      </c>
      <c r="K85" s="140"/>
      <c r="L85" s="158">
        <f t="shared" si="2"/>
        <v>0</v>
      </c>
      <c r="M85" s="90"/>
      <c r="N85" s="91"/>
      <c r="O85" s="94"/>
      <c r="P85" s="94"/>
      <c r="Q85" s="91"/>
      <c r="R85" s="94"/>
      <c r="S85" s="94"/>
      <c r="T85" s="556"/>
      <c r="U85" s="393"/>
      <c r="V85" s="94"/>
      <c r="W85" s="94"/>
      <c r="X85" s="95"/>
      <c r="Y85" s="311"/>
    </row>
    <row r="86" spans="1:26" s="18" customFormat="1" ht="15.75" hidden="1" thickBot="1" x14ac:dyDescent="0.3">
      <c r="A86" s="118" t="s">
        <v>209</v>
      </c>
      <c r="B86" s="108" t="s">
        <v>650</v>
      </c>
      <c r="C86" s="634" t="s">
        <v>210</v>
      </c>
      <c r="D86" s="635"/>
      <c r="E86" s="635"/>
      <c r="F86" s="158">
        <v>0</v>
      </c>
      <c r="G86" s="339">
        <v>0</v>
      </c>
      <c r="H86" s="309">
        <v>0</v>
      </c>
      <c r="I86" s="507">
        <v>0</v>
      </c>
      <c r="J86" s="231">
        <f t="shared" si="23"/>
        <v>0</v>
      </c>
      <c r="K86" s="140"/>
      <c r="L86" s="158">
        <f t="shared" si="2"/>
        <v>0</v>
      </c>
      <c r="M86" s="90"/>
      <c r="N86" s="91"/>
      <c r="O86" s="94"/>
      <c r="P86" s="94"/>
      <c r="Q86" s="91"/>
      <c r="R86" s="94"/>
      <c r="S86" s="94"/>
      <c r="T86" s="556"/>
      <c r="U86" s="393"/>
      <c r="V86" s="94"/>
      <c r="W86" s="94"/>
      <c r="X86" s="95"/>
      <c r="Y86" s="311"/>
    </row>
    <row r="87" spans="1:26" s="18" customFormat="1" ht="15.75" hidden="1" thickBot="1" x14ac:dyDescent="0.3">
      <c r="A87" s="118" t="s">
        <v>211</v>
      </c>
      <c r="B87" s="88" t="s">
        <v>651</v>
      </c>
      <c r="C87" s="626" t="s">
        <v>352</v>
      </c>
      <c r="D87" s="627"/>
      <c r="E87" s="627"/>
      <c r="F87" s="158">
        <v>0</v>
      </c>
      <c r="G87" s="341">
        <v>0</v>
      </c>
      <c r="H87" s="311">
        <v>0</v>
      </c>
      <c r="I87" s="509">
        <v>0</v>
      </c>
      <c r="J87" s="233">
        <f t="shared" si="23"/>
        <v>0</v>
      </c>
      <c r="K87" s="142"/>
      <c r="L87" s="158">
        <f t="shared" si="2"/>
        <v>0</v>
      </c>
      <c r="M87" s="90"/>
      <c r="N87" s="91"/>
      <c r="O87" s="94"/>
      <c r="P87" s="94"/>
      <c r="Q87" s="91"/>
      <c r="R87" s="94"/>
      <c r="S87" s="94"/>
      <c r="T87" s="556"/>
      <c r="U87" s="393"/>
      <c r="V87" s="94"/>
      <c r="W87" s="94"/>
      <c r="X87" s="95"/>
      <c r="Y87" s="311"/>
    </row>
    <row r="88" spans="1:26" s="18" customFormat="1" ht="15.75" hidden="1" thickBot="1" x14ac:dyDescent="0.3">
      <c r="A88" s="118" t="s">
        <v>212</v>
      </c>
      <c r="B88" s="108" t="s">
        <v>652</v>
      </c>
      <c r="C88" s="626" t="s">
        <v>880</v>
      </c>
      <c r="D88" s="627"/>
      <c r="E88" s="627"/>
      <c r="F88" s="158">
        <v>0</v>
      </c>
      <c r="G88" s="341">
        <v>0</v>
      </c>
      <c r="H88" s="311">
        <v>0</v>
      </c>
      <c r="I88" s="509">
        <v>0</v>
      </c>
      <c r="J88" s="233">
        <f t="shared" si="23"/>
        <v>0</v>
      </c>
      <c r="K88" s="142"/>
      <c r="L88" s="158">
        <f t="shared" si="2"/>
        <v>0</v>
      </c>
      <c r="M88" s="90"/>
      <c r="N88" s="91"/>
      <c r="O88" s="94"/>
      <c r="P88" s="94"/>
      <c r="Q88" s="91"/>
      <c r="R88" s="94"/>
      <c r="S88" s="94"/>
      <c r="T88" s="556"/>
      <c r="U88" s="393"/>
      <c r="V88" s="94"/>
      <c r="W88" s="94"/>
      <c r="X88" s="95"/>
      <c r="Y88" s="311"/>
    </row>
    <row r="89" spans="1:26" s="18" customFormat="1" ht="15.75" hidden="1" thickBot="1" x14ac:dyDescent="0.3">
      <c r="A89" s="118" t="s">
        <v>213</v>
      </c>
      <c r="B89" s="88" t="s">
        <v>653</v>
      </c>
      <c r="C89" s="626" t="s">
        <v>881</v>
      </c>
      <c r="D89" s="627"/>
      <c r="E89" s="627"/>
      <c r="F89" s="158">
        <v>0</v>
      </c>
      <c r="G89" s="341">
        <v>0</v>
      </c>
      <c r="H89" s="311">
        <v>0</v>
      </c>
      <c r="I89" s="509">
        <v>0</v>
      </c>
      <c r="J89" s="233">
        <f t="shared" si="23"/>
        <v>0</v>
      </c>
      <c r="K89" s="142"/>
      <c r="L89" s="158">
        <f t="shared" si="2"/>
        <v>0</v>
      </c>
      <c r="M89" s="90"/>
      <c r="N89" s="91"/>
      <c r="O89" s="94"/>
      <c r="P89" s="94"/>
      <c r="Q89" s="91"/>
      <c r="R89" s="94"/>
      <c r="S89" s="94"/>
      <c r="T89" s="556"/>
      <c r="U89" s="393"/>
      <c r="V89" s="94"/>
      <c r="W89" s="94"/>
      <c r="X89" s="95"/>
      <c r="Y89" s="311"/>
    </row>
    <row r="90" spans="1:26" s="18" customFormat="1" ht="15.75" hidden="1" thickBot="1" x14ac:dyDescent="0.3">
      <c r="A90" s="118" t="s">
        <v>214</v>
      </c>
      <c r="B90" s="108" t="s">
        <v>654</v>
      </c>
      <c r="C90" s="626" t="s">
        <v>215</v>
      </c>
      <c r="D90" s="627"/>
      <c r="E90" s="627"/>
      <c r="F90" s="158">
        <v>0</v>
      </c>
      <c r="G90" s="341">
        <v>0</v>
      </c>
      <c r="H90" s="311">
        <v>0</v>
      </c>
      <c r="I90" s="509">
        <v>0</v>
      </c>
      <c r="J90" s="233">
        <f t="shared" si="23"/>
        <v>0</v>
      </c>
      <c r="K90" s="142"/>
      <c r="L90" s="158">
        <f t="shared" si="2"/>
        <v>0</v>
      </c>
      <c r="M90" s="90"/>
      <c r="N90" s="91"/>
      <c r="O90" s="94"/>
      <c r="P90" s="94"/>
      <c r="Q90" s="91"/>
      <c r="R90" s="94"/>
      <c r="S90" s="94"/>
      <c r="T90" s="556"/>
      <c r="U90" s="393"/>
      <c r="V90" s="94"/>
      <c r="W90" s="94"/>
      <c r="X90" s="95"/>
      <c r="Y90" s="311"/>
    </row>
    <row r="91" spans="1:26" s="18" customFormat="1" ht="15.75" hidden="1" thickBot="1" x14ac:dyDescent="0.3">
      <c r="A91" s="118" t="s">
        <v>216</v>
      </c>
      <c r="B91" s="88" t="s">
        <v>655</v>
      </c>
      <c r="C91" s="626" t="s">
        <v>217</v>
      </c>
      <c r="D91" s="627"/>
      <c r="E91" s="627"/>
      <c r="F91" s="158">
        <v>0</v>
      </c>
      <c r="G91" s="341">
        <v>0</v>
      </c>
      <c r="H91" s="311">
        <v>0</v>
      </c>
      <c r="I91" s="509">
        <v>0</v>
      </c>
      <c r="J91" s="233">
        <f>J92+J93+J94</f>
        <v>0</v>
      </c>
      <c r="K91" s="142">
        <f t="shared" ref="K91:X91" si="24">K92+K93+K94</f>
        <v>0</v>
      </c>
      <c r="L91" s="158">
        <f t="shared" si="2"/>
        <v>0</v>
      </c>
      <c r="M91" s="90">
        <f t="shared" si="24"/>
        <v>0</v>
      </c>
      <c r="N91" s="91">
        <f t="shared" si="24"/>
        <v>0</v>
      </c>
      <c r="O91" s="94">
        <f t="shared" si="24"/>
        <v>0</v>
      </c>
      <c r="P91" s="94">
        <f t="shared" si="24"/>
        <v>0</v>
      </c>
      <c r="Q91" s="91">
        <f t="shared" si="24"/>
        <v>0</v>
      </c>
      <c r="R91" s="94">
        <f t="shared" si="24"/>
        <v>0</v>
      </c>
      <c r="S91" s="94">
        <f t="shared" si="24"/>
        <v>0</v>
      </c>
      <c r="T91" s="556">
        <f t="shared" si="24"/>
        <v>0</v>
      </c>
      <c r="U91" s="393">
        <f t="shared" si="24"/>
        <v>0</v>
      </c>
      <c r="V91" s="94">
        <f t="shared" si="24"/>
        <v>0</v>
      </c>
      <c r="W91" s="94">
        <f t="shared" si="24"/>
        <v>0</v>
      </c>
      <c r="X91" s="95">
        <f t="shared" si="24"/>
        <v>0</v>
      </c>
      <c r="Y91" s="311"/>
    </row>
    <row r="92" spans="1:26" ht="15.75" hidden="1" thickBot="1" x14ac:dyDescent="0.3">
      <c r="B92" s="54"/>
      <c r="C92" s="2"/>
      <c r="D92" s="624" t="s">
        <v>343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>SUM(M92:X92)</f>
        <v>0</v>
      </c>
      <c r="K92" s="141"/>
      <c r="L92" s="159">
        <f t="shared" si="2"/>
        <v>0</v>
      </c>
      <c r="M92" s="72"/>
      <c r="N92" s="1"/>
      <c r="O92" s="78"/>
      <c r="P92" s="78"/>
      <c r="Q92" s="1"/>
      <c r="R92" s="78"/>
      <c r="S92" s="78"/>
      <c r="T92" s="557"/>
      <c r="U92" s="394"/>
      <c r="V92" s="78"/>
      <c r="W92" s="78"/>
      <c r="X92" s="44"/>
      <c r="Y92" s="313"/>
      <c r="Z92" s="21"/>
    </row>
    <row r="93" spans="1:26" ht="15.75" hidden="1" thickBot="1" x14ac:dyDescent="0.3">
      <c r="B93" s="54"/>
      <c r="C93" s="2"/>
      <c r="D93" s="624" t="s">
        <v>344</v>
      </c>
      <c r="E93" s="624"/>
      <c r="F93" s="159">
        <v>0</v>
      </c>
      <c r="G93" s="343">
        <v>0</v>
      </c>
      <c r="H93" s="313">
        <v>0</v>
      </c>
      <c r="I93" s="513">
        <v>0</v>
      </c>
      <c r="J93" s="232">
        <f>SUM(M93:X93)</f>
        <v>0</v>
      </c>
      <c r="K93" s="141"/>
      <c r="L93" s="159">
        <f t="shared" si="2"/>
        <v>0</v>
      </c>
      <c r="M93" s="72"/>
      <c r="N93" s="1"/>
      <c r="O93" s="78"/>
      <c r="P93" s="78"/>
      <c r="Q93" s="1"/>
      <c r="R93" s="78"/>
      <c r="S93" s="78"/>
      <c r="T93" s="557"/>
      <c r="U93" s="394"/>
      <c r="V93" s="78"/>
      <c r="W93" s="78"/>
      <c r="X93" s="44"/>
      <c r="Y93" s="313"/>
    </row>
    <row r="94" spans="1:26" ht="15.75" hidden="1" thickBot="1" x14ac:dyDescent="0.3">
      <c r="B94" s="54"/>
      <c r="C94" s="2"/>
      <c r="D94" s="624" t="s">
        <v>345</v>
      </c>
      <c r="E94" s="624"/>
      <c r="F94" s="159">
        <v>0</v>
      </c>
      <c r="G94" s="343">
        <v>0</v>
      </c>
      <c r="H94" s="313">
        <v>0</v>
      </c>
      <c r="I94" s="513">
        <v>0</v>
      </c>
      <c r="J94" s="232">
        <f>SUM(M94:X94)</f>
        <v>0</v>
      </c>
      <c r="K94" s="141"/>
      <c r="L94" s="159">
        <f t="shared" si="2"/>
        <v>0</v>
      </c>
      <c r="M94" s="72"/>
      <c r="N94" s="1"/>
      <c r="O94" s="78"/>
      <c r="P94" s="78"/>
      <c r="Q94" s="1"/>
      <c r="R94" s="78"/>
      <c r="S94" s="78"/>
      <c r="T94" s="557"/>
      <c r="U94" s="394"/>
      <c r="V94" s="78"/>
      <c r="W94" s="78"/>
      <c r="X94" s="44"/>
      <c r="Y94" s="313"/>
    </row>
    <row r="95" spans="1:26" s="18" customFormat="1" ht="15.75" hidden="1" thickBot="1" x14ac:dyDescent="0.3">
      <c r="A95" s="118" t="s">
        <v>218</v>
      </c>
      <c r="B95" s="88" t="s">
        <v>656</v>
      </c>
      <c r="C95" s="626" t="s">
        <v>219</v>
      </c>
      <c r="D95" s="627"/>
      <c r="E95" s="627"/>
      <c r="F95" s="158">
        <v>0</v>
      </c>
      <c r="G95" s="341">
        <v>0</v>
      </c>
      <c r="H95" s="311">
        <v>0</v>
      </c>
      <c r="I95" s="509">
        <v>0</v>
      </c>
      <c r="J95" s="233">
        <f>J96+J97+J98+J99</f>
        <v>0</v>
      </c>
      <c r="K95" s="142">
        <f t="shared" ref="K95:X95" si="25">K96+K97+K98+K99</f>
        <v>0</v>
      </c>
      <c r="L95" s="158">
        <f t="shared" ref="L95:L158" si="26">SUM(J95:K95)</f>
        <v>0</v>
      </c>
      <c r="M95" s="90">
        <f t="shared" si="25"/>
        <v>0</v>
      </c>
      <c r="N95" s="91">
        <f t="shared" si="25"/>
        <v>0</v>
      </c>
      <c r="O95" s="94">
        <f t="shared" si="25"/>
        <v>0</v>
      </c>
      <c r="P95" s="94">
        <f t="shared" si="25"/>
        <v>0</v>
      </c>
      <c r="Q95" s="91">
        <f t="shared" si="25"/>
        <v>0</v>
      </c>
      <c r="R95" s="94">
        <f t="shared" si="25"/>
        <v>0</v>
      </c>
      <c r="S95" s="94">
        <f t="shared" si="25"/>
        <v>0</v>
      </c>
      <c r="T95" s="556">
        <f t="shared" si="25"/>
        <v>0</v>
      </c>
      <c r="U95" s="393">
        <f t="shared" si="25"/>
        <v>0</v>
      </c>
      <c r="V95" s="94">
        <f t="shared" si="25"/>
        <v>0</v>
      </c>
      <c r="W95" s="94">
        <f t="shared" si="25"/>
        <v>0</v>
      </c>
      <c r="X95" s="95">
        <f t="shared" si="25"/>
        <v>0</v>
      </c>
      <c r="Y95" s="311"/>
    </row>
    <row r="96" spans="1:26" ht="15.75" hidden="1" thickBot="1" x14ac:dyDescent="0.3">
      <c r="B96" s="54"/>
      <c r="C96" s="2"/>
      <c r="D96" s="624" t="s">
        <v>835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>SUM(M96:X96)</f>
        <v>0</v>
      </c>
      <c r="K96" s="141"/>
      <c r="L96" s="159">
        <f t="shared" si="26"/>
        <v>0</v>
      </c>
      <c r="M96" s="72"/>
      <c r="N96" s="1"/>
      <c r="O96" s="78"/>
      <c r="P96" s="78"/>
      <c r="Q96" s="1"/>
      <c r="R96" s="78"/>
      <c r="S96" s="78"/>
      <c r="T96" s="557"/>
      <c r="U96" s="394"/>
      <c r="V96" s="78"/>
      <c r="W96" s="78"/>
      <c r="X96" s="44"/>
      <c r="Y96" s="313"/>
    </row>
    <row r="97" spans="1:25" ht="15.75" hidden="1" thickBot="1" x14ac:dyDescent="0.3">
      <c r="B97" s="54"/>
      <c r="C97" s="2"/>
      <c r="D97" s="624" t="s">
        <v>346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>SUM(M97:X97)</f>
        <v>0</v>
      </c>
      <c r="K97" s="141"/>
      <c r="L97" s="159">
        <f t="shared" si="26"/>
        <v>0</v>
      </c>
      <c r="M97" s="72"/>
      <c r="N97" s="1"/>
      <c r="O97" s="78"/>
      <c r="P97" s="78"/>
      <c r="Q97" s="1"/>
      <c r="R97" s="78"/>
      <c r="S97" s="78"/>
      <c r="T97" s="557"/>
      <c r="U97" s="394"/>
      <c r="V97" s="78"/>
      <c r="W97" s="78"/>
      <c r="X97" s="44"/>
      <c r="Y97" s="313"/>
    </row>
    <row r="98" spans="1:25" ht="15.75" hidden="1" thickBot="1" x14ac:dyDescent="0.3">
      <c r="B98" s="54"/>
      <c r="C98" s="2"/>
      <c r="D98" s="624" t="s">
        <v>836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>SUM(M98:X98)</f>
        <v>0</v>
      </c>
      <c r="K98" s="141"/>
      <c r="L98" s="159">
        <f t="shared" si="26"/>
        <v>0</v>
      </c>
      <c r="M98" s="72"/>
      <c r="N98" s="1"/>
      <c r="O98" s="78"/>
      <c r="P98" s="78"/>
      <c r="Q98" s="1"/>
      <c r="R98" s="78"/>
      <c r="S98" s="78"/>
      <c r="T98" s="557"/>
      <c r="U98" s="394"/>
      <c r="V98" s="78"/>
      <c r="W98" s="78"/>
      <c r="X98" s="44"/>
      <c r="Y98" s="313"/>
    </row>
    <row r="99" spans="1:25" ht="15.75" hidden="1" thickBot="1" x14ac:dyDescent="0.3">
      <c r="B99" s="54"/>
      <c r="C99" s="2"/>
      <c r="D99" s="624" t="s">
        <v>834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>SUM(M99:X99)</f>
        <v>0</v>
      </c>
      <c r="K99" s="141"/>
      <c r="L99" s="159">
        <f t="shared" si="26"/>
        <v>0</v>
      </c>
      <c r="M99" s="72"/>
      <c r="N99" s="1"/>
      <c r="O99" s="78"/>
      <c r="P99" s="78"/>
      <c r="Q99" s="1"/>
      <c r="R99" s="78"/>
      <c r="S99" s="78"/>
      <c r="T99" s="557"/>
      <c r="U99" s="394"/>
      <c r="V99" s="78"/>
      <c r="W99" s="78"/>
      <c r="X99" s="44"/>
      <c r="Y99" s="313"/>
    </row>
    <row r="100" spans="1:25" ht="15.75" thickBot="1" x14ac:dyDescent="0.3">
      <c r="B100" s="96" t="s">
        <v>220</v>
      </c>
      <c r="C100" s="632" t="s">
        <v>221</v>
      </c>
      <c r="D100" s="633"/>
      <c r="E100" s="633"/>
      <c r="F100" s="156">
        <v>5011044</v>
      </c>
      <c r="G100" s="338">
        <v>3244470</v>
      </c>
      <c r="H100" s="308">
        <v>4919684</v>
      </c>
      <c r="I100" s="506">
        <v>2201078</v>
      </c>
      <c r="J100" s="235">
        <f>J101+J104+J108+J109+J120+J131+J142+J145+J157+J158+J159+J160+J171</f>
        <v>749434</v>
      </c>
      <c r="K100" s="144">
        <f t="shared" ref="K100:X100" si="27">K101+K104+K108+K109+K120+K131+K142+K145+K157+K158+K159+K160+K171</f>
        <v>0</v>
      </c>
      <c r="L100" s="156">
        <f t="shared" si="26"/>
        <v>749434</v>
      </c>
      <c r="M100" s="82">
        <f t="shared" si="27"/>
        <v>0</v>
      </c>
      <c r="N100" s="83">
        <f t="shared" si="27"/>
        <v>0</v>
      </c>
      <c r="O100" s="86">
        <f t="shared" si="27"/>
        <v>0</v>
      </c>
      <c r="P100" s="86">
        <f t="shared" si="27"/>
        <v>0</v>
      </c>
      <c r="Q100" s="83">
        <f t="shared" si="27"/>
        <v>0</v>
      </c>
      <c r="R100" s="86">
        <f t="shared" si="27"/>
        <v>0</v>
      </c>
      <c r="S100" s="86">
        <f t="shared" si="27"/>
        <v>0</v>
      </c>
      <c r="T100" s="87">
        <f t="shared" si="27"/>
        <v>0</v>
      </c>
      <c r="U100" s="338">
        <f t="shared" si="27"/>
        <v>0</v>
      </c>
      <c r="V100" s="86">
        <f t="shared" si="27"/>
        <v>0</v>
      </c>
      <c r="W100" s="86">
        <f t="shared" si="27"/>
        <v>0</v>
      </c>
      <c r="X100" s="87">
        <f t="shared" si="27"/>
        <v>749434</v>
      </c>
      <c r="Y100" s="308"/>
    </row>
    <row r="101" spans="1:25" s="41" customFormat="1" hidden="1" x14ac:dyDescent="0.25">
      <c r="A101" s="118" t="s">
        <v>222</v>
      </c>
      <c r="B101" s="116" t="s">
        <v>657</v>
      </c>
      <c r="C101" s="657" t="s">
        <v>223</v>
      </c>
      <c r="D101" s="658"/>
      <c r="E101" s="658"/>
      <c r="F101" s="161">
        <v>0</v>
      </c>
      <c r="G101" s="344">
        <v>0</v>
      </c>
      <c r="H101" s="314">
        <v>0</v>
      </c>
      <c r="I101" s="515">
        <v>0</v>
      </c>
      <c r="J101" s="240">
        <f>J102+J103</f>
        <v>0</v>
      </c>
      <c r="K101" s="149">
        <f t="shared" ref="K101:X101" si="28">K102+K103</f>
        <v>0</v>
      </c>
      <c r="L101" s="161">
        <f t="shared" si="26"/>
        <v>0</v>
      </c>
      <c r="M101" s="163">
        <f t="shared" si="28"/>
        <v>0</v>
      </c>
      <c r="N101" s="124">
        <f t="shared" si="28"/>
        <v>0</v>
      </c>
      <c r="O101" s="125">
        <f t="shared" si="28"/>
        <v>0</v>
      </c>
      <c r="P101" s="125">
        <f t="shared" si="28"/>
        <v>0</v>
      </c>
      <c r="Q101" s="124">
        <f t="shared" si="28"/>
        <v>0</v>
      </c>
      <c r="R101" s="125">
        <f t="shared" si="28"/>
        <v>0</v>
      </c>
      <c r="S101" s="125">
        <f t="shared" si="28"/>
        <v>0</v>
      </c>
      <c r="T101" s="420">
        <f t="shared" si="28"/>
        <v>0</v>
      </c>
      <c r="U101" s="472">
        <f t="shared" si="28"/>
        <v>0</v>
      </c>
      <c r="V101" s="125">
        <f t="shared" si="28"/>
        <v>0</v>
      </c>
      <c r="W101" s="125">
        <f t="shared" si="28"/>
        <v>0</v>
      </c>
      <c r="X101" s="126">
        <f t="shared" si="28"/>
        <v>0</v>
      </c>
      <c r="Y101" s="314"/>
    </row>
    <row r="102" spans="1:25" hidden="1" x14ac:dyDescent="0.25">
      <c r="B102" s="54"/>
      <c r="C102" s="2"/>
      <c r="D102" s="624" t="s">
        <v>347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>SUM(M102:X102)</f>
        <v>0</v>
      </c>
      <c r="K102" s="141"/>
      <c r="L102" s="159">
        <f t="shared" si="26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  <c r="Y102" s="313"/>
    </row>
    <row r="103" spans="1:25" hidden="1" x14ac:dyDescent="0.25">
      <c r="B103" s="54"/>
      <c r="C103" s="2"/>
      <c r="D103" s="624" t="s">
        <v>348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>SUM(M103:X103)</f>
        <v>0</v>
      </c>
      <c r="K103" s="141"/>
      <c r="L103" s="159">
        <f t="shared" si="26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  <c r="Y103" s="313"/>
    </row>
    <row r="104" spans="1:25" hidden="1" x14ac:dyDescent="0.25">
      <c r="B104" s="116" t="s">
        <v>837</v>
      </c>
      <c r="C104" s="657" t="s">
        <v>838</v>
      </c>
      <c r="D104" s="658"/>
      <c r="E104" s="658"/>
      <c r="F104" s="161">
        <v>0</v>
      </c>
      <c r="G104" s="344">
        <v>0</v>
      </c>
      <c r="H104" s="314">
        <v>0</v>
      </c>
      <c r="I104" s="515">
        <v>0</v>
      </c>
      <c r="J104" s="240">
        <f>J105+J106+J107</f>
        <v>0</v>
      </c>
      <c r="K104" s="149">
        <f t="shared" ref="K104:X104" si="29">K105+K106+K107</f>
        <v>0</v>
      </c>
      <c r="L104" s="161">
        <f t="shared" si="26"/>
        <v>0</v>
      </c>
      <c r="M104" s="163">
        <f t="shared" si="29"/>
        <v>0</v>
      </c>
      <c r="N104" s="124">
        <f t="shared" si="29"/>
        <v>0</v>
      </c>
      <c r="O104" s="125">
        <f t="shared" si="29"/>
        <v>0</v>
      </c>
      <c r="P104" s="125">
        <f t="shared" si="29"/>
        <v>0</v>
      </c>
      <c r="Q104" s="124">
        <f t="shared" si="29"/>
        <v>0</v>
      </c>
      <c r="R104" s="125">
        <f t="shared" si="29"/>
        <v>0</v>
      </c>
      <c r="S104" s="125">
        <f t="shared" si="29"/>
        <v>0</v>
      </c>
      <c r="T104" s="420">
        <f t="shared" si="29"/>
        <v>0</v>
      </c>
      <c r="U104" s="472">
        <f t="shared" si="29"/>
        <v>0</v>
      </c>
      <c r="V104" s="125">
        <f t="shared" si="29"/>
        <v>0</v>
      </c>
      <c r="W104" s="125">
        <f t="shared" si="29"/>
        <v>0</v>
      </c>
      <c r="X104" s="126">
        <f t="shared" si="29"/>
        <v>0</v>
      </c>
      <c r="Y104" s="314"/>
    </row>
    <row r="105" spans="1:25" s="199" customFormat="1" hidden="1" x14ac:dyDescent="0.25">
      <c r="A105" s="118" t="s">
        <v>882</v>
      </c>
      <c r="B105" s="181" t="s">
        <v>883</v>
      </c>
      <c r="C105" s="194"/>
      <c r="D105" s="247" t="s">
        <v>969</v>
      </c>
      <c r="E105" s="247"/>
      <c r="F105" s="183">
        <v>0</v>
      </c>
      <c r="G105" s="340">
        <v>0</v>
      </c>
      <c r="H105" s="310">
        <v>0</v>
      </c>
      <c r="I105" s="508">
        <v>0</v>
      </c>
      <c r="J105" s="251">
        <f>SUM(M105:X105)</f>
        <v>0</v>
      </c>
      <c r="K105" s="182"/>
      <c r="L105" s="183">
        <f t="shared" si="26"/>
        <v>0</v>
      </c>
      <c r="M105" s="191"/>
      <c r="N105" s="185"/>
      <c r="O105" s="186"/>
      <c r="P105" s="186"/>
      <c r="Q105" s="185"/>
      <c r="R105" s="186"/>
      <c r="S105" s="186"/>
      <c r="T105" s="187"/>
      <c r="U105" s="340"/>
      <c r="V105" s="186"/>
      <c r="W105" s="186"/>
      <c r="X105" s="187"/>
      <c r="Y105" s="310"/>
    </row>
    <row r="106" spans="1:25" s="199" customFormat="1" hidden="1" x14ac:dyDescent="0.25">
      <c r="A106" s="118" t="s">
        <v>224</v>
      </c>
      <c r="B106" s="181" t="s">
        <v>658</v>
      </c>
      <c r="C106" s="194"/>
      <c r="D106" s="247" t="s">
        <v>225</v>
      </c>
      <c r="E106" s="247"/>
      <c r="F106" s="183">
        <v>0</v>
      </c>
      <c r="G106" s="340">
        <v>0</v>
      </c>
      <c r="H106" s="310">
        <v>0</v>
      </c>
      <c r="I106" s="508">
        <v>0</v>
      </c>
      <c r="J106" s="251">
        <f>SUM(M106:X106)</f>
        <v>0</v>
      </c>
      <c r="K106" s="182"/>
      <c r="L106" s="183">
        <f t="shared" si="26"/>
        <v>0</v>
      </c>
      <c r="M106" s="191"/>
      <c r="N106" s="185"/>
      <c r="O106" s="186"/>
      <c r="P106" s="186"/>
      <c r="Q106" s="185"/>
      <c r="R106" s="186"/>
      <c r="S106" s="186"/>
      <c r="T106" s="187"/>
      <c r="U106" s="340"/>
      <c r="V106" s="186"/>
      <c r="W106" s="186"/>
      <c r="X106" s="187"/>
      <c r="Y106" s="310"/>
    </row>
    <row r="107" spans="1:25" s="199" customFormat="1" hidden="1" x14ac:dyDescent="0.25">
      <c r="A107" s="118" t="s">
        <v>226</v>
      </c>
      <c r="B107" s="181" t="s">
        <v>659</v>
      </c>
      <c r="C107" s="194"/>
      <c r="D107" s="247" t="s">
        <v>227</v>
      </c>
      <c r="E107" s="247"/>
      <c r="F107" s="183">
        <v>0</v>
      </c>
      <c r="G107" s="340">
        <v>0</v>
      </c>
      <c r="H107" s="310">
        <v>0</v>
      </c>
      <c r="I107" s="508">
        <v>0</v>
      </c>
      <c r="J107" s="251">
        <f>SUM(M107:X107)</f>
        <v>0</v>
      </c>
      <c r="K107" s="182"/>
      <c r="L107" s="183">
        <f t="shared" si="26"/>
        <v>0</v>
      </c>
      <c r="M107" s="191"/>
      <c r="N107" s="185"/>
      <c r="O107" s="186"/>
      <c r="P107" s="186"/>
      <c r="Q107" s="185"/>
      <c r="R107" s="186"/>
      <c r="S107" s="186"/>
      <c r="T107" s="187"/>
      <c r="U107" s="340"/>
      <c r="V107" s="186"/>
      <c r="W107" s="186"/>
      <c r="X107" s="187"/>
      <c r="Y107" s="310"/>
    </row>
    <row r="108" spans="1:25" s="41" customFormat="1" ht="27.75" hidden="1" customHeight="1" x14ac:dyDescent="0.25">
      <c r="A108" s="118" t="s">
        <v>228</v>
      </c>
      <c r="B108" s="101" t="s">
        <v>660</v>
      </c>
      <c r="C108" s="708" t="s">
        <v>353</v>
      </c>
      <c r="D108" s="709"/>
      <c r="E108" s="709"/>
      <c r="F108" s="162">
        <v>0</v>
      </c>
      <c r="G108" s="345">
        <v>0</v>
      </c>
      <c r="H108" s="315">
        <v>0</v>
      </c>
      <c r="I108" s="516">
        <v>0</v>
      </c>
      <c r="J108" s="241">
        <f>SUM(M108:X108)</f>
        <v>0</v>
      </c>
      <c r="K108" s="150"/>
      <c r="L108" s="162">
        <f t="shared" si="26"/>
        <v>0</v>
      </c>
      <c r="M108" s="102"/>
      <c r="N108" s="103"/>
      <c r="O108" s="106"/>
      <c r="P108" s="106"/>
      <c r="Q108" s="103"/>
      <c r="R108" s="106"/>
      <c r="S108" s="106"/>
      <c r="T108" s="45"/>
      <c r="U108" s="342"/>
      <c r="V108" s="106"/>
      <c r="W108" s="106"/>
      <c r="X108" s="107"/>
      <c r="Y108" s="315"/>
    </row>
    <row r="109" spans="1:25" s="41" customFormat="1" hidden="1" x14ac:dyDescent="0.25">
      <c r="A109" s="118" t="s">
        <v>229</v>
      </c>
      <c r="B109" s="101" t="s">
        <v>661</v>
      </c>
      <c r="C109" s="708" t="s">
        <v>803</v>
      </c>
      <c r="D109" s="709"/>
      <c r="E109" s="709"/>
      <c r="F109" s="162">
        <v>0</v>
      </c>
      <c r="G109" s="345">
        <v>0</v>
      </c>
      <c r="H109" s="315">
        <v>0</v>
      </c>
      <c r="I109" s="516">
        <v>0</v>
      </c>
      <c r="J109" s="241">
        <f>J110+J111+J112+J113+J114+J115+J116+J117+J118+J119</f>
        <v>0</v>
      </c>
      <c r="K109" s="150">
        <f t="shared" ref="K109:X109" si="30">K110+K111+K112+K113+K114+K115+K116+K117+K118+K119</f>
        <v>0</v>
      </c>
      <c r="L109" s="162">
        <f t="shared" si="26"/>
        <v>0</v>
      </c>
      <c r="M109" s="102">
        <f t="shared" si="30"/>
        <v>0</v>
      </c>
      <c r="N109" s="103">
        <f t="shared" si="30"/>
        <v>0</v>
      </c>
      <c r="O109" s="106">
        <f t="shared" si="30"/>
        <v>0</v>
      </c>
      <c r="P109" s="106">
        <f t="shared" si="30"/>
        <v>0</v>
      </c>
      <c r="Q109" s="103">
        <f t="shared" si="30"/>
        <v>0</v>
      </c>
      <c r="R109" s="106">
        <f t="shared" si="30"/>
        <v>0</v>
      </c>
      <c r="S109" s="106">
        <f t="shared" si="30"/>
        <v>0</v>
      </c>
      <c r="T109" s="45">
        <f t="shared" si="30"/>
        <v>0</v>
      </c>
      <c r="U109" s="342">
        <f t="shared" si="30"/>
        <v>0</v>
      </c>
      <c r="V109" s="106">
        <f t="shared" si="30"/>
        <v>0</v>
      </c>
      <c r="W109" s="106">
        <f t="shared" si="30"/>
        <v>0</v>
      </c>
      <c r="X109" s="107">
        <f t="shared" si="30"/>
        <v>0</v>
      </c>
      <c r="Y109" s="315"/>
    </row>
    <row r="110" spans="1:25" hidden="1" x14ac:dyDescent="0.25">
      <c r="B110" s="54"/>
      <c r="C110" s="2"/>
      <c r="D110" s="624" t="s">
        <v>370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ref="J110:J119" si="31">SUM(M110:X110)</f>
        <v>0</v>
      </c>
      <c r="K110" s="141"/>
      <c r="L110" s="159">
        <f t="shared" si="26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  <c r="Y110" s="313"/>
    </row>
    <row r="111" spans="1:25" hidden="1" x14ac:dyDescent="0.25">
      <c r="B111" s="54"/>
      <c r="C111" s="2"/>
      <c r="D111" s="624" t="s">
        <v>506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31"/>
        <v>0</v>
      </c>
      <c r="K111" s="141"/>
      <c r="L111" s="159">
        <f t="shared" si="26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  <c r="Y111" s="313"/>
    </row>
    <row r="112" spans="1:25" hidden="1" x14ac:dyDescent="0.25">
      <c r="B112" s="54"/>
      <c r="C112" s="2"/>
      <c r="D112" s="624" t="s">
        <v>507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31"/>
        <v>0</v>
      </c>
      <c r="K112" s="141"/>
      <c r="L112" s="159">
        <f t="shared" si="26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  <c r="Y112" s="313"/>
    </row>
    <row r="113" spans="1:25" hidden="1" x14ac:dyDescent="0.25">
      <c r="B113" s="54"/>
      <c r="C113" s="2"/>
      <c r="D113" s="624" t="s">
        <v>508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31"/>
        <v>0</v>
      </c>
      <c r="K113" s="141"/>
      <c r="L113" s="159">
        <f t="shared" si="26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  <c r="Y113" s="313"/>
    </row>
    <row r="114" spans="1:25" hidden="1" x14ac:dyDescent="0.25">
      <c r="B114" s="54"/>
      <c r="C114" s="2"/>
      <c r="D114" s="624" t="s">
        <v>509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31"/>
        <v>0</v>
      </c>
      <c r="K114" s="141"/>
      <c r="L114" s="159">
        <f t="shared" si="26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  <c r="Y114" s="313"/>
    </row>
    <row r="115" spans="1:25" hidden="1" x14ac:dyDescent="0.25">
      <c r="B115" s="54"/>
      <c r="C115" s="2"/>
      <c r="D115" s="624" t="s">
        <v>510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 t="shared" si="31"/>
        <v>0</v>
      </c>
      <c r="K115" s="141"/>
      <c r="L115" s="159">
        <f t="shared" si="26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  <c r="Y115" s="313"/>
    </row>
    <row r="116" spans="1:25" ht="25.5" hidden="1" customHeight="1" x14ac:dyDescent="0.25">
      <c r="B116" s="54"/>
      <c r="C116" s="2"/>
      <c r="D116" s="625" t="s">
        <v>511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31"/>
        <v>0</v>
      </c>
      <c r="K116" s="151"/>
      <c r="L116" s="159">
        <f t="shared" si="26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  <c r="Y116" s="313"/>
    </row>
    <row r="117" spans="1:25" hidden="1" x14ac:dyDescent="0.25">
      <c r="B117" s="54"/>
      <c r="C117" s="2"/>
      <c r="D117" s="624" t="s">
        <v>804</v>
      </c>
      <c r="E117" s="624"/>
      <c r="F117" s="159">
        <v>0</v>
      </c>
      <c r="G117" s="343">
        <v>0</v>
      </c>
      <c r="H117" s="313">
        <v>0</v>
      </c>
      <c r="I117" s="513">
        <v>0</v>
      </c>
      <c r="J117" s="232">
        <f t="shared" si="31"/>
        <v>0</v>
      </c>
      <c r="K117" s="141"/>
      <c r="L117" s="159">
        <f t="shared" si="26"/>
        <v>0</v>
      </c>
      <c r="M117" s="72"/>
      <c r="N117" s="1"/>
      <c r="O117" s="78"/>
      <c r="P117" s="78"/>
      <c r="Q117" s="1"/>
      <c r="R117" s="78"/>
      <c r="S117" s="78"/>
      <c r="T117" s="44"/>
      <c r="U117" s="343"/>
      <c r="V117" s="78"/>
      <c r="W117" s="78"/>
      <c r="X117" s="44"/>
      <c r="Y117" s="313"/>
    </row>
    <row r="118" spans="1:25" ht="25.5" hidden="1" customHeight="1" x14ac:dyDescent="0.25">
      <c r="B118" s="54"/>
      <c r="C118" s="2"/>
      <c r="D118" s="625" t="s">
        <v>512</v>
      </c>
      <c r="E118" s="625"/>
      <c r="F118" s="159">
        <v>0</v>
      </c>
      <c r="G118" s="343">
        <v>0</v>
      </c>
      <c r="H118" s="313">
        <v>0</v>
      </c>
      <c r="I118" s="513">
        <v>0</v>
      </c>
      <c r="J118" s="242">
        <f t="shared" si="31"/>
        <v>0</v>
      </c>
      <c r="K118" s="151"/>
      <c r="L118" s="159">
        <f t="shared" si="26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  <c r="Y118" s="313"/>
    </row>
    <row r="119" spans="1:25" ht="25.5" hidden="1" customHeight="1" x14ac:dyDescent="0.25">
      <c r="B119" s="54"/>
      <c r="C119" s="2"/>
      <c r="D119" s="625" t="s">
        <v>513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 t="shared" si="31"/>
        <v>0</v>
      </c>
      <c r="K119" s="151"/>
      <c r="L119" s="159">
        <f t="shared" si="26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  <c r="Y119" s="313"/>
    </row>
    <row r="120" spans="1:25" s="41" customFormat="1" ht="15" hidden="1" customHeight="1" x14ac:dyDescent="0.25">
      <c r="A120" s="118" t="s">
        <v>230</v>
      </c>
      <c r="B120" s="101" t="s">
        <v>662</v>
      </c>
      <c r="C120" s="708" t="s">
        <v>805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</f>
        <v>0</v>
      </c>
      <c r="K120" s="150">
        <f t="shared" ref="K120:X120" si="32">K121+K122+K123+K124+K125+K126+K127+K128+K129+K130</f>
        <v>0</v>
      </c>
      <c r="L120" s="162">
        <f t="shared" si="26"/>
        <v>0</v>
      </c>
      <c r="M120" s="102">
        <f t="shared" si="32"/>
        <v>0</v>
      </c>
      <c r="N120" s="103">
        <f t="shared" si="32"/>
        <v>0</v>
      </c>
      <c r="O120" s="106">
        <f t="shared" si="32"/>
        <v>0</v>
      </c>
      <c r="P120" s="106">
        <f t="shared" si="32"/>
        <v>0</v>
      </c>
      <c r="Q120" s="103">
        <f t="shared" si="32"/>
        <v>0</v>
      </c>
      <c r="R120" s="106">
        <f t="shared" si="32"/>
        <v>0</v>
      </c>
      <c r="S120" s="106">
        <f t="shared" si="32"/>
        <v>0</v>
      </c>
      <c r="T120" s="45">
        <f t="shared" si="32"/>
        <v>0</v>
      </c>
      <c r="U120" s="342">
        <f t="shared" si="32"/>
        <v>0</v>
      </c>
      <c r="V120" s="106">
        <f t="shared" si="32"/>
        <v>0</v>
      </c>
      <c r="W120" s="106">
        <f t="shared" si="32"/>
        <v>0</v>
      </c>
      <c r="X120" s="107">
        <f t="shared" si="32"/>
        <v>0</v>
      </c>
      <c r="Y120" s="315"/>
    </row>
    <row r="121" spans="1:25" hidden="1" x14ac:dyDescent="0.25">
      <c r="B121" s="54"/>
      <c r="C121" s="2"/>
      <c r="D121" s="624" t="s">
        <v>369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0" si="33">SUM(M121:X121)</f>
        <v>0</v>
      </c>
      <c r="K121" s="141"/>
      <c r="L121" s="159">
        <f t="shared" si="26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  <c r="Y121" s="313"/>
    </row>
    <row r="122" spans="1:25" hidden="1" x14ac:dyDescent="0.25">
      <c r="B122" s="54"/>
      <c r="C122" s="2"/>
      <c r="D122" s="624" t="s">
        <v>514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3"/>
        <v>0</v>
      </c>
      <c r="K122" s="141"/>
      <c r="L122" s="159">
        <f t="shared" si="26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  <c r="Y122" s="313"/>
    </row>
    <row r="123" spans="1:25" hidden="1" x14ac:dyDescent="0.25">
      <c r="B123" s="54"/>
      <c r="C123" s="2"/>
      <c r="D123" s="624" t="s">
        <v>516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3"/>
        <v>0</v>
      </c>
      <c r="K123" s="141"/>
      <c r="L123" s="159">
        <f t="shared" si="26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  <c r="Y123" s="313"/>
    </row>
    <row r="124" spans="1:25" hidden="1" x14ac:dyDescent="0.25">
      <c r="B124" s="54"/>
      <c r="C124" s="2"/>
      <c r="D124" s="624" t="s">
        <v>807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3"/>
        <v>0</v>
      </c>
      <c r="K124" s="141"/>
      <c r="L124" s="159">
        <f t="shared" si="26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  <c r="Y124" s="313"/>
    </row>
    <row r="125" spans="1:25" hidden="1" x14ac:dyDescent="0.25">
      <c r="B125" s="54"/>
      <c r="C125" s="2"/>
      <c r="D125" s="624" t="s">
        <v>521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3"/>
        <v>0</v>
      </c>
      <c r="K125" s="141"/>
      <c r="L125" s="159">
        <f t="shared" si="26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  <c r="Y125" s="313"/>
    </row>
    <row r="126" spans="1:25" hidden="1" x14ac:dyDescent="0.25">
      <c r="B126" s="54"/>
      <c r="C126" s="2"/>
      <c r="D126" s="624" t="s">
        <v>519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3"/>
        <v>0</v>
      </c>
      <c r="K126" s="141"/>
      <c r="L126" s="159">
        <f t="shared" si="26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  <c r="Y126" s="313"/>
    </row>
    <row r="127" spans="1:25" ht="25.5" hidden="1" customHeight="1" x14ac:dyDescent="0.25">
      <c r="B127" s="54"/>
      <c r="C127" s="2"/>
      <c r="D127" s="625" t="s">
        <v>523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3"/>
        <v>0</v>
      </c>
      <c r="K127" s="151"/>
      <c r="L127" s="159">
        <f t="shared" si="26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  <c r="Y127" s="313"/>
    </row>
    <row r="128" spans="1:25" hidden="1" x14ac:dyDescent="0.25">
      <c r="B128" s="54"/>
      <c r="C128" s="2"/>
      <c r="D128" s="624" t="s">
        <v>806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3"/>
        <v>0</v>
      </c>
      <c r="K128" s="141"/>
      <c r="L128" s="159">
        <f t="shared" si="26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  <c r="Y128" s="313"/>
    </row>
    <row r="129" spans="1:25" ht="25.5" hidden="1" customHeight="1" x14ac:dyDescent="0.25">
      <c r="B129" s="54"/>
      <c r="C129" s="2"/>
      <c r="D129" s="625" t="s">
        <v>526</v>
      </c>
      <c r="E129" s="625"/>
      <c r="F129" s="159">
        <v>0</v>
      </c>
      <c r="G129" s="343">
        <v>0</v>
      </c>
      <c r="H129" s="313">
        <v>0</v>
      </c>
      <c r="I129" s="513">
        <v>0</v>
      </c>
      <c r="J129" s="242">
        <f t="shared" si="33"/>
        <v>0</v>
      </c>
      <c r="K129" s="151"/>
      <c r="L129" s="159">
        <f t="shared" si="26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  <c r="Y129" s="313"/>
    </row>
    <row r="130" spans="1:25" ht="25.5" hidden="1" customHeight="1" x14ac:dyDescent="0.25">
      <c r="B130" s="54"/>
      <c r="C130" s="2"/>
      <c r="D130" s="625" t="s">
        <v>528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3"/>
        <v>0</v>
      </c>
      <c r="K130" s="151"/>
      <c r="L130" s="159">
        <f t="shared" si="26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  <c r="Y130" s="313"/>
    </row>
    <row r="131" spans="1:25" s="41" customFormat="1" ht="15" hidden="1" customHeight="1" x14ac:dyDescent="0.25">
      <c r="A131" s="118" t="s">
        <v>231</v>
      </c>
      <c r="B131" s="101" t="s">
        <v>663</v>
      </c>
      <c r="C131" s="655" t="s">
        <v>232</v>
      </c>
      <c r="D131" s="656"/>
      <c r="E131" s="656"/>
      <c r="F131" s="162">
        <v>0</v>
      </c>
      <c r="G131" s="345">
        <v>0</v>
      </c>
      <c r="H131" s="315">
        <v>0</v>
      </c>
      <c r="I131" s="516">
        <v>0</v>
      </c>
      <c r="J131" s="243">
        <f>J132+J133+J134+J135+J136+J137+J138+J139+J140+J141</f>
        <v>0</v>
      </c>
      <c r="K131" s="152">
        <f t="shared" ref="K131:X131" si="34">K132+K133+K134+K135+K136+K137+K138+K139+K140+K141</f>
        <v>0</v>
      </c>
      <c r="L131" s="162">
        <f t="shared" si="26"/>
        <v>0</v>
      </c>
      <c r="M131" s="102">
        <f t="shared" si="34"/>
        <v>0</v>
      </c>
      <c r="N131" s="103">
        <f t="shared" si="34"/>
        <v>0</v>
      </c>
      <c r="O131" s="106">
        <f t="shared" si="34"/>
        <v>0</v>
      </c>
      <c r="P131" s="106">
        <f t="shared" si="34"/>
        <v>0</v>
      </c>
      <c r="Q131" s="103">
        <f t="shared" si="34"/>
        <v>0</v>
      </c>
      <c r="R131" s="106">
        <f t="shared" si="34"/>
        <v>0</v>
      </c>
      <c r="S131" s="106">
        <f t="shared" si="34"/>
        <v>0</v>
      </c>
      <c r="T131" s="45">
        <f t="shared" si="34"/>
        <v>0</v>
      </c>
      <c r="U131" s="342">
        <f t="shared" si="34"/>
        <v>0</v>
      </c>
      <c r="V131" s="106">
        <f t="shared" si="34"/>
        <v>0</v>
      </c>
      <c r="W131" s="106">
        <f t="shared" si="34"/>
        <v>0</v>
      </c>
      <c r="X131" s="107">
        <f t="shared" si="34"/>
        <v>0</v>
      </c>
      <c r="Y131" s="315"/>
    </row>
    <row r="132" spans="1:25" ht="15" hidden="1" customHeight="1" x14ac:dyDescent="0.25">
      <c r="B132" s="54"/>
      <c r="C132" s="2"/>
      <c r="D132" s="624" t="s">
        <v>368</v>
      </c>
      <c r="E132" s="624"/>
      <c r="F132" s="159">
        <v>0</v>
      </c>
      <c r="G132" s="343">
        <v>0</v>
      </c>
      <c r="H132" s="313">
        <v>0</v>
      </c>
      <c r="I132" s="513">
        <v>0</v>
      </c>
      <c r="J132" s="232">
        <f t="shared" ref="J132:J141" si="35">SUM(M132:X132)</f>
        <v>0</v>
      </c>
      <c r="K132" s="141"/>
      <c r="L132" s="159">
        <f t="shared" si="26"/>
        <v>0</v>
      </c>
      <c r="M132" s="72"/>
      <c r="N132" s="1"/>
      <c r="O132" s="78"/>
      <c r="P132" s="78"/>
      <c r="Q132" s="1"/>
      <c r="R132" s="78"/>
      <c r="S132" s="78"/>
      <c r="T132" s="44"/>
      <c r="U132" s="343"/>
      <c r="V132" s="78"/>
      <c r="W132" s="78"/>
      <c r="X132" s="44"/>
      <c r="Y132" s="313"/>
    </row>
    <row r="133" spans="1:25" ht="15" hidden="1" customHeight="1" x14ac:dyDescent="0.25">
      <c r="B133" s="54"/>
      <c r="C133" s="2"/>
      <c r="D133" s="624" t="s">
        <v>515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 t="shared" si="35"/>
        <v>0</v>
      </c>
      <c r="K133" s="141"/>
      <c r="L133" s="159">
        <f t="shared" si="26"/>
        <v>0</v>
      </c>
      <c r="M133" s="72"/>
      <c r="N133" s="1"/>
      <c r="O133" s="78"/>
      <c r="P133" s="78"/>
      <c r="Q133" s="1"/>
      <c r="R133" s="78"/>
      <c r="S133" s="78"/>
      <c r="T133" s="44"/>
      <c r="U133" s="343"/>
      <c r="V133" s="78"/>
      <c r="W133" s="78"/>
      <c r="X133" s="44"/>
      <c r="Y133" s="313"/>
    </row>
    <row r="134" spans="1:25" ht="15" hidden="1" customHeight="1" x14ac:dyDescent="0.25">
      <c r="B134" s="54"/>
      <c r="C134" s="2"/>
      <c r="D134" s="624" t="s">
        <v>517</v>
      </c>
      <c r="E134" s="624"/>
      <c r="F134" s="159">
        <v>0</v>
      </c>
      <c r="G134" s="343">
        <v>0</v>
      </c>
      <c r="H134" s="313">
        <v>0</v>
      </c>
      <c r="I134" s="513">
        <v>0</v>
      </c>
      <c r="J134" s="232">
        <f t="shared" si="35"/>
        <v>0</v>
      </c>
      <c r="K134" s="141"/>
      <c r="L134" s="159">
        <f t="shared" si="26"/>
        <v>0</v>
      </c>
      <c r="M134" s="72"/>
      <c r="N134" s="1"/>
      <c r="O134" s="78"/>
      <c r="P134" s="78"/>
      <c r="Q134" s="1"/>
      <c r="R134" s="78"/>
      <c r="S134" s="78"/>
      <c r="T134" s="44"/>
      <c r="U134" s="343"/>
      <c r="V134" s="78"/>
      <c r="W134" s="78"/>
      <c r="X134" s="44"/>
      <c r="Y134" s="313"/>
    </row>
    <row r="135" spans="1:25" ht="15" hidden="1" customHeight="1" x14ac:dyDescent="0.25">
      <c r="B135" s="54"/>
      <c r="C135" s="2"/>
      <c r="D135" s="624" t="s">
        <v>518</v>
      </c>
      <c r="E135" s="624"/>
      <c r="F135" s="159">
        <v>0</v>
      </c>
      <c r="G135" s="343">
        <v>0</v>
      </c>
      <c r="H135" s="313">
        <v>0</v>
      </c>
      <c r="I135" s="513">
        <v>0</v>
      </c>
      <c r="J135" s="232">
        <f t="shared" si="35"/>
        <v>0</v>
      </c>
      <c r="K135" s="141"/>
      <c r="L135" s="159">
        <f t="shared" si="26"/>
        <v>0</v>
      </c>
      <c r="M135" s="72"/>
      <c r="N135" s="1"/>
      <c r="O135" s="78"/>
      <c r="P135" s="78"/>
      <c r="Q135" s="1"/>
      <c r="R135" s="78"/>
      <c r="S135" s="78"/>
      <c r="T135" s="44"/>
      <c r="U135" s="343"/>
      <c r="V135" s="78"/>
      <c r="W135" s="78"/>
      <c r="X135" s="44"/>
      <c r="Y135" s="313"/>
    </row>
    <row r="136" spans="1:25" ht="15" hidden="1" customHeight="1" x14ac:dyDescent="0.25">
      <c r="B136" s="54"/>
      <c r="C136" s="2"/>
      <c r="D136" s="624" t="s">
        <v>522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si="35"/>
        <v>0</v>
      </c>
      <c r="K136" s="141"/>
      <c r="L136" s="159">
        <f t="shared" si="26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  <c r="Y136" s="313"/>
    </row>
    <row r="137" spans="1:25" ht="15" hidden="1" customHeight="1" x14ac:dyDescent="0.25">
      <c r="B137" s="54"/>
      <c r="C137" s="2"/>
      <c r="D137" s="624" t="s">
        <v>520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5"/>
        <v>0</v>
      </c>
      <c r="K137" s="141"/>
      <c r="L137" s="159">
        <f t="shared" si="26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  <c r="Y137" s="313"/>
    </row>
    <row r="138" spans="1:25" ht="25.5" hidden="1" customHeight="1" x14ac:dyDescent="0.25">
      <c r="B138" s="54"/>
      <c r="C138" s="2"/>
      <c r="D138" s="625" t="s">
        <v>524</v>
      </c>
      <c r="E138" s="625"/>
      <c r="F138" s="159">
        <v>0</v>
      </c>
      <c r="G138" s="343">
        <v>0</v>
      </c>
      <c r="H138" s="313">
        <v>0</v>
      </c>
      <c r="I138" s="513">
        <v>0</v>
      </c>
      <c r="J138" s="242"/>
      <c r="K138" s="151"/>
      <c r="L138" s="159">
        <f t="shared" si="26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  <c r="Y138" s="313"/>
    </row>
    <row r="139" spans="1:25" hidden="1" x14ac:dyDescent="0.25">
      <c r="B139" s="54"/>
      <c r="C139" s="2"/>
      <c r="D139" s="624" t="s">
        <v>525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5"/>
        <v>0</v>
      </c>
      <c r="K139" s="141"/>
      <c r="L139" s="159">
        <f t="shared" si="26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  <c r="Y139" s="313"/>
    </row>
    <row r="140" spans="1:25" ht="25.5" hidden="1" customHeight="1" x14ac:dyDescent="0.25">
      <c r="B140" s="54"/>
      <c r="C140" s="2"/>
      <c r="D140" s="625" t="s">
        <v>527</v>
      </c>
      <c r="E140" s="625"/>
      <c r="F140" s="159">
        <v>0</v>
      </c>
      <c r="G140" s="343">
        <v>0</v>
      </c>
      <c r="H140" s="313">
        <v>0</v>
      </c>
      <c r="I140" s="513">
        <v>0</v>
      </c>
      <c r="J140" s="242">
        <f t="shared" si="35"/>
        <v>0</v>
      </c>
      <c r="K140" s="151"/>
      <c r="L140" s="159">
        <f t="shared" si="26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  <c r="Y140" s="313"/>
    </row>
    <row r="141" spans="1:25" ht="25.5" hidden="1" customHeight="1" x14ac:dyDescent="0.25">
      <c r="B141" s="54"/>
      <c r="C141" s="2"/>
      <c r="D141" s="625" t="s">
        <v>529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5"/>
        <v>0</v>
      </c>
      <c r="K141" s="151"/>
      <c r="L141" s="159">
        <f t="shared" si="26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  <c r="Y141" s="313"/>
    </row>
    <row r="142" spans="1:25" s="41" customFormat="1" ht="27.75" hidden="1" customHeight="1" x14ac:dyDescent="0.25">
      <c r="A142" s="118" t="s">
        <v>233</v>
      </c>
      <c r="B142" s="101" t="s">
        <v>664</v>
      </c>
      <c r="C142" s="708" t="s">
        <v>808</v>
      </c>
      <c r="D142" s="709"/>
      <c r="E142" s="709"/>
      <c r="F142" s="162">
        <v>0</v>
      </c>
      <c r="G142" s="345">
        <v>0</v>
      </c>
      <c r="H142" s="315">
        <v>0</v>
      </c>
      <c r="I142" s="516">
        <v>0</v>
      </c>
      <c r="J142" s="241">
        <f>J143+J144</f>
        <v>0</v>
      </c>
      <c r="K142" s="150">
        <f t="shared" ref="K142:X142" si="36">K143+K144</f>
        <v>0</v>
      </c>
      <c r="L142" s="162">
        <f t="shared" si="26"/>
        <v>0</v>
      </c>
      <c r="M142" s="102">
        <f t="shared" si="36"/>
        <v>0</v>
      </c>
      <c r="N142" s="103">
        <f t="shared" si="36"/>
        <v>0</v>
      </c>
      <c r="O142" s="106">
        <f t="shared" si="36"/>
        <v>0</v>
      </c>
      <c r="P142" s="106">
        <f t="shared" si="36"/>
        <v>0</v>
      </c>
      <c r="Q142" s="103">
        <f t="shared" si="36"/>
        <v>0</v>
      </c>
      <c r="R142" s="106">
        <f t="shared" si="36"/>
        <v>0</v>
      </c>
      <c r="S142" s="106">
        <f t="shared" si="36"/>
        <v>0</v>
      </c>
      <c r="T142" s="45">
        <f t="shared" si="36"/>
        <v>0</v>
      </c>
      <c r="U142" s="342">
        <f t="shared" si="36"/>
        <v>0</v>
      </c>
      <c r="V142" s="106">
        <f t="shared" si="36"/>
        <v>0</v>
      </c>
      <c r="W142" s="106">
        <f t="shared" si="36"/>
        <v>0</v>
      </c>
      <c r="X142" s="107">
        <f t="shared" si="36"/>
        <v>0</v>
      </c>
      <c r="Y142" s="315"/>
    </row>
    <row r="143" spans="1:25" hidden="1" x14ac:dyDescent="0.25">
      <c r="B143" s="54"/>
      <c r="C143" s="2"/>
      <c r="D143" s="624" t="s">
        <v>531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>SUM(M143:X143)</f>
        <v>0</v>
      </c>
      <c r="K143" s="141"/>
      <c r="L143" s="159">
        <f t="shared" si="26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  <c r="Y143" s="313"/>
    </row>
    <row r="144" spans="1:25" ht="25.5" hidden="1" customHeight="1" x14ac:dyDescent="0.25">
      <c r="B144" s="54"/>
      <c r="C144" s="2"/>
      <c r="D144" s="625" t="s">
        <v>530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>SUM(M144:X144)</f>
        <v>0</v>
      </c>
      <c r="K144" s="151"/>
      <c r="L144" s="159">
        <f t="shared" si="26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  <c r="Y144" s="313"/>
    </row>
    <row r="145" spans="1:25" s="41" customFormat="1" hidden="1" x14ac:dyDescent="0.25">
      <c r="A145" s="118" t="s">
        <v>234</v>
      </c>
      <c r="B145" s="101" t="s">
        <v>666</v>
      </c>
      <c r="C145" s="708" t="s">
        <v>809</v>
      </c>
      <c r="D145" s="709"/>
      <c r="E145" s="709"/>
      <c r="F145" s="162">
        <v>0</v>
      </c>
      <c r="G145" s="345">
        <v>0</v>
      </c>
      <c r="H145" s="315">
        <v>0</v>
      </c>
      <c r="I145" s="516">
        <v>0</v>
      </c>
      <c r="J145" s="241">
        <f>J146+J147+J148+J149+J150+J151+J152+J153+J154+J155+J156</f>
        <v>0</v>
      </c>
      <c r="K145" s="150">
        <f t="shared" ref="K145:X145" si="37">K146+K147+K148+K149+K150+K151+K152+K153+K154+K155+K156</f>
        <v>0</v>
      </c>
      <c r="L145" s="162">
        <f t="shared" si="26"/>
        <v>0</v>
      </c>
      <c r="M145" s="102">
        <f t="shared" si="37"/>
        <v>0</v>
      </c>
      <c r="N145" s="103">
        <f t="shared" si="37"/>
        <v>0</v>
      </c>
      <c r="O145" s="106">
        <f t="shared" si="37"/>
        <v>0</v>
      </c>
      <c r="P145" s="106">
        <f t="shared" si="37"/>
        <v>0</v>
      </c>
      <c r="Q145" s="103">
        <f t="shared" si="37"/>
        <v>0</v>
      </c>
      <c r="R145" s="106">
        <f t="shared" si="37"/>
        <v>0</v>
      </c>
      <c r="S145" s="106">
        <f t="shared" si="37"/>
        <v>0</v>
      </c>
      <c r="T145" s="45">
        <f t="shared" si="37"/>
        <v>0</v>
      </c>
      <c r="U145" s="342">
        <f t="shared" si="37"/>
        <v>0</v>
      </c>
      <c r="V145" s="106">
        <f t="shared" si="37"/>
        <v>0</v>
      </c>
      <c r="W145" s="106">
        <f t="shared" si="37"/>
        <v>0</v>
      </c>
      <c r="X145" s="107">
        <f t="shared" si="37"/>
        <v>0</v>
      </c>
      <c r="Y145" s="315"/>
    </row>
    <row r="146" spans="1:25" hidden="1" x14ac:dyDescent="0.25">
      <c r="B146" s="54"/>
      <c r="C146" s="2"/>
      <c r="D146" s="624" t="s">
        <v>354</v>
      </c>
      <c r="E146" s="624"/>
      <c r="F146" s="159">
        <v>0</v>
      </c>
      <c r="G146" s="343">
        <v>0</v>
      </c>
      <c r="H146" s="313">
        <v>0</v>
      </c>
      <c r="I146" s="513">
        <v>0</v>
      </c>
      <c r="J146" s="232">
        <f t="shared" ref="J146:J159" si="38">SUM(M146:X146)</f>
        <v>0</v>
      </c>
      <c r="K146" s="141"/>
      <c r="L146" s="159">
        <f t="shared" si="26"/>
        <v>0</v>
      </c>
      <c r="M146" s="72"/>
      <c r="N146" s="1"/>
      <c r="O146" s="78"/>
      <c r="P146" s="78"/>
      <c r="Q146" s="1"/>
      <c r="R146" s="78"/>
      <c r="S146" s="78"/>
      <c r="T146" s="44"/>
      <c r="U146" s="343"/>
      <c r="V146" s="78"/>
      <c r="W146" s="78"/>
      <c r="X146" s="44"/>
      <c r="Y146" s="313"/>
    </row>
    <row r="147" spans="1:25" hidden="1" x14ac:dyDescent="0.25">
      <c r="B147" s="54"/>
      <c r="C147" s="2"/>
      <c r="D147" s="624" t="s">
        <v>357</v>
      </c>
      <c r="E147" s="624"/>
      <c r="F147" s="159">
        <v>0</v>
      </c>
      <c r="G147" s="343">
        <v>0</v>
      </c>
      <c r="H147" s="313">
        <v>0</v>
      </c>
      <c r="I147" s="513">
        <v>0</v>
      </c>
      <c r="J147" s="232">
        <f t="shared" si="38"/>
        <v>0</v>
      </c>
      <c r="K147" s="141"/>
      <c r="L147" s="159">
        <f t="shared" si="26"/>
        <v>0</v>
      </c>
      <c r="M147" s="72"/>
      <c r="N147" s="1"/>
      <c r="O147" s="78"/>
      <c r="P147" s="78"/>
      <c r="Q147" s="1"/>
      <c r="R147" s="78"/>
      <c r="S147" s="78"/>
      <c r="T147" s="44"/>
      <c r="U147" s="343"/>
      <c r="V147" s="78"/>
      <c r="W147" s="78"/>
      <c r="X147" s="44"/>
      <c r="Y147" s="313"/>
    </row>
    <row r="148" spans="1:25" hidden="1" x14ac:dyDescent="0.25">
      <c r="B148" s="54"/>
      <c r="C148" s="2"/>
      <c r="D148" s="624" t="s">
        <v>358</v>
      </c>
      <c r="E148" s="624"/>
      <c r="F148" s="159">
        <v>0</v>
      </c>
      <c r="G148" s="343">
        <v>0</v>
      </c>
      <c r="H148" s="313">
        <v>0</v>
      </c>
      <c r="I148" s="513">
        <v>0</v>
      </c>
      <c r="J148" s="232">
        <f t="shared" si="38"/>
        <v>0</v>
      </c>
      <c r="K148" s="141"/>
      <c r="L148" s="159">
        <f t="shared" si="26"/>
        <v>0</v>
      </c>
      <c r="M148" s="72"/>
      <c r="N148" s="1"/>
      <c r="O148" s="78"/>
      <c r="P148" s="78"/>
      <c r="Q148" s="1"/>
      <c r="R148" s="78"/>
      <c r="S148" s="78"/>
      <c r="T148" s="44"/>
      <c r="U148" s="343"/>
      <c r="V148" s="78"/>
      <c r="W148" s="78"/>
      <c r="X148" s="44"/>
      <c r="Y148" s="313"/>
    </row>
    <row r="149" spans="1:25" hidden="1" x14ac:dyDescent="0.25">
      <c r="B149" s="54"/>
      <c r="C149" s="2"/>
      <c r="D149" s="624" t="s">
        <v>355</v>
      </c>
      <c r="E149" s="624"/>
      <c r="F149" s="159">
        <v>0</v>
      </c>
      <c r="G149" s="343">
        <v>0</v>
      </c>
      <c r="H149" s="313">
        <v>0</v>
      </c>
      <c r="I149" s="513">
        <v>0</v>
      </c>
      <c r="J149" s="232">
        <f t="shared" si="38"/>
        <v>0</v>
      </c>
      <c r="K149" s="141"/>
      <c r="L149" s="159">
        <f t="shared" si="26"/>
        <v>0</v>
      </c>
      <c r="M149" s="72"/>
      <c r="N149" s="1"/>
      <c r="O149" s="78"/>
      <c r="P149" s="78"/>
      <c r="Q149" s="1"/>
      <c r="R149" s="78"/>
      <c r="S149" s="78"/>
      <c r="T149" s="44"/>
      <c r="U149" s="343"/>
      <c r="V149" s="78"/>
      <c r="W149" s="78"/>
      <c r="X149" s="44"/>
      <c r="Y149" s="313"/>
    </row>
    <row r="150" spans="1:25" hidden="1" x14ac:dyDescent="0.25">
      <c r="B150" s="54"/>
      <c r="C150" s="2"/>
      <c r="D150" s="624" t="s">
        <v>810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si="38"/>
        <v>0</v>
      </c>
      <c r="K150" s="141"/>
      <c r="L150" s="159">
        <f t="shared" si="26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  <c r="Y150" s="313"/>
    </row>
    <row r="151" spans="1:25" ht="25.5" hidden="1" customHeight="1" x14ac:dyDescent="0.25">
      <c r="B151" s="54"/>
      <c r="C151" s="2"/>
      <c r="D151" s="625" t="s">
        <v>532</v>
      </c>
      <c r="E151" s="625"/>
      <c r="F151" s="159">
        <v>0</v>
      </c>
      <c r="G151" s="343">
        <v>0</v>
      </c>
      <c r="H151" s="313">
        <v>0</v>
      </c>
      <c r="I151" s="513">
        <v>0</v>
      </c>
      <c r="J151" s="242">
        <f t="shared" si="38"/>
        <v>0</v>
      </c>
      <c r="K151" s="151"/>
      <c r="L151" s="159">
        <f t="shared" si="26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  <c r="Y151" s="313"/>
    </row>
    <row r="152" spans="1:25" ht="25.5" hidden="1" customHeight="1" x14ac:dyDescent="0.25">
      <c r="B152" s="54"/>
      <c r="C152" s="2"/>
      <c r="D152" s="625" t="s">
        <v>533</v>
      </c>
      <c r="E152" s="625"/>
      <c r="F152" s="159">
        <v>0</v>
      </c>
      <c r="G152" s="343">
        <v>0</v>
      </c>
      <c r="H152" s="313">
        <v>0</v>
      </c>
      <c r="I152" s="513">
        <v>0</v>
      </c>
      <c r="J152" s="242">
        <f t="shared" si="38"/>
        <v>0</v>
      </c>
      <c r="K152" s="151"/>
      <c r="L152" s="159">
        <f t="shared" si="26"/>
        <v>0</v>
      </c>
      <c r="M152" s="72"/>
      <c r="N152" s="1"/>
      <c r="O152" s="78"/>
      <c r="P152" s="78"/>
      <c r="Q152" s="1"/>
      <c r="R152" s="78"/>
      <c r="S152" s="78"/>
      <c r="T152" s="44"/>
      <c r="U152" s="343"/>
      <c r="V152" s="78"/>
      <c r="W152" s="78"/>
      <c r="X152" s="44"/>
      <c r="Y152" s="313"/>
    </row>
    <row r="153" spans="1:25" hidden="1" x14ac:dyDescent="0.25">
      <c r="B153" s="54"/>
      <c r="C153" s="2"/>
      <c r="D153" s="624" t="s">
        <v>364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38"/>
        <v>0</v>
      </c>
      <c r="K153" s="141"/>
      <c r="L153" s="159">
        <f t="shared" si="26"/>
        <v>0</v>
      </c>
      <c r="M153" s="72"/>
      <c r="N153" s="1"/>
      <c r="O153" s="78"/>
      <c r="P153" s="78"/>
      <c r="Q153" s="1"/>
      <c r="R153" s="78"/>
      <c r="S153" s="78"/>
      <c r="T153" s="44"/>
      <c r="U153" s="343"/>
      <c r="V153" s="78"/>
      <c r="W153" s="78"/>
      <c r="X153" s="44"/>
      <c r="Y153" s="313"/>
    </row>
    <row r="154" spans="1:25" hidden="1" x14ac:dyDescent="0.25">
      <c r="B154" s="54"/>
      <c r="C154" s="2"/>
      <c r="D154" s="624" t="s">
        <v>356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38"/>
        <v>0</v>
      </c>
      <c r="K154" s="141"/>
      <c r="L154" s="159">
        <f t="shared" si="26"/>
        <v>0</v>
      </c>
      <c r="M154" s="72"/>
      <c r="N154" s="1"/>
      <c r="O154" s="78"/>
      <c r="P154" s="78"/>
      <c r="Q154" s="1"/>
      <c r="R154" s="78"/>
      <c r="S154" s="78"/>
      <c r="T154" s="44"/>
      <c r="U154" s="343"/>
      <c r="V154" s="78"/>
      <c r="W154" s="78"/>
      <c r="X154" s="44"/>
      <c r="Y154" s="313"/>
    </row>
    <row r="155" spans="1:25" ht="25.5" hidden="1" customHeight="1" x14ac:dyDescent="0.25">
      <c r="B155" s="54"/>
      <c r="C155" s="2"/>
      <c r="D155" s="625" t="s">
        <v>534</v>
      </c>
      <c r="E155" s="625"/>
      <c r="F155" s="159">
        <v>0</v>
      </c>
      <c r="G155" s="343">
        <v>0</v>
      </c>
      <c r="H155" s="313">
        <v>0</v>
      </c>
      <c r="I155" s="513">
        <v>0</v>
      </c>
      <c r="J155" s="242">
        <f t="shared" si="38"/>
        <v>0</v>
      </c>
      <c r="K155" s="151"/>
      <c r="L155" s="159">
        <f t="shared" si="26"/>
        <v>0</v>
      </c>
      <c r="M155" s="72"/>
      <c r="N155" s="1"/>
      <c r="O155" s="78"/>
      <c r="P155" s="78"/>
      <c r="Q155" s="1"/>
      <c r="R155" s="78"/>
      <c r="S155" s="78"/>
      <c r="T155" s="44"/>
      <c r="U155" s="343"/>
      <c r="V155" s="78"/>
      <c r="W155" s="78"/>
      <c r="X155" s="44"/>
      <c r="Y155" s="313"/>
    </row>
    <row r="156" spans="1:25" hidden="1" x14ac:dyDescent="0.25">
      <c r="B156" s="54"/>
      <c r="C156" s="2"/>
      <c r="D156" s="624" t="s">
        <v>535</v>
      </c>
      <c r="E156" s="624"/>
      <c r="F156" s="159">
        <v>0</v>
      </c>
      <c r="G156" s="343">
        <v>0</v>
      </c>
      <c r="H156" s="313">
        <v>0</v>
      </c>
      <c r="I156" s="513">
        <v>0</v>
      </c>
      <c r="J156" s="232">
        <f t="shared" si="38"/>
        <v>0</v>
      </c>
      <c r="K156" s="141"/>
      <c r="L156" s="159">
        <f t="shared" si="26"/>
        <v>0</v>
      </c>
      <c r="M156" s="72"/>
      <c r="N156" s="1"/>
      <c r="O156" s="78"/>
      <c r="P156" s="78"/>
      <c r="Q156" s="1"/>
      <c r="R156" s="78"/>
      <c r="S156" s="78"/>
      <c r="T156" s="44"/>
      <c r="U156" s="343"/>
      <c r="V156" s="78"/>
      <c r="W156" s="78"/>
      <c r="X156" s="44"/>
      <c r="Y156" s="313"/>
    </row>
    <row r="157" spans="1:25" s="41" customFormat="1" hidden="1" x14ac:dyDescent="0.25">
      <c r="A157" s="118" t="s">
        <v>235</v>
      </c>
      <c r="B157" s="101" t="s">
        <v>665</v>
      </c>
      <c r="C157" s="655" t="s">
        <v>236</v>
      </c>
      <c r="D157" s="656"/>
      <c r="E157" s="656"/>
      <c r="F157" s="162">
        <v>0</v>
      </c>
      <c r="G157" s="345">
        <v>0</v>
      </c>
      <c r="H157" s="315">
        <v>0</v>
      </c>
      <c r="I157" s="516">
        <v>0</v>
      </c>
      <c r="J157" s="243">
        <f t="shared" si="38"/>
        <v>0</v>
      </c>
      <c r="K157" s="152"/>
      <c r="L157" s="162">
        <f t="shared" si="26"/>
        <v>0</v>
      </c>
      <c r="M157" s="102"/>
      <c r="N157" s="103"/>
      <c r="O157" s="106"/>
      <c r="P157" s="106"/>
      <c r="Q157" s="103"/>
      <c r="R157" s="106"/>
      <c r="S157" s="106"/>
      <c r="T157" s="45"/>
      <c r="U157" s="342"/>
      <c r="V157" s="106"/>
      <c r="W157" s="106"/>
      <c r="X157" s="107"/>
      <c r="Y157" s="315"/>
    </row>
    <row r="158" spans="1:25" s="41" customFormat="1" hidden="1" x14ac:dyDescent="0.25">
      <c r="A158" s="118" t="s">
        <v>237</v>
      </c>
      <c r="B158" s="101" t="s">
        <v>667</v>
      </c>
      <c r="C158" s="655" t="s">
        <v>238</v>
      </c>
      <c r="D158" s="656"/>
      <c r="E158" s="656"/>
      <c r="F158" s="162">
        <v>0</v>
      </c>
      <c r="G158" s="345">
        <v>0</v>
      </c>
      <c r="H158" s="315">
        <v>0</v>
      </c>
      <c r="I158" s="516">
        <v>0</v>
      </c>
      <c r="J158" s="243">
        <f t="shared" si="38"/>
        <v>0</v>
      </c>
      <c r="K158" s="152"/>
      <c r="L158" s="162">
        <f t="shared" si="26"/>
        <v>0</v>
      </c>
      <c r="M158" s="102"/>
      <c r="N158" s="103"/>
      <c r="O158" s="106"/>
      <c r="P158" s="106"/>
      <c r="Q158" s="103"/>
      <c r="R158" s="106"/>
      <c r="S158" s="106"/>
      <c r="T158" s="45"/>
      <c r="U158" s="342"/>
      <c r="V158" s="106"/>
      <c r="W158" s="106"/>
      <c r="X158" s="107"/>
      <c r="Y158" s="315"/>
    </row>
    <row r="159" spans="1:25" s="41" customFormat="1" hidden="1" x14ac:dyDescent="0.25">
      <c r="A159" s="118" t="s">
        <v>239</v>
      </c>
      <c r="B159" s="101" t="s">
        <v>668</v>
      </c>
      <c r="C159" s="655" t="s">
        <v>240</v>
      </c>
      <c r="D159" s="656"/>
      <c r="E159" s="656"/>
      <c r="F159" s="162">
        <v>0</v>
      </c>
      <c r="G159" s="345">
        <v>0</v>
      </c>
      <c r="H159" s="315">
        <v>0</v>
      </c>
      <c r="I159" s="516">
        <v>0</v>
      </c>
      <c r="J159" s="243">
        <f t="shared" si="38"/>
        <v>0</v>
      </c>
      <c r="K159" s="152"/>
      <c r="L159" s="162">
        <f t="shared" ref="L159:L226" si="39">SUM(J159:K159)</f>
        <v>0</v>
      </c>
      <c r="M159" s="102"/>
      <c r="N159" s="103"/>
      <c r="O159" s="106"/>
      <c r="P159" s="106"/>
      <c r="Q159" s="103"/>
      <c r="R159" s="106"/>
      <c r="S159" s="106"/>
      <c r="T159" s="45"/>
      <c r="U159" s="342"/>
      <c r="V159" s="106"/>
      <c r="W159" s="106"/>
      <c r="X159" s="107"/>
      <c r="Y159" s="315"/>
    </row>
    <row r="160" spans="1:25" s="41" customFormat="1" hidden="1" x14ac:dyDescent="0.25">
      <c r="A160" s="118" t="s">
        <v>241</v>
      </c>
      <c r="B160" s="101" t="s">
        <v>669</v>
      </c>
      <c r="C160" s="655" t="s">
        <v>242</v>
      </c>
      <c r="D160" s="656"/>
      <c r="E160" s="656"/>
      <c r="F160" s="162">
        <v>0</v>
      </c>
      <c r="G160" s="345">
        <v>0</v>
      </c>
      <c r="H160" s="315">
        <v>0</v>
      </c>
      <c r="I160" s="516">
        <v>0</v>
      </c>
      <c r="J160" s="243">
        <f>J161+J162+J163+J164+J165+J166+J167+J168+J169+J170</f>
        <v>0</v>
      </c>
      <c r="K160" s="152">
        <f t="shared" ref="K160:X160" si="40">K161+K162+K163+K164+K165+K166+K167+K168+K169+K170</f>
        <v>0</v>
      </c>
      <c r="L160" s="162">
        <f t="shared" si="39"/>
        <v>0</v>
      </c>
      <c r="M160" s="102">
        <f t="shared" si="40"/>
        <v>0</v>
      </c>
      <c r="N160" s="103">
        <f t="shared" si="40"/>
        <v>0</v>
      </c>
      <c r="O160" s="106">
        <f t="shared" si="40"/>
        <v>0</v>
      </c>
      <c r="P160" s="106">
        <f t="shared" si="40"/>
        <v>0</v>
      </c>
      <c r="Q160" s="103">
        <f t="shared" si="40"/>
        <v>0</v>
      </c>
      <c r="R160" s="106">
        <f t="shared" si="40"/>
        <v>0</v>
      </c>
      <c r="S160" s="106">
        <f t="shared" si="40"/>
        <v>0</v>
      </c>
      <c r="T160" s="45">
        <f t="shared" si="40"/>
        <v>0</v>
      </c>
      <c r="U160" s="342">
        <f t="shared" si="40"/>
        <v>0</v>
      </c>
      <c r="V160" s="106">
        <f t="shared" si="40"/>
        <v>0</v>
      </c>
      <c r="W160" s="106">
        <f t="shared" si="40"/>
        <v>0</v>
      </c>
      <c r="X160" s="107">
        <f t="shared" si="40"/>
        <v>0</v>
      </c>
      <c r="Y160" s="315"/>
    </row>
    <row r="161" spans="1:29" hidden="1" x14ac:dyDescent="0.25">
      <c r="B161" s="54"/>
      <c r="C161" s="2"/>
      <c r="D161" s="624" t="s">
        <v>359</v>
      </c>
      <c r="E161" s="624"/>
      <c r="F161" s="159">
        <v>0</v>
      </c>
      <c r="G161" s="343">
        <v>0</v>
      </c>
      <c r="H161" s="313">
        <v>0</v>
      </c>
      <c r="I161" s="513">
        <v>0</v>
      </c>
      <c r="J161" s="232">
        <f t="shared" ref="J161:J170" si="41">SUM(M161:X161)</f>
        <v>0</v>
      </c>
      <c r="K161" s="141"/>
      <c r="L161" s="159">
        <f t="shared" si="39"/>
        <v>0</v>
      </c>
      <c r="M161" s="72"/>
      <c r="N161" s="1"/>
      <c r="O161" s="78"/>
      <c r="P161" s="78"/>
      <c r="Q161" s="1"/>
      <c r="R161" s="78"/>
      <c r="S161" s="78"/>
      <c r="T161" s="44"/>
      <c r="U161" s="343"/>
      <c r="V161" s="78"/>
      <c r="W161" s="78"/>
      <c r="X161" s="44"/>
      <c r="Y161" s="313"/>
    </row>
    <row r="162" spans="1:29" hidden="1" x14ac:dyDescent="0.25">
      <c r="B162" s="54"/>
      <c r="C162" s="2"/>
      <c r="D162" s="624" t="s">
        <v>360</v>
      </c>
      <c r="E162" s="624"/>
      <c r="F162" s="159">
        <v>0</v>
      </c>
      <c r="G162" s="343">
        <v>0</v>
      </c>
      <c r="H162" s="313">
        <v>0</v>
      </c>
      <c r="I162" s="513">
        <v>0</v>
      </c>
      <c r="J162" s="232">
        <f t="shared" si="41"/>
        <v>0</v>
      </c>
      <c r="K162" s="141"/>
      <c r="L162" s="159">
        <f t="shared" si="39"/>
        <v>0</v>
      </c>
      <c r="M162" s="72"/>
      <c r="N162" s="1"/>
      <c r="O162" s="78"/>
      <c r="P162" s="78"/>
      <c r="Q162" s="1"/>
      <c r="R162" s="78"/>
      <c r="S162" s="78"/>
      <c r="T162" s="44"/>
      <c r="U162" s="343"/>
      <c r="V162" s="78"/>
      <c r="W162" s="78"/>
      <c r="X162" s="44"/>
      <c r="Y162" s="313"/>
    </row>
    <row r="163" spans="1:29" hidden="1" x14ac:dyDescent="0.25">
      <c r="B163" s="54"/>
      <c r="C163" s="2"/>
      <c r="D163" s="624" t="s">
        <v>361</v>
      </c>
      <c r="E163" s="624"/>
      <c r="F163" s="159">
        <v>0</v>
      </c>
      <c r="G163" s="343">
        <v>0</v>
      </c>
      <c r="H163" s="313">
        <v>0</v>
      </c>
      <c r="I163" s="513">
        <v>0</v>
      </c>
      <c r="J163" s="232">
        <f t="shared" si="41"/>
        <v>0</v>
      </c>
      <c r="K163" s="141"/>
      <c r="L163" s="159">
        <f t="shared" si="39"/>
        <v>0</v>
      </c>
      <c r="M163" s="72"/>
      <c r="N163" s="1"/>
      <c r="O163" s="78"/>
      <c r="P163" s="78"/>
      <c r="Q163" s="1"/>
      <c r="R163" s="78"/>
      <c r="S163" s="78"/>
      <c r="T163" s="44"/>
      <c r="U163" s="343"/>
      <c r="V163" s="78"/>
      <c r="W163" s="78"/>
      <c r="X163" s="44"/>
      <c r="Y163" s="313"/>
    </row>
    <row r="164" spans="1:29" hidden="1" x14ac:dyDescent="0.25">
      <c r="B164" s="54"/>
      <c r="C164" s="2"/>
      <c r="D164" s="624" t="s">
        <v>362</v>
      </c>
      <c r="E164" s="624"/>
      <c r="F164" s="159">
        <v>0</v>
      </c>
      <c r="G164" s="343">
        <v>0</v>
      </c>
      <c r="H164" s="313">
        <v>0</v>
      </c>
      <c r="I164" s="513">
        <v>0</v>
      </c>
      <c r="J164" s="232">
        <f t="shared" si="41"/>
        <v>0</v>
      </c>
      <c r="K164" s="141"/>
      <c r="L164" s="159">
        <f t="shared" si="39"/>
        <v>0</v>
      </c>
      <c r="M164" s="72"/>
      <c r="N164" s="1"/>
      <c r="O164" s="78"/>
      <c r="P164" s="78"/>
      <c r="Q164" s="1"/>
      <c r="R164" s="78"/>
      <c r="S164" s="78"/>
      <c r="T164" s="44"/>
      <c r="U164" s="343"/>
      <c r="V164" s="78"/>
      <c r="W164" s="78"/>
      <c r="X164" s="44"/>
      <c r="Y164" s="313"/>
    </row>
    <row r="165" spans="1:29" hidden="1" x14ac:dyDescent="0.25">
      <c r="B165" s="54"/>
      <c r="C165" s="2"/>
      <c r="D165" s="624" t="s">
        <v>363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si="41"/>
        <v>0</v>
      </c>
      <c r="K165" s="141"/>
      <c r="L165" s="159">
        <f t="shared" si="39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  <c r="Y165" s="313"/>
    </row>
    <row r="166" spans="1:29" ht="25.5" hidden="1" customHeight="1" x14ac:dyDescent="0.25">
      <c r="B166" s="54"/>
      <c r="C166" s="2"/>
      <c r="D166" s="625" t="s">
        <v>536</v>
      </c>
      <c r="E166" s="625"/>
      <c r="F166" s="159">
        <v>0</v>
      </c>
      <c r="G166" s="343">
        <v>0</v>
      </c>
      <c r="H166" s="313">
        <v>0</v>
      </c>
      <c r="I166" s="513">
        <v>0</v>
      </c>
      <c r="J166" s="242">
        <f t="shared" si="41"/>
        <v>0</v>
      </c>
      <c r="K166" s="151"/>
      <c r="L166" s="159">
        <f t="shared" si="39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  <c r="Y166" s="313"/>
    </row>
    <row r="167" spans="1:29" ht="25.5" hidden="1" customHeight="1" x14ac:dyDescent="0.25">
      <c r="B167" s="54"/>
      <c r="C167" s="2"/>
      <c r="D167" s="625" t="s">
        <v>539</v>
      </c>
      <c r="E167" s="625"/>
      <c r="F167" s="159">
        <v>0</v>
      </c>
      <c r="G167" s="343">
        <v>0</v>
      </c>
      <c r="H167" s="313">
        <v>0</v>
      </c>
      <c r="I167" s="513">
        <v>0</v>
      </c>
      <c r="J167" s="242">
        <f t="shared" si="41"/>
        <v>0</v>
      </c>
      <c r="K167" s="151"/>
      <c r="L167" s="159">
        <f t="shared" si="39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  <c r="Y167" s="313"/>
    </row>
    <row r="168" spans="1:29" hidden="1" x14ac:dyDescent="0.25">
      <c r="B168" s="54"/>
      <c r="C168" s="2"/>
      <c r="D168" s="624" t="s">
        <v>365</v>
      </c>
      <c r="E168" s="624"/>
      <c r="F168" s="159">
        <v>0</v>
      </c>
      <c r="G168" s="343">
        <v>0</v>
      </c>
      <c r="H168" s="313">
        <v>0</v>
      </c>
      <c r="I168" s="513">
        <v>0</v>
      </c>
      <c r="J168" s="232">
        <f t="shared" si="41"/>
        <v>0</v>
      </c>
      <c r="K168" s="141"/>
      <c r="L168" s="159">
        <f t="shared" si="39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  <c r="Y168" s="313"/>
    </row>
    <row r="169" spans="1:29" ht="25.5" hidden="1" customHeight="1" x14ac:dyDescent="0.25">
      <c r="B169" s="54"/>
      <c r="C169" s="2"/>
      <c r="D169" s="625" t="s">
        <v>542</v>
      </c>
      <c r="E169" s="625"/>
      <c r="F169" s="159">
        <v>0</v>
      </c>
      <c r="G169" s="343">
        <v>0</v>
      </c>
      <c r="H169" s="313">
        <v>0</v>
      </c>
      <c r="I169" s="513">
        <v>0</v>
      </c>
      <c r="J169" s="242">
        <f t="shared" si="41"/>
        <v>0</v>
      </c>
      <c r="K169" s="151"/>
      <c r="L169" s="159">
        <f t="shared" si="39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  <c r="Y169" s="313"/>
    </row>
    <row r="170" spans="1:29" hidden="1" x14ac:dyDescent="0.25">
      <c r="B170" s="54"/>
      <c r="C170" s="2"/>
      <c r="D170" s="624" t="s">
        <v>543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9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  <c r="Y170" s="313"/>
    </row>
    <row r="171" spans="1:29" s="41" customFormat="1" x14ac:dyDescent="0.25">
      <c r="A171" s="118" t="s">
        <v>243</v>
      </c>
      <c r="B171" s="101" t="s">
        <v>670</v>
      </c>
      <c r="C171" s="655" t="s">
        <v>244</v>
      </c>
      <c r="D171" s="656"/>
      <c r="E171" s="656"/>
      <c r="F171" s="162">
        <v>5011044</v>
      </c>
      <c r="G171" s="345">
        <v>3244470</v>
      </c>
      <c r="H171" s="315">
        <v>4919684</v>
      </c>
      <c r="I171" s="516">
        <v>2201078</v>
      </c>
      <c r="J171" s="243">
        <f>SUM(J172:J174)</f>
        <v>749434</v>
      </c>
      <c r="K171" s="152">
        <f>SUM(K172:K174)</f>
        <v>0</v>
      </c>
      <c r="L171" s="162">
        <f t="shared" si="39"/>
        <v>749434</v>
      </c>
      <c r="M171" s="102">
        <f t="shared" ref="M171:X171" si="42">SUM(M172:M174)</f>
        <v>0</v>
      </c>
      <c r="N171" s="103">
        <f t="shared" si="42"/>
        <v>0</v>
      </c>
      <c r="O171" s="106">
        <f t="shared" si="42"/>
        <v>0</v>
      </c>
      <c r="P171" s="106">
        <f t="shared" si="42"/>
        <v>0</v>
      </c>
      <c r="Q171" s="103">
        <f t="shared" si="42"/>
        <v>0</v>
      </c>
      <c r="R171" s="106">
        <f t="shared" si="42"/>
        <v>0</v>
      </c>
      <c r="S171" s="106">
        <f t="shared" si="42"/>
        <v>0</v>
      </c>
      <c r="T171" s="107">
        <f t="shared" si="42"/>
        <v>0</v>
      </c>
      <c r="U171" s="345">
        <f t="shared" si="42"/>
        <v>0</v>
      </c>
      <c r="V171" s="106">
        <f t="shared" si="42"/>
        <v>0</v>
      </c>
      <c r="W171" s="106">
        <f t="shared" si="42"/>
        <v>0</v>
      </c>
      <c r="X171" s="107">
        <f t="shared" si="42"/>
        <v>749434</v>
      </c>
      <c r="Y171" s="315"/>
    </row>
    <row r="172" spans="1:29" x14ac:dyDescent="0.25">
      <c r="B172" s="293"/>
      <c r="C172" s="294"/>
      <c r="D172" s="295" t="s">
        <v>1007</v>
      </c>
      <c r="E172" s="295"/>
      <c r="F172" s="298">
        <v>565945</v>
      </c>
      <c r="G172" s="468">
        <v>565945</v>
      </c>
      <c r="H172" s="316">
        <v>565945</v>
      </c>
      <c r="I172" s="512">
        <v>565945</v>
      </c>
      <c r="J172" s="296">
        <f>X172</f>
        <v>565945</v>
      </c>
      <c r="K172" s="297"/>
      <c r="L172" s="298">
        <f>SUM(J172:K172)</f>
        <v>565945</v>
      </c>
      <c r="M172" s="299"/>
      <c r="N172" s="300"/>
      <c r="O172" s="301"/>
      <c r="P172" s="301"/>
      <c r="Q172" s="300"/>
      <c r="R172" s="301"/>
      <c r="S172" s="301"/>
      <c r="T172" s="302"/>
      <c r="U172" s="468"/>
      <c r="V172" s="301"/>
      <c r="W172" s="301"/>
      <c r="X172" s="302">
        <v>565945</v>
      </c>
      <c r="Y172" s="316"/>
    </row>
    <row r="173" spans="1:29" x14ac:dyDescent="0.25">
      <c r="B173" s="54"/>
      <c r="C173" s="250"/>
      <c r="D173" s="274" t="s">
        <v>1008</v>
      </c>
      <c r="E173" s="274"/>
      <c r="F173" s="159">
        <v>3879154</v>
      </c>
      <c r="G173" s="468">
        <v>2112580</v>
      </c>
      <c r="H173" s="316">
        <v>3787794</v>
      </c>
      <c r="I173" s="512">
        <v>1069188</v>
      </c>
      <c r="J173" s="296">
        <f>X173</f>
        <v>103134</v>
      </c>
      <c r="K173" s="141"/>
      <c r="L173" s="159">
        <f>SUM(J173:K173)</f>
        <v>103134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>
        <v>103134</v>
      </c>
      <c r="Y173" s="313"/>
    </row>
    <row r="174" spans="1:29" ht="15.75" thickBot="1" x14ac:dyDescent="0.3">
      <c r="B174" s="303"/>
      <c r="C174" s="304"/>
      <c r="D174" s="305" t="s">
        <v>1009</v>
      </c>
      <c r="E174" s="305"/>
      <c r="F174" s="285">
        <v>565945</v>
      </c>
      <c r="G174" s="15">
        <v>565945</v>
      </c>
      <c r="H174" s="487">
        <v>565945</v>
      </c>
      <c r="I174" s="55">
        <v>565945</v>
      </c>
      <c r="J174" s="296">
        <f>X174</f>
        <v>80355</v>
      </c>
      <c r="K174" s="307"/>
      <c r="L174" s="285">
        <f>SUM(J174:K174)</f>
        <v>80355</v>
      </c>
      <c r="M174" s="286"/>
      <c r="N174" s="287"/>
      <c r="O174" s="288"/>
      <c r="P174" s="288"/>
      <c r="Q174" s="287"/>
      <c r="R174" s="288"/>
      <c r="S174" s="288"/>
      <c r="T174" s="290"/>
      <c r="U174" s="391"/>
      <c r="V174" s="288"/>
      <c r="W174" s="288"/>
      <c r="X174" s="290">
        <v>80355</v>
      </c>
      <c r="Y174" s="317"/>
      <c r="AC174" s="180"/>
    </row>
    <row r="175" spans="1:29" ht="15.75" thickBot="1" x14ac:dyDescent="0.3">
      <c r="B175" s="96" t="s">
        <v>245</v>
      </c>
      <c r="C175" s="632" t="s">
        <v>246</v>
      </c>
      <c r="D175" s="633"/>
      <c r="E175" s="633"/>
      <c r="F175" s="156"/>
      <c r="G175" s="338">
        <v>500000</v>
      </c>
      <c r="H175" s="308">
        <v>500000</v>
      </c>
      <c r="I175" s="506">
        <v>50000</v>
      </c>
      <c r="J175" s="235">
        <f>J176+J177+J180+J181+J183+J184+J185</f>
        <v>50000</v>
      </c>
      <c r="K175" s="144">
        <f t="shared" ref="K175:X175" si="43">K176+K177+K180+K181+K183+K184+K185</f>
        <v>0</v>
      </c>
      <c r="L175" s="156">
        <f t="shared" si="39"/>
        <v>50000</v>
      </c>
      <c r="M175" s="82">
        <f t="shared" si="43"/>
        <v>0</v>
      </c>
      <c r="N175" s="83">
        <f t="shared" si="43"/>
        <v>0</v>
      </c>
      <c r="O175" s="86">
        <f t="shared" si="43"/>
        <v>0</v>
      </c>
      <c r="P175" s="86">
        <f t="shared" si="43"/>
        <v>41275</v>
      </c>
      <c r="Q175" s="83">
        <f t="shared" si="43"/>
        <v>0</v>
      </c>
      <c r="R175" s="86">
        <f t="shared" si="43"/>
        <v>0</v>
      </c>
      <c r="S175" s="86">
        <f t="shared" si="43"/>
        <v>0</v>
      </c>
      <c r="T175" s="87">
        <f t="shared" si="43"/>
        <v>0</v>
      </c>
      <c r="U175" s="338">
        <f t="shared" si="43"/>
        <v>8725</v>
      </c>
      <c r="V175" s="86">
        <f t="shared" si="43"/>
        <v>0</v>
      </c>
      <c r="W175" s="86">
        <f t="shared" si="43"/>
        <v>0</v>
      </c>
      <c r="X175" s="87">
        <f t="shared" si="43"/>
        <v>0</v>
      </c>
      <c r="Y175" s="308"/>
      <c r="AC175" s="180"/>
    </row>
    <row r="176" spans="1:29" s="18" customFormat="1" x14ac:dyDescent="0.25">
      <c r="A176" s="118" t="s">
        <v>247</v>
      </c>
      <c r="B176" s="108" t="s">
        <v>671</v>
      </c>
      <c r="C176" s="634" t="s">
        <v>248</v>
      </c>
      <c r="D176" s="635"/>
      <c r="E176" s="635"/>
      <c r="F176" s="158">
        <v>0</v>
      </c>
      <c r="G176" s="339">
        <v>0</v>
      </c>
      <c r="H176" s="309">
        <v>0</v>
      </c>
      <c r="I176" s="507">
        <v>0</v>
      </c>
      <c r="J176" s="231">
        <f>SUM(M176:X176)</f>
        <v>0</v>
      </c>
      <c r="K176" s="140"/>
      <c r="L176" s="158">
        <f t="shared" si="39"/>
        <v>0</v>
      </c>
      <c r="M176" s="90"/>
      <c r="N176" s="91"/>
      <c r="O176" s="94"/>
      <c r="P176" s="94"/>
      <c r="Q176" s="91"/>
      <c r="R176" s="94"/>
      <c r="S176" s="94"/>
      <c r="T176" s="95"/>
      <c r="U176" s="93"/>
      <c r="V176" s="94"/>
      <c r="W176" s="94"/>
      <c r="X176" s="95"/>
      <c r="Y176" s="311"/>
    </row>
    <row r="177" spans="1:25" s="18" customFormat="1" x14ac:dyDescent="0.25">
      <c r="A177" s="118" t="s">
        <v>249</v>
      </c>
      <c r="B177" s="88" t="s">
        <v>672</v>
      </c>
      <c r="C177" s="626" t="s">
        <v>250</v>
      </c>
      <c r="D177" s="627"/>
      <c r="E177" s="627"/>
      <c r="F177" s="158">
        <v>0</v>
      </c>
      <c r="G177" s="341">
        <v>0</v>
      </c>
      <c r="H177" s="311">
        <v>0</v>
      </c>
      <c r="I177" s="509">
        <v>0</v>
      </c>
      <c r="J177" s="233">
        <f>J178+J179</f>
        <v>0</v>
      </c>
      <c r="K177" s="142">
        <f t="shared" ref="K177:X177" si="44">K178+K179</f>
        <v>0</v>
      </c>
      <c r="L177" s="158">
        <f t="shared" si="39"/>
        <v>0</v>
      </c>
      <c r="M177" s="90">
        <f t="shared" si="44"/>
        <v>0</v>
      </c>
      <c r="N177" s="91">
        <f t="shared" si="44"/>
        <v>0</v>
      </c>
      <c r="O177" s="94">
        <f t="shared" si="44"/>
        <v>0</v>
      </c>
      <c r="P177" s="94">
        <f t="shared" si="44"/>
        <v>0</v>
      </c>
      <c r="Q177" s="91">
        <f t="shared" si="44"/>
        <v>0</v>
      </c>
      <c r="R177" s="94">
        <f t="shared" si="44"/>
        <v>0</v>
      </c>
      <c r="S177" s="94">
        <f t="shared" si="44"/>
        <v>0</v>
      </c>
      <c r="T177" s="95">
        <f t="shared" si="44"/>
        <v>0</v>
      </c>
      <c r="U177" s="93">
        <f t="shared" si="44"/>
        <v>0</v>
      </c>
      <c r="V177" s="94">
        <f t="shared" si="44"/>
        <v>0</v>
      </c>
      <c r="W177" s="94">
        <f t="shared" si="44"/>
        <v>0</v>
      </c>
      <c r="X177" s="95">
        <f t="shared" si="44"/>
        <v>0</v>
      </c>
      <c r="Y177" s="311"/>
    </row>
    <row r="178" spans="1:25" hidden="1" x14ac:dyDescent="0.25">
      <c r="B178" s="54"/>
      <c r="C178" s="2"/>
      <c r="D178" s="624" t="s">
        <v>250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ref="J178:J185" si="45">SUM(M178:X178)</f>
        <v>0</v>
      </c>
      <c r="K178" s="141"/>
      <c r="L178" s="159">
        <f t="shared" si="39"/>
        <v>0</v>
      </c>
      <c r="M178" s="72"/>
      <c r="N178" s="1"/>
      <c r="O178" s="78"/>
      <c r="P178" s="78"/>
      <c r="Q178" s="1"/>
      <c r="R178" s="78"/>
      <c r="S178" s="78"/>
      <c r="T178" s="557"/>
      <c r="U178" s="394"/>
      <c r="V178" s="78"/>
      <c r="W178" s="78"/>
      <c r="X178" s="44"/>
      <c r="Y178" s="313"/>
    </row>
    <row r="179" spans="1:25" hidden="1" x14ac:dyDescent="0.25">
      <c r="B179" s="54"/>
      <c r="C179" s="2"/>
      <c r="D179" s="624" t="s">
        <v>349</v>
      </c>
      <c r="E179" s="624"/>
      <c r="F179" s="159">
        <v>0</v>
      </c>
      <c r="G179" s="343">
        <v>0</v>
      </c>
      <c r="H179" s="313">
        <v>0</v>
      </c>
      <c r="I179" s="513">
        <v>0</v>
      </c>
      <c r="J179" s="232">
        <f t="shared" si="45"/>
        <v>0</v>
      </c>
      <c r="K179" s="141"/>
      <c r="L179" s="159">
        <f t="shared" si="39"/>
        <v>0</v>
      </c>
      <c r="M179" s="72"/>
      <c r="N179" s="1"/>
      <c r="O179" s="78"/>
      <c r="P179" s="78"/>
      <c r="Q179" s="1"/>
      <c r="R179" s="78"/>
      <c r="S179" s="78"/>
      <c r="T179" s="557"/>
      <c r="U179" s="394"/>
      <c r="V179" s="78"/>
      <c r="W179" s="78"/>
      <c r="X179" s="44"/>
      <c r="Y179" s="313"/>
    </row>
    <row r="180" spans="1:25" s="18" customFormat="1" x14ac:dyDescent="0.25">
      <c r="A180" s="118" t="s">
        <v>251</v>
      </c>
      <c r="B180" s="88" t="s">
        <v>673</v>
      </c>
      <c r="C180" s="626" t="s">
        <v>252</v>
      </c>
      <c r="D180" s="627"/>
      <c r="E180" s="627"/>
      <c r="F180" s="158">
        <v>0</v>
      </c>
      <c r="G180" s="341">
        <v>0</v>
      </c>
      <c r="H180" s="311">
        <v>0</v>
      </c>
      <c r="I180" s="509">
        <v>0</v>
      </c>
      <c r="J180" s="233">
        <f t="shared" si="45"/>
        <v>0</v>
      </c>
      <c r="K180" s="142"/>
      <c r="L180" s="158">
        <f t="shared" si="39"/>
        <v>0</v>
      </c>
      <c r="M180" s="90"/>
      <c r="N180" s="91"/>
      <c r="O180" s="94"/>
      <c r="P180" s="94"/>
      <c r="Q180" s="91"/>
      <c r="R180" s="94"/>
      <c r="S180" s="94"/>
      <c r="T180" s="95"/>
      <c r="U180" s="93"/>
      <c r="V180" s="94"/>
      <c r="W180" s="94"/>
      <c r="X180" s="95"/>
      <c r="Y180" s="311"/>
    </row>
    <row r="181" spans="1:25" s="18" customFormat="1" x14ac:dyDescent="0.25">
      <c r="A181" s="118" t="s">
        <v>253</v>
      </c>
      <c r="B181" s="88" t="s">
        <v>674</v>
      </c>
      <c r="C181" s="626" t="s">
        <v>254</v>
      </c>
      <c r="D181" s="627"/>
      <c r="E181" s="627"/>
      <c r="F181" s="158"/>
      <c r="G181" s="341">
        <v>500000</v>
      </c>
      <c r="H181" s="311">
        <v>500000</v>
      </c>
      <c r="I181" s="509">
        <v>50000</v>
      </c>
      <c r="J181" s="233">
        <f t="shared" si="45"/>
        <v>50000</v>
      </c>
      <c r="K181" s="142"/>
      <c r="L181" s="158">
        <f t="shared" si="39"/>
        <v>50000</v>
      </c>
      <c r="M181" s="90"/>
      <c r="N181" s="91"/>
      <c r="O181" s="94"/>
      <c r="P181" s="94">
        <f t="shared" ref="P181:U181" si="46">P182</f>
        <v>41275</v>
      </c>
      <c r="Q181" s="91">
        <f t="shared" si="46"/>
        <v>0</v>
      </c>
      <c r="R181" s="91">
        <f t="shared" si="46"/>
        <v>0</v>
      </c>
      <c r="S181" s="94">
        <f t="shared" si="46"/>
        <v>0</v>
      </c>
      <c r="T181" s="95">
        <f t="shared" si="46"/>
        <v>0</v>
      </c>
      <c r="U181" s="93">
        <f t="shared" si="46"/>
        <v>8725</v>
      </c>
      <c r="V181" s="94"/>
      <c r="W181" s="94"/>
      <c r="X181" s="95"/>
      <c r="Y181" s="311"/>
    </row>
    <row r="182" spans="1:25" s="18" customFormat="1" x14ac:dyDescent="0.25">
      <c r="A182" s="118"/>
      <c r="B182" s="262"/>
      <c r="C182" s="448"/>
      <c r="D182" s="447" t="s">
        <v>1040</v>
      </c>
      <c r="E182" s="449"/>
      <c r="F182" s="256"/>
      <c r="G182" s="346">
        <v>500000</v>
      </c>
      <c r="H182" s="318">
        <v>500000</v>
      </c>
      <c r="I182" s="517">
        <v>50000</v>
      </c>
      <c r="J182" s="263">
        <f>J181</f>
        <v>50000</v>
      </c>
      <c r="K182" s="264"/>
      <c r="L182" s="256">
        <f t="shared" si="39"/>
        <v>50000</v>
      </c>
      <c r="M182" s="257"/>
      <c r="N182" s="258"/>
      <c r="O182" s="259"/>
      <c r="P182" s="78">
        <v>41275</v>
      </c>
      <c r="Q182" s="1"/>
      <c r="R182" s="259"/>
      <c r="S182" s="259"/>
      <c r="T182" s="261"/>
      <c r="U182" s="42">
        <v>8725</v>
      </c>
      <c r="V182" s="259"/>
      <c r="W182" s="259"/>
      <c r="X182" s="261"/>
      <c r="Y182" s="318"/>
    </row>
    <row r="183" spans="1:25" s="18" customFormat="1" hidden="1" x14ac:dyDescent="0.25">
      <c r="A183" s="118" t="s">
        <v>255</v>
      </c>
      <c r="B183" s="88" t="s">
        <v>675</v>
      </c>
      <c r="C183" s="626" t="s">
        <v>256</v>
      </c>
      <c r="D183" s="627"/>
      <c r="E183" s="627"/>
      <c r="F183" s="158">
        <v>0</v>
      </c>
      <c r="G183" s="341">
        <v>0</v>
      </c>
      <c r="H183" s="311">
        <v>0</v>
      </c>
      <c r="I183" s="509">
        <v>0</v>
      </c>
      <c r="J183" s="233">
        <f t="shared" si="45"/>
        <v>0</v>
      </c>
      <c r="K183" s="142"/>
      <c r="L183" s="158">
        <f t="shared" si="39"/>
        <v>0</v>
      </c>
      <c r="M183" s="90"/>
      <c r="N183" s="91"/>
      <c r="O183" s="94"/>
      <c r="P183" s="94"/>
      <c r="Q183" s="91"/>
      <c r="R183" s="94"/>
      <c r="S183" s="94"/>
      <c r="T183" s="95"/>
      <c r="U183" s="93"/>
      <c r="V183" s="94"/>
      <c r="W183" s="94"/>
      <c r="X183" s="95"/>
      <c r="Y183" s="311"/>
    </row>
    <row r="184" spans="1:25" s="18" customFormat="1" hidden="1" x14ac:dyDescent="0.25">
      <c r="A184" s="118" t="s">
        <v>257</v>
      </c>
      <c r="B184" s="88" t="s">
        <v>676</v>
      </c>
      <c r="C184" s="626" t="s">
        <v>258</v>
      </c>
      <c r="D184" s="627"/>
      <c r="E184" s="627"/>
      <c r="F184" s="158">
        <v>0</v>
      </c>
      <c r="G184" s="341">
        <v>0</v>
      </c>
      <c r="H184" s="311">
        <v>0</v>
      </c>
      <c r="I184" s="509">
        <v>0</v>
      </c>
      <c r="J184" s="233">
        <f t="shared" si="45"/>
        <v>0</v>
      </c>
      <c r="K184" s="142"/>
      <c r="L184" s="158">
        <f t="shared" si="39"/>
        <v>0</v>
      </c>
      <c r="M184" s="90"/>
      <c r="N184" s="91"/>
      <c r="O184" s="94"/>
      <c r="P184" s="94"/>
      <c r="Q184" s="91"/>
      <c r="R184" s="94"/>
      <c r="S184" s="94"/>
      <c r="T184" s="95"/>
      <c r="U184" s="93"/>
      <c r="V184" s="94"/>
      <c r="W184" s="94"/>
      <c r="X184" s="95"/>
      <c r="Y184" s="311"/>
    </row>
    <row r="185" spans="1:25" s="18" customFormat="1" ht="15.75" thickBot="1" x14ac:dyDescent="0.3">
      <c r="A185" s="118" t="s">
        <v>259</v>
      </c>
      <c r="B185" s="117" t="s">
        <v>677</v>
      </c>
      <c r="C185" s="718" t="s">
        <v>260</v>
      </c>
      <c r="D185" s="719"/>
      <c r="E185" s="719"/>
      <c r="F185" s="158">
        <v>0</v>
      </c>
      <c r="G185" s="469">
        <v>0</v>
      </c>
      <c r="H185" s="488">
        <v>0</v>
      </c>
      <c r="I185" s="518">
        <v>0</v>
      </c>
      <c r="J185" s="245">
        <f t="shared" si="45"/>
        <v>0</v>
      </c>
      <c r="K185" s="154"/>
      <c r="L185" s="158">
        <f t="shared" si="39"/>
        <v>0</v>
      </c>
      <c r="M185" s="90"/>
      <c r="N185" s="91"/>
      <c r="O185" s="94"/>
      <c r="P185" s="94"/>
      <c r="Q185" s="91"/>
      <c r="R185" s="94"/>
      <c r="S185" s="94"/>
      <c r="T185" s="95"/>
      <c r="U185" s="93"/>
      <c r="V185" s="94"/>
      <c r="W185" s="94"/>
      <c r="X185" s="95"/>
      <c r="Y185" s="311"/>
    </row>
    <row r="186" spans="1:25" ht="15.75" thickBot="1" x14ac:dyDescent="0.3">
      <c r="B186" s="96" t="s">
        <v>261</v>
      </c>
      <c r="C186" s="632" t="s">
        <v>262</v>
      </c>
      <c r="D186" s="633"/>
      <c r="E186" s="633"/>
      <c r="F186" s="156">
        <v>0</v>
      </c>
      <c r="G186" s="338">
        <v>0</v>
      </c>
      <c r="H186" s="308">
        <v>0</v>
      </c>
      <c r="I186" s="506">
        <v>0</v>
      </c>
      <c r="J186" s="235">
        <f>J187+J188+J189+J190</f>
        <v>0</v>
      </c>
      <c r="K186" s="144">
        <f t="shared" ref="K186:X186" si="47">K187+K188+K189+K190</f>
        <v>0</v>
      </c>
      <c r="L186" s="156">
        <f t="shared" si="39"/>
        <v>0</v>
      </c>
      <c r="M186" s="82">
        <f t="shared" si="47"/>
        <v>0</v>
      </c>
      <c r="N186" s="83">
        <f t="shared" si="47"/>
        <v>0</v>
      </c>
      <c r="O186" s="86">
        <f t="shared" si="47"/>
        <v>0</v>
      </c>
      <c r="P186" s="86">
        <f t="shared" si="47"/>
        <v>0</v>
      </c>
      <c r="Q186" s="83">
        <f t="shared" si="47"/>
        <v>0</v>
      </c>
      <c r="R186" s="86">
        <f t="shared" si="47"/>
        <v>0</v>
      </c>
      <c r="S186" s="86">
        <f t="shared" si="47"/>
        <v>0</v>
      </c>
      <c r="T186" s="87">
        <f t="shared" si="47"/>
        <v>0</v>
      </c>
      <c r="U186" s="338">
        <f t="shared" si="47"/>
        <v>0</v>
      </c>
      <c r="V186" s="86">
        <f t="shared" si="47"/>
        <v>0</v>
      </c>
      <c r="W186" s="86">
        <f t="shared" si="47"/>
        <v>0</v>
      </c>
      <c r="X186" s="87">
        <f t="shared" si="47"/>
        <v>0</v>
      </c>
      <c r="Y186" s="308"/>
    </row>
    <row r="187" spans="1:25" s="18" customFormat="1" ht="15.75" hidden="1" thickBot="1" x14ac:dyDescent="0.3">
      <c r="A187" s="118" t="s">
        <v>263</v>
      </c>
      <c r="B187" s="253" t="s">
        <v>678</v>
      </c>
      <c r="C187" s="720" t="s">
        <v>264</v>
      </c>
      <c r="D187" s="721"/>
      <c r="E187" s="721"/>
      <c r="F187" s="256">
        <v>0</v>
      </c>
      <c r="G187" s="381">
        <v>0</v>
      </c>
      <c r="H187" s="489">
        <v>0</v>
      </c>
      <c r="I187" s="519">
        <v>0</v>
      </c>
      <c r="J187" s="254">
        <f>SUM(M187:X187)</f>
        <v>0</v>
      </c>
      <c r="K187" s="255"/>
      <c r="L187" s="256">
        <f t="shared" si="39"/>
        <v>0</v>
      </c>
      <c r="M187" s="257"/>
      <c r="N187" s="258"/>
      <c r="O187" s="259"/>
      <c r="P187" s="259"/>
      <c r="Q187" s="258"/>
      <c r="R187" s="259"/>
      <c r="S187" s="259"/>
      <c r="T187" s="556"/>
      <c r="U187" s="393"/>
      <c r="V187" s="259"/>
      <c r="W187" s="259"/>
      <c r="X187" s="261"/>
      <c r="Y187" s="318"/>
    </row>
    <row r="188" spans="1:25" s="18" customFormat="1" ht="15.75" hidden="1" thickBot="1" x14ac:dyDescent="0.3">
      <c r="A188" s="118" t="s">
        <v>265</v>
      </c>
      <c r="B188" s="262" t="s">
        <v>679</v>
      </c>
      <c r="C188" s="712" t="s">
        <v>884</v>
      </c>
      <c r="D188" s="713"/>
      <c r="E188" s="713"/>
      <c r="F188" s="256">
        <v>0</v>
      </c>
      <c r="G188" s="346">
        <v>0</v>
      </c>
      <c r="H188" s="318">
        <v>0</v>
      </c>
      <c r="I188" s="517">
        <v>0</v>
      </c>
      <c r="J188" s="263">
        <f>SUM(M188:X188)</f>
        <v>0</v>
      </c>
      <c r="K188" s="264"/>
      <c r="L188" s="256">
        <f t="shared" si="39"/>
        <v>0</v>
      </c>
      <c r="M188" s="257"/>
      <c r="N188" s="258"/>
      <c r="O188" s="259"/>
      <c r="P188" s="259"/>
      <c r="Q188" s="258"/>
      <c r="R188" s="259"/>
      <c r="S188" s="259"/>
      <c r="T188" s="556"/>
      <c r="U188" s="393"/>
      <c r="V188" s="259"/>
      <c r="W188" s="259"/>
      <c r="X188" s="261"/>
      <c r="Y188" s="318"/>
    </row>
    <row r="189" spans="1:25" s="18" customFormat="1" ht="15.75" hidden="1" thickBot="1" x14ac:dyDescent="0.3">
      <c r="A189" s="118" t="s">
        <v>266</v>
      </c>
      <c r="B189" s="262" t="s">
        <v>680</v>
      </c>
      <c r="C189" s="712" t="s">
        <v>267</v>
      </c>
      <c r="D189" s="713"/>
      <c r="E189" s="713"/>
      <c r="F189" s="256">
        <v>0</v>
      </c>
      <c r="G189" s="346">
        <v>0</v>
      </c>
      <c r="H189" s="318">
        <v>0</v>
      </c>
      <c r="I189" s="517">
        <v>0</v>
      </c>
      <c r="J189" s="263">
        <f>SUM(M189:X189)</f>
        <v>0</v>
      </c>
      <c r="K189" s="264"/>
      <c r="L189" s="256">
        <f t="shared" si="39"/>
        <v>0</v>
      </c>
      <c r="M189" s="257"/>
      <c r="N189" s="258"/>
      <c r="O189" s="259"/>
      <c r="P189" s="259"/>
      <c r="Q189" s="258"/>
      <c r="R189" s="259"/>
      <c r="S189" s="259"/>
      <c r="T189" s="556"/>
      <c r="U189" s="393"/>
      <c r="V189" s="259"/>
      <c r="W189" s="259"/>
      <c r="X189" s="261"/>
      <c r="Y189" s="318"/>
    </row>
    <row r="190" spans="1:25" s="18" customFormat="1" ht="15.75" hidden="1" thickBot="1" x14ac:dyDescent="0.3">
      <c r="A190" s="118" t="s">
        <v>268</v>
      </c>
      <c r="B190" s="265" t="s">
        <v>681</v>
      </c>
      <c r="C190" s="714" t="s">
        <v>366</v>
      </c>
      <c r="D190" s="715"/>
      <c r="E190" s="715"/>
      <c r="F190" s="256">
        <v>0</v>
      </c>
      <c r="G190" s="470">
        <v>0</v>
      </c>
      <c r="H190" s="490">
        <v>0</v>
      </c>
      <c r="I190" s="520">
        <v>0</v>
      </c>
      <c r="J190" s="266">
        <f>SUM(M190:X190)</f>
        <v>0</v>
      </c>
      <c r="K190" s="267"/>
      <c r="L190" s="256">
        <f t="shared" si="39"/>
        <v>0</v>
      </c>
      <c r="M190" s="257"/>
      <c r="N190" s="258"/>
      <c r="O190" s="259"/>
      <c r="P190" s="259"/>
      <c r="Q190" s="258"/>
      <c r="R190" s="259"/>
      <c r="S190" s="259"/>
      <c r="T190" s="556"/>
      <c r="U190" s="393"/>
      <c r="V190" s="259"/>
      <c r="W190" s="259"/>
      <c r="X190" s="261"/>
      <c r="Y190" s="318"/>
    </row>
    <row r="191" spans="1:25" ht="15.75" thickBot="1" x14ac:dyDescent="0.3">
      <c r="B191" s="96" t="s">
        <v>269</v>
      </c>
      <c r="C191" s="632" t="s">
        <v>270</v>
      </c>
      <c r="D191" s="633"/>
      <c r="E191" s="633"/>
      <c r="F191" s="156">
        <v>0</v>
      </c>
      <c r="G191" s="338">
        <v>0</v>
      </c>
      <c r="H191" s="308">
        <v>0</v>
      </c>
      <c r="I191" s="506">
        <v>0</v>
      </c>
      <c r="J191" s="235">
        <f>J192+J193+J204+J215+J226+J229+J241+J242+J243</f>
        <v>0</v>
      </c>
      <c r="K191" s="144">
        <f t="shared" ref="K191:X191" si="48">K192+K193+K204+K215+K226+K229+K241+K242+K243</f>
        <v>0</v>
      </c>
      <c r="L191" s="156">
        <f t="shared" si="39"/>
        <v>0</v>
      </c>
      <c r="M191" s="82">
        <f t="shared" si="48"/>
        <v>0</v>
      </c>
      <c r="N191" s="83">
        <f t="shared" si="48"/>
        <v>0</v>
      </c>
      <c r="O191" s="86">
        <f t="shared" si="48"/>
        <v>0</v>
      </c>
      <c r="P191" s="86">
        <f t="shared" si="48"/>
        <v>0</v>
      </c>
      <c r="Q191" s="83">
        <f t="shared" si="48"/>
        <v>0</v>
      </c>
      <c r="R191" s="86">
        <f t="shared" si="48"/>
        <v>0</v>
      </c>
      <c r="S191" s="86">
        <f t="shared" si="48"/>
        <v>0</v>
      </c>
      <c r="T191" s="87">
        <f t="shared" si="48"/>
        <v>0</v>
      </c>
      <c r="U191" s="338">
        <f t="shared" si="48"/>
        <v>0</v>
      </c>
      <c r="V191" s="86">
        <f t="shared" si="48"/>
        <v>0</v>
      </c>
      <c r="W191" s="86">
        <f t="shared" si="48"/>
        <v>0</v>
      </c>
      <c r="X191" s="87">
        <f t="shared" si="48"/>
        <v>0</v>
      </c>
      <c r="Y191" s="308"/>
    </row>
    <row r="192" spans="1:25" s="18" customFormat="1" ht="25.5" hidden="1" customHeight="1" x14ac:dyDescent="0.25">
      <c r="A192" s="118" t="s">
        <v>271</v>
      </c>
      <c r="B192" s="88" t="s">
        <v>682</v>
      </c>
      <c r="C192" s="646" t="s">
        <v>367</v>
      </c>
      <c r="D192" s="647"/>
      <c r="E192" s="647"/>
      <c r="F192" s="158">
        <v>0</v>
      </c>
      <c r="G192" s="341">
        <v>0</v>
      </c>
      <c r="H192" s="311">
        <v>0</v>
      </c>
      <c r="I192" s="509">
        <v>0</v>
      </c>
      <c r="J192" s="246">
        <f>SUM(M192:X192)</f>
        <v>0</v>
      </c>
      <c r="K192" s="155"/>
      <c r="L192" s="158">
        <f t="shared" si="39"/>
        <v>0</v>
      </c>
      <c r="M192" s="90"/>
      <c r="N192" s="91"/>
      <c r="O192" s="94"/>
      <c r="P192" s="94"/>
      <c r="Q192" s="91"/>
      <c r="R192" s="94"/>
      <c r="S192" s="94"/>
      <c r="T192" s="556"/>
      <c r="U192" s="393"/>
      <c r="V192" s="94"/>
      <c r="W192" s="94"/>
      <c r="X192" s="95"/>
      <c r="Y192" s="311"/>
    </row>
    <row r="193" spans="1:25" s="18" customFormat="1" ht="16.350000000000001" hidden="1" customHeight="1" x14ac:dyDescent="0.25">
      <c r="A193" s="118" t="s">
        <v>272</v>
      </c>
      <c r="B193" s="88" t="s">
        <v>683</v>
      </c>
      <c r="C193" s="716" t="s">
        <v>811</v>
      </c>
      <c r="D193" s="717"/>
      <c r="E193" s="717"/>
      <c r="F193" s="158">
        <v>0</v>
      </c>
      <c r="G193" s="341">
        <v>0</v>
      </c>
      <c r="H193" s="311">
        <v>0</v>
      </c>
      <c r="I193" s="509">
        <v>0</v>
      </c>
      <c r="J193" s="246">
        <f>J194+J195+J196+J197+J198+J199+J200+J201+J202+J203</f>
        <v>0</v>
      </c>
      <c r="K193" s="155">
        <f t="shared" ref="K193:X193" si="49">K194+K195+K196+K197+K198+K199+K200+K201+K202+K203</f>
        <v>0</v>
      </c>
      <c r="L193" s="158">
        <f t="shared" si="39"/>
        <v>0</v>
      </c>
      <c r="M193" s="90">
        <f t="shared" si="49"/>
        <v>0</v>
      </c>
      <c r="N193" s="91">
        <f t="shared" si="49"/>
        <v>0</v>
      </c>
      <c r="O193" s="94">
        <f t="shared" si="49"/>
        <v>0</v>
      </c>
      <c r="P193" s="94">
        <f t="shared" si="49"/>
        <v>0</v>
      </c>
      <c r="Q193" s="91">
        <f t="shared" si="49"/>
        <v>0</v>
      </c>
      <c r="R193" s="94">
        <f t="shared" si="49"/>
        <v>0</v>
      </c>
      <c r="S193" s="94">
        <f t="shared" si="49"/>
        <v>0</v>
      </c>
      <c r="T193" s="556">
        <f t="shared" si="49"/>
        <v>0</v>
      </c>
      <c r="U193" s="393">
        <f t="shared" si="49"/>
        <v>0</v>
      </c>
      <c r="V193" s="94">
        <f t="shared" si="49"/>
        <v>0</v>
      </c>
      <c r="W193" s="94">
        <f t="shared" si="49"/>
        <v>0</v>
      </c>
      <c r="X193" s="95">
        <f t="shared" si="49"/>
        <v>0</v>
      </c>
      <c r="Y193" s="311"/>
    </row>
    <row r="194" spans="1:25" ht="15.75" hidden="1" thickBot="1" x14ac:dyDescent="0.3">
      <c r="B194" s="54"/>
      <c r="C194" s="2"/>
      <c r="D194" s="624" t="s">
        <v>812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ref="J194:J203" si="50">SUM(M194:X194)</f>
        <v>0</v>
      </c>
      <c r="K194" s="141"/>
      <c r="L194" s="159">
        <f t="shared" si="39"/>
        <v>0</v>
      </c>
      <c r="M194" s="72"/>
      <c r="N194" s="1"/>
      <c r="O194" s="78"/>
      <c r="P194" s="78"/>
      <c r="Q194" s="1"/>
      <c r="R194" s="78"/>
      <c r="S194" s="78"/>
      <c r="T194" s="557"/>
      <c r="U194" s="394"/>
      <c r="V194" s="78"/>
      <c r="W194" s="78"/>
      <c r="X194" s="44"/>
      <c r="Y194" s="313"/>
    </row>
    <row r="195" spans="1:25" ht="15.75" hidden="1" thickBot="1" x14ac:dyDescent="0.3">
      <c r="B195" s="54"/>
      <c r="C195" s="2"/>
      <c r="D195" s="624" t="s">
        <v>813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50"/>
        <v>0</v>
      </c>
      <c r="K195" s="141"/>
      <c r="L195" s="159">
        <f t="shared" si="39"/>
        <v>0</v>
      </c>
      <c r="M195" s="72"/>
      <c r="N195" s="1"/>
      <c r="O195" s="78"/>
      <c r="P195" s="78"/>
      <c r="Q195" s="1"/>
      <c r="R195" s="78"/>
      <c r="S195" s="78"/>
      <c r="T195" s="557"/>
      <c r="U195" s="394"/>
      <c r="V195" s="78"/>
      <c r="W195" s="78"/>
      <c r="X195" s="44"/>
      <c r="Y195" s="313"/>
    </row>
    <row r="196" spans="1:25" ht="15.75" hidden="1" thickBot="1" x14ac:dyDescent="0.3">
      <c r="B196" s="54"/>
      <c r="C196" s="2"/>
      <c r="D196" s="624" t="s">
        <v>545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50"/>
        <v>0</v>
      </c>
      <c r="K196" s="141"/>
      <c r="L196" s="159">
        <f t="shared" si="39"/>
        <v>0</v>
      </c>
      <c r="M196" s="72"/>
      <c r="N196" s="1"/>
      <c r="O196" s="78"/>
      <c r="P196" s="78"/>
      <c r="Q196" s="1"/>
      <c r="R196" s="78"/>
      <c r="S196" s="78"/>
      <c r="T196" s="557"/>
      <c r="U196" s="394"/>
      <c r="V196" s="78"/>
      <c r="W196" s="78"/>
      <c r="X196" s="44"/>
      <c r="Y196" s="313"/>
    </row>
    <row r="197" spans="1:25" ht="25.5" hidden="1" customHeight="1" x14ac:dyDescent="0.25">
      <c r="B197" s="54"/>
      <c r="C197" s="2"/>
      <c r="D197" s="625" t="s">
        <v>548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50"/>
        <v>0</v>
      </c>
      <c r="K197" s="151"/>
      <c r="L197" s="159">
        <f t="shared" si="39"/>
        <v>0</v>
      </c>
      <c r="M197" s="72"/>
      <c r="N197" s="1"/>
      <c r="O197" s="78"/>
      <c r="P197" s="78"/>
      <c r="Q197" s="1"/>
      <c r="R197" s="78"/>
      <c r="S197" s="78"/>
      <c r="T197" s="557"/>
      <c r="U197" s="394"/>
      <c r="V197" s="78"/>
      <c r="W197" s="78"/>
      <c r="X197" s="44"/>
      <c r="Y197" s="313"/>
    </row>
    <row r="198" spans="1:25" ht="15.75" hidden="1" thickBot="1" x14ac:dyDescent="0.3">
      <c r="B198" s="54"/>
      <c r="C198" s="2"/>
      <c r="D198" s="624" t="s">
        <v>550</v>
      </c>
      <c r="E198" s="624"/>
      <c r="F198" s="159">
        <v>0</v>
      </c>
      <c r="G198" s="343">
        <v>0</v>
      </c>
      <c r="H198" s="313">
        <v>0</v>
      </c>
      <c r="I198" s="513">
        <v>0</v>
      </c>
      <c r="J198" s="232">
        <f t="shared" si="50"/>
        <v>0</v>
      </c>
      <c r="K198" s="141"/>
      <c r="L198" s="159">
        <f t="shared" si="39"/>
        <v>0</v>
      </c>
      <c r="M198" s="72"/>
      <c r="N198" s="1"/>
      <c r="O198" s="78"/>
      <c r="P198" s="78"/>
      <c r="Q198" s="1"/>
      <c r="R198" s="78"/>
      <c r="S198" s="78"/>
      <c r="T198" s="557"/>
      <c r="U198" s="394"/>
      <c r="V198" s="78"/>
      <c r="W198" s="78"/>
      <c r="X198" s="44"/>
      <c r="Y198" s="313"/>
    </row>
    <row r="199" spans="1:25" ht="15.75" hidden="1" thickBot="1" x14ac:dyDescent="0.3">
      <c r="B199" s="54"/>
      <c r="C199" s="2"/>
      <c r="D199" s="624" t="s">
        <v>551</v>
      </c>
      <c r="E199" s="624"/>
      <c r="F199" s="159">
        <v>0</v>
      </c>
      <c r="G199" s="343">
        <v>0</v>
      </c>
      <c r="H199" s="313">
        <v>0</v>
      </c>
      <c r="I199" s="513">
        <v>0</v>
      </c>
      <c r="J199" s="232">
        <f t="shared" si="50"/>
        <v>0</v>
      </c>
      <c r="K199" s="141"/>
      <c r="L199" s="159">
        <f t="shared" si="39"/>
        <v>0</v>
      </c>
      <c r="M199" s="72"/>
      <c r="N199" s="1"/>
      <c r="O199" s="78"/>
      <c r="P199" s="78"/>
      <c r="Q199" s="1"/>
      <c r="R199" s="78"/>
      <c r="S199" s="78"/>
      <c r="T199" s="557"/>
      <c r="U199" s="394"/>
      <c r="V199" s="78"/>
      <c r="W199" s="78"/>
      <c r="X199" s="44"/>
      <c r="Y199" s="313"/>
    </row>
    <row r="200" spans="1:25" ht="25.5" hidden="1" customHeight="1" x14ac:dyDescent="0.25">
      <c r="B200" s="54"/>
      <c r="C200" s="2"/>
      <c r="D200" s="625" t="s">
        <v>555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50"/>
        <v>0</v>
      </c>
      <c r="K200" s="151"/>
      <c r="L200" s="159">
        <f t="shared" si="39"/>
        <v>0</v>
      </c>
      <c r="M200" s="72"/>
      <c r="N200" s="1"/>
      <c r="O200" s="78"/>
      <c r="P200" s="78"/>
      <c r="Q200" s="1"/>
      <c r="R200" s="78"/>
      <c r="S200" s="78"/>
      <c r="T200" s="557"/>
      <c r="U200" s="394"/>
      <c r="V200" s="78"/>
      <c r="W200" s="78"/>
      <c r="X200" s="44"/>
      <c r="Y200" s="313"/>
    </row>
    <row r="201" spans="1:25" ht="25.5" hidden="1" customHeight="1" x14ac:dyDescent="0.25">
      <c r="B201" s="54"/>
      <c r="C201" s="2"/>
      <c r="D201" s="625" t="s">
        <v>558</v>
      </c>
      <c r="E201" s="625"/>
      <c r="F201" s="159">
        <v>0</v>
      </c>
      <c r="G201" s="343">
        <v>0</v>
      </c>
      <c r="H201" s="313">
        <v>0</v>
      </c>
      <c r="I201" s="513">
        <v>0</v>
      </c>
      <c r="J201" s="242">
        <f t="shared" si="50"/>
        <v>0</v>
      </c>
      <c r="K201" s="151"/>
      <c r="L201" s="159">
        <f t="shared" si="39"/>
        <v>0</v>
      </c>
      <c r="M201" s="72"/>
      <c r="N201" s="1"/>
      <c r="O201" s="78"/>
      <c r="P201" s="78"/>
      <c r="Q201" s="1"/>
      <c r="R201" s="78"/>
      <c r="S201" s="78"/>
      <c r="T201" s="557"/>
      <c r="U201" s="394"/>
      <c r="V201" s="78"/>
      <c r="W201" s="78"/>
      <c r="X201" s="44"/>
      <c r="Y201" s="313"/>
    </row>
    <row r="202" spans="1:25" ht="25.5" hidden="1" customHeight="1" x14ac:dyDescent="0.25">
      <c r="B202" s="54"/>
      <c r="C202" s="2"/>
      <c r="D202" s="625" t="s">
        <v>560</v>
      </c>
      <c r="E202" s="625"/>
      <c r="F202" s="159">
        <v>0</v>
      </c>
      <c r="G202" s="343">
        <v>0</v>
      </c>
      <c r="H202" s="313">
        <v>0</v>
      </c>
      <c r="I202" s="513">
        <v>0</v>
      </c>
      <c r="J202" s="242">
        <f t="shared" si="50"/>
        <v>0</v>
      </c>
      <c r="K202" s="151"/>
      <c r="L202" s="159">
        <f t="shared" si="39"/>
        <v>0</v>
      </c>
      <c r="M202" s="72"/>
      <c r="N202" s="1"/>
      <c r="O202" s="78"/>
      <c r="P202" s="78"/>
      <c r="Q202" s="1"/>
      <c r="R202" s="78"/>
      <c r="S202" s="78"/>
      <c r="T202" s="557"/>
      <c r="U202" s="394"/>
      <c r="V202" s="78"/>
      <c r="W202" s="78"/>
      <c r="X202" s="44"/>
      <c r="Y202" s="313"/>
    </row>
    <row r="203" spans="1:25" ht="25.5" hidden="1" customHeight="1" x14ac:dyDescent="0.25">
      <c r="B203" s="54"/>
      <c r="C203" s="2"/>
      <c r="D203" s="625" t="s">
        <v>563</v>
      </c>
      <c r="E203" s="625"/>
      <c r="F203" s="159">
        <v>0</v>
      </c>
      <c r="G203" s="343">
        <v>0</v>
      </c>
      <c r="H203" s="313">
        <v>0</v>
      </c>
      <c r="I203" s="513">
        <v>0</v>
      </c>
      <c r="J203" s="242">
        <f t="shared" si="50"/>
        <v>0</v>
      </c>
      <c r="K203" s="151"/>
      <c r="L203" s="159">
        <f t="shared" si="39"/>
        <v>0</v>
      </c>
      <c r="M203" s="72"/>
      <c r="N203" s="1"/>
      <c r="O203" s="78"/>
      <c r="P203" s="78"/>
      <c r="Q203" s="1"/>
      <c r="R203" s="78"/>
      <c r="S203" s="78"/>
      <c r="T203" s="557"/>
      <c r="U203" s="394"/>
      <c r="V203" s="78"/>
      <c r="W203" s="78"/>
      <c r="X203" s="44"/>
      <c r="Y203" s="313"/>
    </row>
    <row r="204" spans="1:25" s="18" customFormat="1" ht="25.5" hidden="1" customHeight="1" x14ac:dyDescent="0.25">
      <c r="A204" s="121" t="s">
        <v>273</v>
      </c>
      <c r="B204" s="88" t="s">
        <v>684</v>
      </c>
      <c r="C204" s="716" t="s">
        <v>605</v>
      </c>
      <c r="D204" s="717"/>
      <c r="E204" s="717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</f>
        <v>0</v>
      </c>
      <c r="K204" s="155">
        <f t="shared" ref="K204:X204" si="51">K205+K206+K207+K208+K209+K210+K211+K212+K213+K214</f>
        <v>0</v>
      </c>
      <c r="L204" s="158">
        <f t="shared" si="39"/>
        <v>0</v>
      </c>
      <c r="M204" s="90">
        <f t="shared" si="51"/>
        <v>0</v>
      </c>
      <c r="N204" s="91">
        <f t="shared" si="51"/>
        <v>0</v>
      </c>
      <c r="O204" s="94">
        <f t="shared" si="51"/>
        <v>0</v>
      </c>
      <c r="P204" s="94">
        <f t="shared" si="51"/>
        <v>0</v>
      </c>
      <c r="Q204" s="91">
        <f t="shared" si="51"/>
        <v>0</v>
      </c>
      <c r="R204" s="94">
        <f t="shared" si="51"/>
        <v>0</v>
      </c>
      <c r="S204" s="94">
        <f t="shared" si="51"/>
        <v>0</v>
      </c>
      <c r="T204" s="556">
        <f t="shared" si="51"/>
        <v>0</v>
      </c>
      <c r="U204" s="393">
        <f t="shared" si="51"/>
        <v>0</v>
      </c>
      <c r="V204" s="94">
        <f t="shared" si="51"/>
        <v>0</v>
      </c>
      <c r="W204" s="94">
        <f t="shared" si="51"/>
        <v>0</v>
      </c>
      <c r="X204" s="95">
        <f t="shared" si="51"/>
        <v>0</v>
      </c>
      <c r="Y204" s="311"/>
    </row>
    <row r="205" spans="1:25" ht="15.75" hidden="1" thickBot="1" x14ac:dyDescent="0.3">
      <c r="B205" s="54"/>
      <c r="C205" s="2"/>
      <c r="D205" s="624" t="s">
        <v>814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4" si="52">SUM(M205:X205)</f>
        <v>0</v>
      </c>
      <c r="K205" s="141"/>
      <c r="L205" s="159">
        <f t="shared" si="39"/>
        <v>0</v>
      </c>
      <c r="M205" s="72"/>
      <c r="N205" s="1"/>
      <c r="O205" s="78"/>
      <c r="P205" s="78"/>
      <c r="Q205" s="1"/>
      <c r="R205" s="78"/>
      <c r="S205" s="78"/>
      <c r="T205" s="557"/>
      <c r="U205" s="394"/>
      <c r="V205" s="78"/>
      <c r="W205" s="78"/>
      <c r="X205" s="44"/>
      <c r="Y205" s="313"/>
    </row>
    <row r="206" spans="1:25" ht="15.75" hidden="1" thickBot="1" x14ac:dyDescent="0.3">
      <c r="B206" s="54"/>
      <c r="C206" s="2"/>
      <c r="D206" s="624" t="s">
        <v>815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52"/>
        <v>0</v>
      </c>
      <c r="K206" s="141"/>
      <c r="L206" s="159">
        <f t="shared" si="39"/>
        <v>0</v>
      </c>
      <c r="M206" s="72"/>
      <c r="N206" s="1"/>
      <c r="O206" s="78"/>
      <c r="P206" s="78"/>
      <c r="Q206" s="1"/>
      <c r="R206" s="78"/>
      <c r="S206" s="78"/>
      <c r="T206" s="557"/>
      <c r="U206" s="394"/>
      <c r="V206" s="78"/>
      <c r="W206" s="78"/>
      <c r="X206" s="44"/>
      <c r="Y206" s="313"/>
    </row>
    <row r="207" spans="1:25" ht="15.75" hidden="1" thickBot="1" x14ac:dyDescent="0.3">
      <c r="B207" s="54"/>
      <c r="C207" s="2"/>
      <c r="D207" s="624" t="s">
        <v>546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52"/>
        <v>0</v>
      </c>
      <c r="K207" s="141"/>
      <c r="L207" s="159">
        <f t="shared" si="39"/>
        <v>0</v>
      </c>
      <c r="M207" s="72"/>
      <c r="N207" s="1"/>
      <c r="O207" s="78"/>
      <c r="P207" s="78"/>
      <c r="Q207" s="1"/>
      <c r="R207" s="78"/>
      <c r="S207" s="78"/>
      <c r="T207" s="557"/>
      <c r="U207" s="394"/>
      <c r="V207" s="78"/>
      <c r="W207" s="78"/>
      <c r="X207" s="44"/>
      <c r="Y207" s="313"/>
    </row>
    <row r="208" spans="1:25" ht="25.5" hidden="1" customHeight="1" x14ac:dyDescent="0.25">
      <c r="B208" s="54"/>
      <c r="C208" s="2"/>
      <c r="D208" s="625" t="s">
        <v>549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52"/>
        <v>0</v>
      </c>
      <c r="K208" s="151"/>
      <c r="L208" s="159">
        <f t="shared" si="39"/>
        <v>0</v>
      </c>
      <c r="M208" s="72"/>
      <c r="N208" s="1"/>
      <c r="O208" s="78"/>
      <c r="P208" s="78"/>
      <c r="Q208" s="1"/>
      <c r="R208" s="78"/>
      <c r="S208" s="78"/>
      <c r="T208" s="557"/>
      <c r="U208" s="394"/>
      <c r="V208" s="78"/>
      <c r="W208" s="78"/>
      <c r="X208" s="44"/>
      <c r="Y208" s="313"/>
    </row>
    <row r="209" spans="1:25" ht="15.75" hidden="1" thickBot="1" x14ac:dyDescent="0.3">
      <c r="B209" s="54"/>
      <c r="C209" s="2"/>
      <c r="D209" s="624" t="s">
        <v>552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52"/>
        <v>0</v>
      </c>
      <c r="K209" s="141"/>
      <c r="L209" s="159">
        <f t="shared" si="39"/>
        <v>0</v>
      </c>
      <c r="M209" s="72"/>
      <c r="N209" s="1"/>
      <c r="O209" s="78"/>
      <c r="P209" s="78"/>
      <c r="Q209" s="1"/>
      <c r="R209" s="78"/>
      <c r="S209" s="78"/>
      <c r="T209" s="557"/>
      <c r="U209" s="394"/>
      <c r="V209" s="78"/>
      <c r="W209" s="78"/>
      <c r="X209" s="44"/>
      <c r="Y209" s="313"/>
    </row>
    <row r="210" spans="1:25" ht="15.75" hidden="1" thickBot="1" x14ac:dyDescent="0.3">
      <c r="B210" s="54"/>
      <c r="C210" s="2"/>
      <c r="D210" s="624" t="s">
        <v>816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52"/>
        <v>0</v>
      </c>
      <c r="K210" s="141"/>
      <c r="L210" s="159">
        <f t="shared" si="39"/>
        <v>0</v>
      </c>
      <c r="M210" s="72"/>
      <c r="N210" s="1"/>
      <c r="O210" s="78"/>
      <c r="P210" s="78"/>
      <c r="Q210" s="1"/>
      <c r="R210" s="78"/>
      <c r="S210" s="78"/>
      <c r="T210" s="557"/>
      <c r="U210" s="394"/>
      <c r="V210" s="78"/>
      <c r="W210" s="78"/>
      <c r="X210" s="44"/>
      <c r="Y210" s="313"/>
    </row>
    <row r="211" spans="1:25" ht="25.5" hidden="1" customHeight="1" x14ac:dyDescent="0.25">
      <c r="B211" s="54"/>
      <c r="C211" s="2"/>
      <c r="D211" s="625" t="s">
        <v>556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52"/>
        <v>0</v>
      </c>
      <c r="K211" s="151"/>
      <c r="L211" s="159">
        <f t="shared" si="39"/>
        <v>0</v>
      </c>
      <c r="M211" s="72"/>
      <c r="N211" s="1"/>
      <c r="O211" s="78"/>
      <c r="P211" s="78"/>
      <c r="Q211" s="1"/>
      <c r="R211" s="78"/>
      <c r="S211" s="78"/>
      <c r="T211" s="557"/>
      <c r="U211" s="394"/>
      <c r="V211" s="78"/>
      <c r="W211" s="78"/>
      <c r="X211" s="44"/>
      <c r="Y211" s="313"/>
    </row>
    <row r="212" spans="1:25" ht="25.5" hidden="1" customHeight="1" x14ac:dyDescent="0.25">
      <c r="B212" s="54"/>
      <c r="C212" s="2"/>
      <c r="D212" s="625" t="s">
        <v>559</v>
      </c>
      <c r="E212" s="625"/>
      <c r="F212" s="159">
        <v>0</v>
      </c>
      <c r="G212" s="343">
        <v>0</v>
      </c>
      <c r="H212" s="313">
        <v>0</v>
      </c>
      <c r="I212" s="513">
        <v>0</v>
      </c>
      <c r="J212" s="242">
        <f t="shared" si="52"/>
        <v>0</v>
      </c>
      <c r="K212" s="151"/>
      <c r="L212" s="159">
        <f t="shared" si="39"/>
        <v>0</v>
      </c>
      <c r="M212" s="72"/>
      <c r="N212" s="1"/>
      <c r="O212" s="78"/>
      <c r="P212" s="78"/>
      <c r="Q212" s="1"/>
      <c r="R212" s="78"/>
      <c r="S212" s="78"/>
      <c r="T212" s="557"/>
      <c r="U212" s="394"/>
      <c r="V212" s="78"/>
      <c r="W212" s="78"/>
      <c r="X212" s="44"/>
      <c r="Y212" s="313"/>
    </row>
    <row r="213" spans="1:25" ht="25.5" hidden="1" customHeight="1" x14ac:dyDescent="0.25">
      <c r="B213" s="54"/>
      <c r="C213" s="2"/>
      <c r="D213" s="625" t="s">
        <v>561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 t="shared" si="52"/>
        <v>0</v>
      </c>
      <c r="K213" s="151"/>
      <c r="L213" s="159">
        <f t="shared" si="39"/>
        <v>0</v>
      </c>
      <c r="M213" s="72"/>
      <c r="N213" s="1"/>
      <c r="O213" s="78"/>
      <c r="P213" s="78"/>
      <c r="Q213" s="1"/>
      <c r="R213" s="78"/>
      <c r="S213" s="78"/>
      <c r="T213" s="557"/>
      <c r="U213" s="394"/>
      <c r="V213" s="78"/>
      <c r="W213" s="78"/>
      <c r="X213" s="44"/>
      <c r="Y213" s="313"/>
    </row>
    <row r="214" spans="1:25" ht="25.5" hidden="1" customHeight="1" x14ac:dyDescent="0.25">
      <c r="B214" s="54"/>
      <c r="C214" s="2"/>
      <c r="D214" s="625" t="s">
        <v>564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 t="shared" si="52"/>
        <v>0</v>
      </c>
      <c r="K214" s="151"/>
      <c r="L214" s="159">
        <f t="shared" si="39"/>
        <v>0</v>
      </c>
      <c r="M214" s="72"/>
      <c r="N214" s="1"/>
      <c r="O214" s="78"/>
      <c r="P214" s="78"/>
      <c r="Q214" s="1"/>
      <c r="R214" s="78"/>
      <c r="S214" s="78"/>
      <c r="T214" s="557"/>
      <c r="U214" s="394"/>
      <c r="V214" s="78"/>
      <c r="W214" s="78"/>
      <c r="X214" s="44"/>
      <c r="Y214" s="313"/>
    </row>
    <row r="215" spans="1:25" s="18" customFormat="1" ht="15.75" hidden="1" thickBot="1" x14ac:dyDescent="0.3">
      <c r="A215" s="118" t="s">
        <v>274</v>
      </c>
      <c r="B215" s="88" t="s">
        <v>685</v>
      </c>
      <c r="C215" s="626" t="s">
        <v>275</v>
      </c>
      <c r="D215" s="627"/>
      <c r="E215" s="627"/>
      <c r="F215" s="158">
        <v>0</v>
      </c>
      <c r="G215" s="341">
        <v>0</v>
      </c>
      <c r="H215" s="311">
        <v>0</v>
      </c>
      <c r="I215" s="509">
        <v>0</v>
      </c>
      <c r="J215" s="233">
        <f>J216+J217+J218+J219+J220+J221+J222+J223+J224+J225</f>
        <v>0</v>
      </c>
      <c r="K215" s="142">
        <f t="shared" ref="K215:X215" si="53">K216+K217+K218+K219+K220+K221+K222+K223+K224+K225</f>
        <v>0</v>
      </c>
      <c r="L215" s="158">
        <f t="shared" si="39"/>
        <v>0</v>
      </c>
      <c r="M215" s="90">
        <f t="shared" si="53"/>
        <v>0</v>
      </c>
      <c r="N215" s="91">
        <f t="shared" si="53"/>
        <v>0</v>
      </c>
      <c r="O215" s="94">
        <f t="shared" si="53"/>
        <v>0</v>
      </c>
      <c r="P215" s="94">
        <f t="shared" si="53"/>
        <v>0</v>
      </c>
      <c r="Q215" s="91">
        <f t="shared" si="53"/>
        <v>0</v>
      </c>
      <c r="R215" s="94">
        <f t="shared" si="53"/>
        <v>0</v>
      </c>
      <c r="S215" s="94">
        <f t="shared" si="53"/>
        <v>0</v>
      </c>
      <c r="T215" s="556">
        <f t="shared" si="53"/>
        <v>0</v>
      </c>
      <c r="U215" s="393">
        <f t="shared" si="53"/>
        <v>0</v>
      </c>
      <c r="V215" s="94">
        <f t="shared" si="53"/>
        <v>0</v>
      </c>
      <c r="W215" s="94">
        <f t="shared" si="53"/>
        <v>0</v>
      </c>
      <c r="X215" s="95">
        <f t="shared" si="53"/>
        <v>0</v>
      </c>
      <c r="Y215" s="311"/>
    </row>
    <row r="216" spans="1:25" ht="15.75" hidden="1" thickBot="1" x14ac:dyDescent="0.3">
      <c r="B216" s="54"/>
      <c r="C216" s="2"/>
      <c r="D216" s="624" t="s">
        <v>371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5" si="54">SUM(M216:X216)</f>
        <v>0</v>
      </c>
      <c r="K216" s="141"/>
      <c r="L216" s="159">
        <f t="shared" si="39"/>
        <v>0</v>
      </c>
      <c r="M216" s="72"/>
      <c r="N216" s="1"/>
      <c r="O216" s="78"/>
      <c r="P216" s="78"/>
      <c r="Q216" s="1"/>
      <c r="R216" s="78"/>
      <c r="S216" s="78"/>
      <c r="T216" s="557"/>
      <c r="U216" s="394"/>
      <c r="V216" s="78"/>
      <c r="W216" s="78"/>
      <c r="X216" s="44"/>
      <c r="Y216" s="313"/>
    </row>
    <row r="217" spans="1:25" ht="15.75" hidden="1" thickBot="1" x14ac:dyDescent="0.3">
      <c r="B217" s="54"/>
      <c r="C217" s="2"/>
      <c r="D217" s="624" t="s">
        <v>544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4"/>
        <v>0</v>
      </c>
      <c r="K217" s="141"/>
      <c r="L217" s="159">
        <f t="shared" si="39"/>
        <v>0</v>
      </c>
      <c r="M217" s="72"/>
      <c r="N217" s="1"/>
      <c r="O217" s="78"/>
      <c r="P217" s="78"/>
      <c r="Q217" s="1"/>
      <c r="R217" s="78"/>
      <c r="S217" s="78"/>
      <c r="T217" s="557"/>
      <c r="U217" s="394"/>
      <c r="V217" s="78"/>
      <c r="W217" s="78"/>
      <c r="X217" s="44"/>
      <c r="Y217" s="313"/>
    </row>
    <row r="218" spans="1:25" ht="15.75" hidden="1" thickBot="1" x14ac:dyDescent="0.3">
      <c r="B218" s="54"/>
      <c r="C218" s="2"/>
      <c r="D218" s="624" t="s">
        <v>547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4"/>
        <v>0</v>
      </c>
      <c r="K218" s="141"/>
      <c r="L218" s="159">
        <f t="shared" si="39"/>
        <v>0</v>
      </c>
      <c r="M218" s="72"/>
      <c r="N218" s="1"/>
      <c r="O218" s="78"/>
      <c r="P218" s="78"/>
      <c r="Q218" s="1"/>
      <c r="R218" s="78"/>
      <c r="S218" s="78"/>
      <c r="T218" s="557"/>
      <c r="U218" s="394"/>
      <c r="V218" s="78"/>
      <c r="W218" s="78"/>
      <c r="X218" s="44"/>
      <c r="Y218" s="313"/>
    </row>
    <row r="219" spans="1:25" ht="15.75" hidden="1" thickBot="1" x14ac:dyDescent="0.3">
      <c r="B219" s="54"/>
      <c r="C219" s="2"/>
      <c r="D219" s="625" t="s">
        <v>817</v>
      </c>
      <c r="E219" s="625"/>
      <c r="F219" s="159">
        <v>0</v>
      </c>
      <c r="G219" s="343">
        <v>0</v>
      </c>
      <c r="H219" s="313">
        <v>0</v>
      </c>
      <c r="I219" s="513">
        <v>0</v>
      </c>
      <c r="J219" s="242">
        <f t="shared" si="54"/>
        <v>0</v>
      </c>
      <c r="K219" s="151"/>
      <c r="L219" s="159">
        <f t="shared" si="39"/>
        <v>0</v>
      </c>
      <c r="M219" s="72"/>
      <c r="N219" s="1"/>
      <c r="O219" s="78"/>
      <c r="P219" s="78"/>
      <c r="Q219" s="1"/>
      <c r="R219" s="78"/>
      <c r="S219" s="78"/>
      <c r="T219" s="557"/>
      <c r="U219" s="394"/>
      <c r="V219" s="78"/>
      <c r="W219" s="78"/>
      <c r="X219" s="44"/>
      <c r="Y219" s="313"/>
    </row>
    <row r="220" spans="1:25" ht="15.75" hidden="1" thickBot="1" x14ac:dyDescent="0.3">
      <c r="B220" s="54"/>
      <c r="C220" s="2"/>
      <c r="D220" s="624" t="s">
        <v>554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4"/>
        <v>0</v>
      </c>
      <c r="K220" s="141"/>
      <c r="L220" s="159">
        <f t="shared" si="39"/>
        <v>0</v>
      </c>
      <c r="M220" s="72"/>
      <c r="N220" s="1"/>
      <c r="O220" s="78"/>
      <c r="P220" s="78"/>
      <c r="Q220" s="1"/>
      <c r="R220" s="78"/>
      <c r="S220" s="78"/>
      <c r="T220" s="557"/>
      <c r="U220" s="394"/>
      <c r="V220" s="78"/>
      <c r="W220" s="78"/>
      <c r="X220" s="44"/>
      <c r="Y220" s="313"/>
    </row>
    <row r="221" spans="1:25" ht="15.75" hidden="1" thickBot="1" x14ac:dyDescent="0.3">
      <c r="B221" s="54"/>
      <c r="C221" s="2"/>
      <c r="D221" s="624" t="s">
        <v>553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4"/>
        <v>0</v>
      </c>
      <c r="K221" s="141"/>
      <c r="L221" s="159">
        <f t="shared" si="39"/>
        <v>0</v>
      </c>
      <c r="M221" s="72"/>
      <c r="N221" s="1"/>
      <c r="O221" s="78"/>
      <c r="P221" s="78"/>
      <c r="Q221" s="1"/>
      <c r="R221" s="78"/>
      <c r="S221" s="78"/>
      <c r="T221" s="557"/>
      <c r="U221" s="394"/>
      <c r="V221" s="78"/>
      <c r="W221" s="78"/>
      <c r="X221" s="44"/>
      <c r="Y221" s="313"/>
    </row>
    <row r="222" spans="1:25" ht="25.5" hidden="1" customHeight="1" x14ac:dyDescent="0.25">
      <c r="B222" s="54"/>
      <c r="C222" s="2"/>
      <c r="D222" s="625" t="s">
        <v>557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4"/>
        <v>0</v>
      </c>
      <c r="K222" s="151"/>
      <c r="L222" s="159">
        <f t="shared" si="39"/>
        <v>0</v>
      </c>
      <c r="M222" s="72"/>
      <c r="N222" s="1"/>
      <c r="O222" s="78"/>
      <c r="P222" s="78"/>
      <c r="Q222" s="1"/>
      <c r="R222" s="78"/>
      <c r="S222" s="78"/>
      <c r="T222" s="557"/>
      <c r="U222" s="394"/>
      <c r="V222" s="78"/>
      <c r="W222" s="78"/>
      <c r="X222" s="44"/>
      <c r="Y222" s="313"/>
    </row>
    <row r="223" spans="1:25" ht="15.75" hidden="1" thickBot="1" x14ac:dyDescent="0.3">
      <c r="B223" s="54"/>
      <c r="C223" s="2"/>
      <c r="D223" s="624" t="s">
        <v>818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4"/>
        <v>0</v>
      </c>
      <c r="K223" s="141"/>
      <c r="L223" s="159">
        <f t="shared" si="39"/>
        <v>0</v>
      </c>
      <c r="M223" s="72"/>
      <c r="N223" s="1"/>
      <c r="O223" s="78"/>
      <c r="P223" s="78"/>
      <c r="Q223" s="1"/>
      <c r="R223" s="78"/>
      <c r="S223" s="78"/>
      <c r="T223" s="557"/>
      <c r="U223" s="394"/>
      <c r="V223" s="78"/>
      <c r="W223" s="78"/>
      <c r="X223" s="44"/>
      <c r="Y223" s="313"/>
    </row>
    <row r="224" spans="1:25" ht="25.5" hidden="1" customHeight="1" x14ac:dyDescent="0.25">
      <c r="B224" s="54"/>
      <c r="C224" s="2"/>
      <c r="D224" s="625" t="s">
        <v>562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54"/>
        <v>0</v>
      </c>
      <c r="K224" s="151"/>
      <c r="L224" s="159">
        <f t="shared" si="39"/>
        <v>0</v>
      </c>
      <c r="M224" s="72"/>
      <c r="N224" s="1"/>
      <c r="O224" s="78"/>
      <c r="P224" s="78"/>
      <c r="Q224" s="1"/>
      <c r="R224" s="78"/>
      <c r="S224" s="78"/>
      <c r="T224" s="557"/>
      <c r="U224" s="394"/>
      <c r="V224" s="78"/>
      <c r="W224" s="78"/>
      <c r="X224" s="44"/>
      <c r="Y224" s="313"/>
    </row>
    <row r="225" spans="1:25" ht="25.5" hidden="1" customHeight="1" x14ac:dyDescent="0.25">
      <c r="B225" s="54"/>
      <c r="C225" s="2"/>
      <c r="D225" s="625" t="s">
        <v>565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54"/>
        <v>0</v>
      </c>
      <c r="K225" s="151"/>
      <c r="L225" s="159">
        <f t="shared" si="39"/>
        <v>0</v>
      </c>
      <c r="M225" s="72"/>
      <c r="N225" s="1"/>
      <c r="O225" s="78"/>
      <c r="P225" s="78"/>
      <c r="Q225" s="1"/>
      <c r="R225" s="78"/>
      <c r="S225" s="78"/>
      <c r="T225" s="557"/>
      <c r="U225" s="394"/>
      <c r="V225" s="78"/>
      <c r="W225" s="78"/>
      <c r="X225" s="44"/>
      <c r="Y225" s="313"/>
    </row>
    <row r="226" spans="1:25" s="18" customFormat="1" ht="25.5" hidden="1" customHeight="1" x14ac:dyDescent="0.25">
      <c r="A226" s="118" t="s">
        <v>276</v>
      </c>
      <c r="B226" s="88" t="s">
        <v>686</v>
      </c>
      <c r="C226" s="716" t="s">
        <v>606</v>
      </c>
      <c r="D226" s="717"/>
      <c r="E226" s="717"/>
      <c r="F226" s="158">
        <v>0</v>
      </c>
      <c r="G226" s="341">
        <v>0</v>
      </c>
      <c r="H226" s="311">
        <v>0</v>
      </c>
      <c r="I226" s="509">
        <v>0</v>
      </c>
      <c r="J226" s="246">
        <f>J227+J228</f>
        <v>0</v>
      </c>
      <c r="K226" s="155">
        <f t="shared" ref="K226:X226" si="55">K227+K228</f>
        <v>0</v>
      </c>
      <c r="L226" s="158">
        <f t="shared" si="39"/>
        <v>0</v>
      </c>
      <c r="M226" s="90">
        <f t="shared" si="55"/>
        <v>0</v>
      </c>
      <c r="N226" s="91">
        <f t="shared" si="55"/>
        <v>0</v>
      </c>
      <c r="O226" s="94">
        <f t="shared" si="55"/>
        <v>0</v>
      </c>
      <c r="P226" s="94">
        <f t="shared" si="55"/>
        <v>0</v>
      </c>
      <c r="Q226" s="91">
        <f t="shared" si="55"/>
        <v>0</v>
      </c>
      <c r="R226" s="94">
        <f t="shared" si="55"/>
        <v>0</v>
      </c>
      <c r="S226" s="94">
        <f t="shared" si="55"/>
        <v>0</v>
      </c>
      <c r="T226" s="556">
        <f t="shared" si="55"/>
        <v>0</v>
      </c>
      <c r="U226" s="393">
        <f t="shared" si="55"/>
        <v>0</v>
      </c>
      <c r="V226" s="94">
        <f t="shared" si="55"/>
        <v>0</v>
      </c>
      <c r="W226" s="94">
        <f t="shared" si="55"/>
        <v>0</v>
      </c>
      <c r="X226" s="95">
        <f t="shared" si="55"/>
        <v>0</v>
      </c>
      <c r="Y226" s="311"/>
    </row>
    <row r="227" spans="1:25" ht="25.5" hidden="1" customHeight="1" x14ac:dyDescent="0.25">
      <c r="B227" s="54"/>
      <c r="C227" s="2"/>
      <c r="D227" s="625" t="s">
        <v>568</v>
      </c>
      <c r="E227" s="625"/>
      <c r="F227" s="159">
        <v>0</v>
      </c>
      <c r="G227" s="343">
        <v>0</v>
      </c>
      <c r="H227" s="313">
        <v>0</v>
      </c>
      <c r="I227" s="513">
        <v>0</v>
      </c>
      <c r="J227" s="242">
        <f>SUM(M227:X227)</f>
        <v>0</v>
      </c>
      <c r="K227" s="151"/>
      <c r="L227" s="159">
        <f t="shared" ref="L227:L284" si="56">SUM(J227:K227)</f>
        <v>0</v>
      </c>
      <c r="M227" s="72"/>
      <c r="N227" s="1"/>
      <c r="O227" s="78"/>
      <c r="P227" s="78"/>
      <c r="Q227" s="1"/>
      <c r="R227" s="78"/>
      <c r="S227" s="78"/>
      <c r="T227" s="557"/>
      <c r="U227" s="394"/>
      <c r="V227" s="78"/>
      <c r="W227" s="78"/>
      <c r="X227" s="44"/>
      <c r="Y227" s="313"/>
    </row>
    <row r="228" spans="1:25" ht="25.5" hidden="1" customHeight="1" x14ac:dyDescent="0.25">
      <c r="B228" s="54"/>
      <c r="C228" s="2"/>
      <c r="D228" s="625" t="s">
        <v>569</v>
      </c>
      <c r="E228" s="625"/>
      <c r="F228" s="159">
        <v>0</v>
      </c>
      <c r="G228" s="343">
        <v>0</v>
      </c>
      <c r="H228" s="313">
        <v>0</v>
      </c>
      <c r="I228" s="513">
        <v>0</v>
      </c>
      <c r="J228" s="242">
        <f>SUM(M228:X228)</f>
        <v>0</v>
      </c>
      <c r="K228" s="151"/>
      <c r="L228" s="159">
        <f t="shared" si="56"/>
        <v>0</v>
      </c>
      <c r="M228" s="72"/>
      <c r="N228" s="1"/>
      <c r="O228" s="78"/>
      <c r="P228" s="78"/>
      <c r="Q228" s="1"/>
      <c r="R228" s="78"/>
      <c r="S228" s="78"/>
      <c r="T228" s="557"/>
      <c r="U228" s="394"/>
      <c r="V228" s="78"/>
      <c r="W228" s="78"/>
      <c r="X228" s="44"/>
      <c r="Y228" s="313"/>
    </row>
    <row r="229" spans="1:25" s="18" customFormat="1" ht="15" hidden="1" customHeight="1" x14ac:dyDescent="0.25">
      <c r="A229" s="118" t="s">
        <v>277</v>
      </c>
      <c r="B229" s="88" t="s">
        <v>687</v>
      </c>
      <c r="C229" s="716" t="s">
        <v>819</v>
      </c>
      <c r="D229" s="717"/>
      <c r="E229" s="717"/>
      <c r="F229" s="158">
        <v>0</v>
      </c>
      <c r="G229" s="341">
        <v>0</v>
      </c>
      <c r="H229" s="311">
        <v>0</v>
      </c>
      <c r="I229" s="509">
        <v>0</v>
      </c>
      <c r="J229" s="246">
        <f>J230+J231+J232+J233+J234+J235+J236+J237+J238+J239+J240</f>
        <v>0</v>
      </c>
      <c r="K229" s="155">
        <f t="shared" ref="K229:X229" si="57">K230+K231+K232+K233+K234+K235+K236+K237+K238+K239+K240</f>
        <v>0</v>
      </c>
      <c r="L229" s="158">
        <f t="shared" si="56"/>
        <v>0</v>
      </c>
      <c r="M229" s="90">
        <f t="shared" si="57"/>
        <v>0</v>
      </c>
      <c r="N229" s="91">
        <f t="shared" si="57"/>
        <v>0</v>
      </c>
      <c r="O229" s="94">
        <f t="shared" si="57"/>
        <v>0</v>
      </c>
      <c r="P229" s="94">
        <f t="shared" si="57"/>
        <v>0</v>
      </c>
      <c r="Q229" s="91">
        <f t="shared" si="57"/>
        <v>0</v>
      </c>
      <c r="R229" s="94">
        <f t="shared" si="57"/>
        <v>0</v>
      </c>
      <c r="S229" s="94">
        <f t="shared" si="57"/>
        <v>0</v>
      </c>
      <c r="T229" s="556">
        <f t="shared" si="57"/>
        <v>0</v>
      </c>
      <c r="U229" s="393">
        <f t="shared" si="57"/>
        <v>0</v>
      </c>
      <c r="V229" s="94">
        <f t="shared" si="57"/>
        <v>0</v>
      </c>
      <c r="W229" s="94">
        <f t="shared" si="57"/>
        <v>0</v>
      </c>
      <c r="X229" s="95">
        <f t="shared" si="57"/>
        <v>0</v>
      </c>
      <c r="Y229" s="311"/>
    </row>
    <row r="230" spans="1:25" ht="15.75" hidden="1" thickBot="1" x14ac:dyDescent="0.3">
      <c r="B230" s="54"/>
      <c r="C230" s="2"/>
      <c r="D230" s="624" t="s">
        <v>372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42" si="58">SUM(M230:X230)</f>
        <v>0</v>
      </c>
      <c r="K230" s="141"/>
      <c r="L230" s="159">
        <f t="shared" si="56"/>
        <v>0</v>
      </c>
      <c r="M230" s="72"/>
      <c r="N230" s="1"/>
      <c r="O230" s="78"/>
      <c r="P230" s="78"/>
      <c r="Q230" s="1"/>
      <c r="R230" s="78"/>
      <c r="S230" s="78"/>
      <c r="T230" s="557"/>
      <c r="U230" s="394"/>
      <c r="V230" s="78"/>
      <c r="W230" s="78"/>
      <c r="X230" s="44"/>
      <c r="Y230" s="313"/>
    </row>
    <row r="231" spans="1:25" ht="15.75" hidden="1" thickBot="1" x14ac:dyDescent="0.3">
      <c r="B231" s="54"/>
      <c r="C231" s="2"/>
      <c r="D231" s="624" t="s">
        <v>820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58"/>
        <v>0</v>
      </c>
      <c r="K231" s="141"/>
      <c r="L231" s="159">
        <f t="shared" si="56"/>
        <v>0</v>
      </c>
      <c r="M231" s="72"/>
      <c r="N231" s="1"/>
      <c r="O231" s="78"/>
      <c r="P231" s="78"/>
      <c r="Q231" s="1"/>
      <c r="R231" s="78"/>
      <c r="S231" s="78"/>
      <c r="T231" s="557"/>
      <c r="U231" s="394"/>
      <c r="V231" s="78"/>
      <c r="W231" s="78"/>
      <c r="X231" s="44"/>
      <c r="Y231" s="313"/>
    </row>
    <row r="232" spans="1:25" ht="15.75" hidden="1" thickBot="1" x14ac:dyDescent="0.3">
      <c r="B232" s="54"/>
      <c r="C232" s="2"/>
      <c r="D232" s="624" t="s">
        <v>375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58"/>
        <v>0</v>
      </c>
      <c r="K232" s="141"/>
      <c r="L232" s="159">
        <f t="shared" si="56"/>
        <v>0</v>
      </c>
      <c r="M232" s="72"/>
      <c r="N232" s="1"/>
      <c r="O232" s="78"/>
      <c r="P232" s="78"/>
      <c r="Q232" s="1"/>
      <c r="R232" s="78"/>
      <c r="S232" s="78"/>
      <c r="T232" s="557"/>
      <c r="U232" s="394"/>
      <c r="V232" s="78"/>
      <c r="W232" s="78"/>
      <c r="X232" s="44"/>
      <c r="Y232" s="313"/>
    </row>
    <row r="233" spans="1:25" ht="15.75" hidden="1" thickBot="1" x14ac:dyDescent="0.3">
      <c r="B233" s="54"/>
      <c r="C233" s="2"/>
      <c r="D233" s="624" t="s">
        <v>373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58"/>
        <v>0</v>
      </c>
      <c r="K233" s="141"/>
      <c r="L233" s="159">
        <f t="shared" si="56"/>
        <v>0</v>
      </c>
      <c r="M233" s="72"/>
      <c r="N233" s="1"/>
      <c r="O233" s="78"/>
      <c r="P233" s="78"/>
      <c r="Q233" s="1"/>
      <c r="R233" s="78"/>
      <c r="S233" s="78"/>
      <c r="T233" s="557"/>
      <c r="U233" s="394"/>
      <c r="V233" s="78"/>
      <c r="W233" s="78"/>
      <c r="X233" s="44"/>
      <c r="Y233" s="313"/>
    </row>
    <row r="234" spans="1:25" ht="15.75" hidden="1" thickBot="1" x14ac:dyDescent="0.3">
      <c r="B234" s="54"/>
      <c r="C234" s="2"/>
      <c r="D234" s="624" t="s">
        <v>821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58"/>
        <v>0</v>
      </c>
      <c r="K234" s="141"/>
      <c r="L234" s="159">
        <f t="shared" si="56"/>
        <v>0</v>
      </c>
      <c r="M234" s="72"/>
      <c r="N234" s="1"/>
      <c r="O234" s="78"/>
      <c r="P234" s="78"/>
      <c r="Q234" s="1"/>
      <c r="R234" s="78"/>
      <c r="S234" s="78"/>
      <c r="T234" s="557"/>
      <c r="U234" s="394"/>
      <c r="V234" s="78"/>
      <c r="W234" s="78"/>
      <c r="X234" s="44"/>
      <c r="Y234" s="313"/>
    </row>
    <row r="235" spans="1:25" ht="25.5" hidden="1" customHeight="1" x14ac:dyDescent="0.25">
      <c r="B235" s="54"/>
      <c r="C235" s="2"/>
      <c r="D235" s="625" t="s">
        <v>537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58"/>
        <v>0</v>
      </c>
      <c r="K235" s="151"/>
      <c r="L235" s="159">
        <f t="shared" si="56"/>
        <v>0</v>
      </c>
      <c r="M235" s="72"/>
      <c r="N235" s="1"/>
      <c r="O235" s="78"/>
      <c r="P235" s="78"/>
      <c r="Q235" s="1"/>
      <c r="R235" s="78"/>
      <c r="S235" s="78"/>
      <c r="T235" s="557"/>
      <c r="U235" s="394"/>
      <c r="V235" s="78"/>
      <c r="W235" s="78"/>
      <c r="X235" s="44"/>
      <c r="Y235" s="313"/>
    </row>
    <row r="236" spans="1:25" ht="25.5" hidden="1" customHeight="1" x14ac:dyDescent="0.25">
      <c r="B236" s="54"/>
      <c r="C236" s="2"/>
      <c r="D236" s="625" t="s">
        <v>540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58"/>
        <v>0</v>
      </c>
      <c r="K236" s="151"/>
      <c r="L236" s="159">
        <f t="shared" si="56"/>
        <v>0</v>
      </c>
      <c r="M236" s="72"/>
      <c r="N236" s="1"/>
      <c r="O236" s="78"/>
      <c r="P236" s="78"/>
      <c r="Q236" s="1"/>
      <c r="R236" s="78"/>
      <c r="S236" s="78"/>
      <c r="T236" s="557"/>
      <c r="U236" s="394"/>
      <c r="V236" s="78"/>
      <c r="W236" s="78"/>
      <c r="X236" s="44"/>
      <c r="Y236" s="313"/>
    </row>
    <row r="237" spans="1:25" ht="15.75" hidden="1" thickBot="1" x14ac:dyDescent="0.3">
      <c r="B237" s="54"/>
      <c r="C237" s="2"/>
      <c r="D237" s="624" t="s">
        <v>822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58"/>
        <v>0</v>
      </c>
      <c r="K237" s="141"/>
      <c r="L237" s="159">
        <f t="shared" si="56"/>
        <v>0</v>
      </c>
      <c r="M237" s="72"/>
      <c r="N237" s="1"/>
      <c r="O237" s="78"/>
      <c r="P237" s="78"/>
      <c r="Q237" s="1"/>
      <c r="R237" s="78"/>
      <c r="S237" s="78"/>
      <c r="T237" s="557"/>
      <c r="U237" s="394"/>
      <c r="V237" s="78"/>
      <c r="W237" s="78"/>
      <c r="X237" s="44"/>
      <c r="Y237" s="313"/>
    </row>
    <row r="238" spans="1:25" ht="15.75" hidden="1" thickBot="1" x14ac:dyDescent="0.3">
      <c r="B238" s="54"/>
      <c r="C238" s="2"/>
      <c r="D238" s="624" t="s">
        <v>374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58"/>
        <v>0</v>
      </c>
      <c r="K238" s="141"/>
      <c r="L238" s="159">
        <f t="shared" si="56"/>
        <v>0</v>
      </c>
      <c r="M238" s="72"/>
      <c r="N238" s="1"/>
      <c r="O238" s="78"/>
      <c r="P238" s="78"/>
      <c r="Q238" s="1"/>
      <c r="R238" s="78"/>
      <c r="S238" s="78"/>
      <c r="T238" s="557"/>
      <c r="U238" s="394"/>
      <c r="V238" s="78"/>
      <c r="W238" s="78"/>
      <c r="X238" s="44"/>
      <c r="Y238" s="313"/>
    </row>
    <row r="239" spans="1:25" ht="15.75" hidden="1" thickBot="1" x14ac:dyDescent="0.3">
      <c r="B239" s="54"/>
      <c r="C239" s="2"/>
      <c r="D239" s="624" t="s">
        <v>823</v>
      </c>
      <c r="E239" s="624"/>
      <c r="F239" s="159">
        <v>0</v>
      </c>
      <c r="G239" s="343">
        <v>0</v>
      </c>
      <c r="H239" s="313">
        <v>0</v>
      </c>
      <c r="I239" s="513">
        <v>0</v>
      </c>
      <c r="J239" s="232">
        <f t="shared" si="58"/>
        <v>0</v>
      </c>
      <c r="K239" s="141"/>
      <c r="L239" s="159">
        <f t="shared" si="56"/>
        <v>0</v>
      </c>
      <c r="M239" s="72"/>
      <c r="N239" s="1"/>
      <c r="O239" s="78"/>
      <c r="P239" s="78"/>
      <c r="Q239" s="1"/>
      <c r="R239" s="78"/>
      <c r="S239" s="78"/>
      <c r="T239" s="557"/>
      <c r="U239" s="394"/>
      <c r="V239" s="78"/>
      <c r="W239" s="78"/>
      <c r="X239" s="44"/>
      <c r="Y239" s="313"/>
    </row>
    <row r="240" spans="1:25" ht="15.75" hidden="1" thickBot="1" x14ac:dyDescent="0.3">
      <c r="B240" s="54"/>
      <c r="C240" s="2"/>
      <c r="D240" s="624" t="s">
        <v>566</v>
      </c>
      <c r="E240" s="624"/>
      <c r="F240" s="159">
        <v>0</v>
      </c>
      <c r="G240" s="343">
        <v>0</v>
      </c>
      <c r="H240" s="313">
        <v>0</v>
      </c>
      <c r="I240" s="513">
        <v>0</v>
      </c>
      <c r="J240" s="232">
        <f t="shared" si="58"/>
        <v>0</v>
      </c>
      <c r="K240" s="141"/>
      <c r="L240" s="159">
        <f t="shared" si="56"/>
        <v>0</v>
      </c>
      <c r="M240" s="72"/>
      <c r="N240" s="1"/>
      <c r="O240" s="78"/>
      <c r="P240" s="78"/>
      <c r="Q240" s="1"/>
      <c r="R240" s="78"/>
      <c r="S240" s="78"/>
      <c r="T240" s="557"/>
      <c r="U240" s="394"/>
      <c r="V240" s="78"/>
      <c r="W240" s="78"/>
      <c r="X240" s="44"/>
      <c r="Y240" s="313"/>
    </row>
    <row r="241" spans="1:25" s="18" customFormat="1" ht="15.75" hidden="1" thickBot="1" x14ac:dyDescent="0.3">
      <c r="A241" s="118" t="s">
        <v>278</v>
      </c>
      <c r="B241" s="88" t="s">
        <v>688</v>
      </c>
      <c r="C241" s="626" t="s">
        <v>279</v>
      </c>
      <c r="D241" s="627"/>
      <c r="E241" s="627"/>
      <c r="F241" s="158">
        <v>0</v>
      </c>
      <c r="G241" s="341">
        <v>0</v>
      </c>
      <c r="H241" s="311">
        <v>0</v>
      </c>
      <c r="I241" s="509">
        <v>0</v>
      </c>
      <c r="J241" s="233">
        <f t="shared" si="58"/>
        <v>0</v>
      </c>
      <c r="K241" s="142"/>
      <c r="L241" s="158">
        <f t="shared" si="56"/>
        <v>0</v>
      </c>
      <c r="M241" s="90"/>
      <c r="N241" s="91"/>
      <c r="O241" s="94"/>
      <c r="P241" s="94"/>
      <c r="Q241" s="91"/>
      <c r="R241" s="94"/>
      <c r="S241" s="94"/>
      <c r="T241" s="556"/>
      <c r="U241" s="393"/>
      <c r="V241" s="94"/>
      <c r="W241" s="94"/>
      <c r="X241" s="95"/>
      <c r="Y241" s="311"/>
    </row>
    <row r="242" spans="1:25" s="18" customFormat="1" ht="15.75" hidden="1" thickBot="1" x14ac:dyDescent="0.3">
      <c r="A242" s="118" t="s">
        <v>280</v>
      </c>
      <c r="B242" s="88" t="s">
        <v>689</v>
      </c>
      <c r="C242" s="626" t="s">
        <v>281</v>
      </c>
      <c r="D242" s="627"/>
      <c r="E242" s="627"/>
      <c r="F242" s="158">
        <v>0</v>
      </c>
      <c r="G242" s="341">
        <v>0</v>
      </c>
      <c r="H242" s="311">
        <v>0</v>
      </c>
      <c r="I242" s="509">
        <v>0</v>
      </c>
      <c r="J242" s="233">
        <f t="shared" si="58"/>
        <v>0</v>
      </c>
      <c r="K242" s="142"/>
      <c r="L242" s="158">
        <f t="shared" si="56"/>
        <v>0</v>
      </c>
      <c r="M242" s="90"/>
      <c r="N242" s="91"/>
      <c r="O242" s="94"/>
      <c r="P242" s="94"/>
      <c r="Q242" s="91"/>
      <c r="R242" s="94"/>
      <c r="S242" s="94"/>
      <c r="T242" s="556"/>
      <c r="U242" s="393"/>
      <c r="V242" s="94"/>
      <c r="W242" s="94"/>
      <c r="X242" s="95"/>
      <c r="Y242" s="311"/>
    </row>
    <row r="243" spans="1:25" s="18" customFormat="1" ht="15.75" hidden="1" thickBot="1" x14ac:dyDescent="0.3">
      <c r="A243" s="118" t="s">
        <v>282</v>
      </c>
      <c r="B243" s="88" t="s">
        <v>690</v>
      </c>
      <c r="C243" s="626" t="s">
        <v>283</v>
      </c>
      <c r="D243" s="627"/>
      <c r="E243" s="627"/>
      <c r="F243" s="158">
        <v>0</v>
      </c>
      <c r="G243" s="341">
        <v>0</v>
      </c>
      <c r="H243" s="311">
        <v>0</v>
      </c>
      <c r="I243" s="509">
        <v>0</v>
      </c>
      <c r="J243" s="233">
        <f>J244+J245+J246+J247+J248+J249+J250+J251+J252+J253</f>
        <v>0</v>
      </c>
      <c r="K243" s="142">
        <f t="shared" ref="K243:X243" si="59">K244+K245+K246+K247+K248+K249+K250+K251+K252+K253</f>
        <v>0</v>
      </c>
      <c r="L243" s="158">
        <f t="shared" si="56"/>
        <v>0</v>
      </c>
      <c r="M243" s="90">
        <f t="shared" si="59"/>
        <v>0</v>
      </c>
      <c r="N243" s="91">
        <f t="shared" si="59"/>
        <v>0</v>
      </c>
      <c r="O243" s="94">
        <f t="shared" si="59"/>
        <v>0</v>
      </c>
      <c r="P243" s="94">
        <f t="shared" si="59"/>
        <v>0</v>
      </c>
      <c r="Q243" s="91">
        <f t="shared" si="59"/>
        <v>0</v>
      </c>
      <c r="R243" s="94">
        <f t="shared" si="59"/>
        <v>0</v>
      </c>
      <c r="S243" s="94">
        <f t="shared" si="59"/>
        <v>0</v>
      </c>
      <c r="T243" s="556">
        <f t="shared" si="59"/>
        <v>0</v>
      </c>
      <c r="U243" s="393">
        <f t="shared" si="59"/>
        <v>0</v>
      </c>
      <c r="V243" s="94">
        <f t="shared" si="59"/>
        <v>0</v>
      </c>
      <c r="W243" s="94">
        <f t="shared" si="59"/>
        <v>0</v>
      </c>
      <c r="X243" s="95">
        <f t="shared" si="59"/>
        <v>0</v>
      </c>
      <c r="Y243" s="311"/>
    </row>
    <row r="244" spans="1:25" ht="15.75" hidden="1" thickBot="1" x14ac:dyDescent="0.3">
      <c r="B244" s="54"/>
      <c r="C244" s="2"/>
      <c r="D244" s="624" t="s">
        <v>376</v>
      </c>
      <c r="E244" s="624"/>
      <c r="F244" s="159">
        <v>0</v>
      </c>
      <c r="G244" s="343">
        <v>0</v>
      </c>
      <c r="H244" s="313">
        <v>0</v>
      </c>
      <c r="I244" s="513">
        <v>0</v>
      </c>
      <c r="J244" s="232">
        <f t="shared" ref="J244:J253" si="60">SUM(M244:X244)</f>
        <v>0</v>
      </c>
      <c r="K244" s="141"/>
      <c r="L244" s="159">
        <f t="shared" si="56"/>
        <v>0</v>
      </c>
      <c r="M244" s="72"/>
      <c r="N244" s="1"/>
      <c r="O244" s="78"/>
      <c r="P244" s="78"/>
      <c r="Q244" s="1"/>
      <c r="R244" s="78"/>
      <c r="S244" s="78"/>
      <c r="T244" s="557"/>
      <c r="U244" s="394"/>
      <c r="V244" s="78"/>
      <c r="W244" s="78"/>
      <c r="X244" s="44"/>
      <c r="Y244" s="313"/>
    </row>
    <row r="245" spans="1:25" ht="15.75" hidden="1" thickBot="1" x14ac:dyDescent="0.3">
      <c r="B245" s="54"/>
      <c r="C245" s="2"/>
      <c r="D245" s="624" t="s">
        <v>377</v>
      </c>
      <c r="E245" s="624"/>
      <c r="F245" s="159">
        <v>0</v>
      </c>
      <c r="G245" s="343">
        <v>0</v>
      </c>
      <c r="H245" s="313">
        <v>0</v>
      </c>
      <c r="I245" s="513">
        <v>0</v>
      </c>
      <c r="J245" s="232">
        <f t="shared" si="60"/>
        <v>0</v>
      </c>
      <c r="K245" s="141"/>
      <c r="L245" s="159">
        <f t="shared" si="56"/>
        <v>0</v>
      </c>
      <c r="M245" s="72"/>
      <c r="N245" s="1"/>
      <c r="O245" s="78"/>
      <c r="P245" s="78"/>
      <c r="Q245" s="1"/>
      <c r="R245" s="78"/>
      <c r="S245" s="78"/>
      <c r="T245" s="557"/>
      <c r="U245" s="394"/>
      <c r="V245" s="78"/>
      <c r="W245" s="78"/>
      <c r="X245" s="44"/>
      <c r="Y245" s="313"/>
    </row>
    <row r="246" spans="1:25" ht="15.75" hidden="1" thickBot="1" x14ac:dyDescent="0.3">
      <c r="B246" s="54"/>
      <c r="C246" s="2"/>
      <c r="D246" s="624" t="s">
        <v>378</v>
      </c>
      <c r="E246" s="624"/>
      <c r="F246" s="159">
        <v>0</v>
      </c>
      <c r="G246" s="343">
        <v>0</v>
      </c>
      <c r="H246" s="313">
        <v>0</v>
      </c>
      <c r="I246" s="513">
        <v>0</v>
      </c>
      <c r="J246" s="232">
        <f t="shared" si="60"/>
        <v>0</v>
      </c>
      <c r="K246" s="141"/>
      <c r="L246" s="159">
        <f t="shared" si="56"/>
        <v>0</v>
      </c>
      <c r="M246" s="72"/>
      <c r="N246" s="1"/>
      <c r="O246" s="78"/>
      <c r="P246" s="78"/>
      <c r="Q246" s="1"/>
      <c r="R246" s="78"/>
      <c r="S246" s="78"/>
      <c r="T246" s="557"/>
      <c r="U246" s="394"/>
      <c r="V246" s="78"/>
      <c r="W246" s="78"/>
      <c r="X246" s="44"/>
      <c r="Y246" s="313"/>
    </row>
    <row r="247" spans="1:25" ht="15.75" hidden="1" thickBot="1" x14ac:dyDescent="0.3">
      <c r="B247" s="54"/>
      <c r="C247" s="2"/>
      <c r="D247" s="624" t="s">
        <v>379</v>
      </c>
      <c r="E247" s="624"/>
      <c r="F247" s="159">
        <v>0</v>
      </c>
      <c r="G247" s="343">
        <v>0</v>
      </c>
      <c r="H247" s="313">
        <v>0</v>
      </c>
      <c r="I247" s="513">
        <v>0</v>
      </c>
      <c r="J247" s="232">
        <f t="shared" si="60"/>
        <v>0</v>
      </c>
      <c r="K247" s="141"/>
      <c r="L247" s="159">
        <f t="shared" si="56"/>
        <v>0</v>
      </c>
      <c r="M247" s="72"/>
      <c r="N247" s="1"/>
      <c r="O247" s="78"/>
      <c r="P247" s="78"/>
      <c r="Q247" s="1"/>
      <c r="R247" s="78"/>
      <c r="S247" s="78"/>
      <c r="T247" s="557"/>
      <c r="U247" s="394"/>
      <c r="V247" s="78"/>
      <c r="W247" s="78"/>
      <c r="X247" s="44"/>
      <c r="Y247" s="313"/>
    </row>
    <row r="248" spans="1:25" ht="15.75" hidden="1" thickBot="1" x14ac:dyDescent="0.3">
      <c r="B248" s="54"/>
      <c r="C248" s="2"/>
      <c r="D248" s="624" t="s">
        <v>380</v>
      </c>
      <c r="E248" s="624"/>
      <c r="F248" s="159">
        <v>0</v>
      </c>
      <c r="G248" s="343">
        <v>0</v>
      </c>
      <c r="H248" s="313">
        <v>0</v>
      </c>
      <c r="I248" s="513">
        <v>0</v>
      </c>
      <c r="J248" s="232">
        <f t="shared" si="60"/>
        <v>0</v>
      </c>
      <c r="K248" s="141"/>
      <c r="L248" s="159">
        <f t="shared" si="56"/>
        <v>0</v>
      </c>
      <c r="M248" s="72"/>
      <c r="N248" s="1"/>
      <c r="O248" s="78"/>
      <c r="P248" s="78"/>
      <c r="Q248" s="1"/>
      <c r="R248" s="78"/>
      <c r="S248" s="78"/>
      <c r="T248" s="557"/>
      <c r="U248" s="394"/>
      <c r="V248" s="78"/>
      <c r="W248" s="78"/>
      <c r="X248" s="44"/>
      <c r="Y248" s="313"/>
    </row>
    <row r="249" spans="1:25" ht="25.5" hidden="1" customHeight="1" x14ac:dyDescent="0.25">
      <c r="B249" s="54"/>
      <c r="C249" s="2"/>
      <c r="D249" s="625" t="s">
        <v>538</v>
      </c>
      <c r="E249" s="625"/>
      <c r="F249" s="159">
        <v>0</v>
      </c>
      <c r="G249" s="343">
        <v>0</v>
      </c>
      <c r="H249" s="313">
        <v>0</v>
      </c>
      <c r="I249" s="513">
        <v>0</v>
      </c>
      <c r="J249" s="242">
        <f t="shared" si="60"/>
        <v>0</v>
      </c>
      <c r="K249" s="151"/>
      <c r="L249" s="159">
        <f t="shared" si="56"/>
        <v>0</v>
      </c>
      <c r="M249" s="72"/>
      <c r="N249" s="1"/>
      <c r="O249" s="78"/>
      <c r="P249" s="78"/>
      <c r="Q249" s="1"/>
      <c r="R249" s="78"/>
      <c r="S249" s="78"/>
      <c r="T249" s="557"/>
      <c r="U249" s="394"/>
      <c r="V249" s="78"/>
      <c r="W249" s="78"/>
      <c r="X249" s="44"/>
      <c r="Y249" s="313"/>
    </row>
    <row r="250" spans="1:25" ht="25.5" hidden="1" customHeight="1" x14ac:dyDescent="0.25">
      <c r="B250" s="54"/>
      <c r="C250" s="2"/>
      <c r="D250" s="625" t="s">
        <v>541</v>
      </c>
      <c r="E250" s="625"/>
      <c r="F250" s="159">
        <v>0</v>
      </c>
      <c r="G250" s="343">
        <v>0</v>
      </c>
      <c r="H250" s="313">
        <v>0</v>
      </c>
      <c r="I250" s="513">
        <v>0</v>
      </c>
      <c r="J250" s="242">
        <f t="shared" si="60"/>
        <v>0</v>
      </c>
      <c r="K250" s="151"/>
      <c r="L250" s="159">
        <f t="shared" si="56"/>
        <v>0</v>
      </c>
      <c r="M250" s="72"/>
      <c r="N250" s="1"/>
      <c r="O250" s="78"/>
      <c r="P250" s="78"/>
      <c r="Q250" s="1"/>
      <c r="R250" s="78"/>
      <c r="S250" s="78"/>
      <c r="T250" s="557"/>
      <c r="U250" s="394"/>
      <c r="V250" s="78"/>
      <c r="W250" s="78"/>
      <c r="X250" s="44"/>
      <c r="Y250" s="313"/>
    </row>
    <row r="251" spans="1:25" ht="15.75" hidden="1" thickBot="1" x14ac:dyDescent="0.3">
      <c r="B251" s="54"/>
      <c r="C251" s="2"/>
      <c r="D251" s="624" t="s">
        <v>381</v>
      </c>
      <c r="E251" s="624"/>
      <c r="F251" s="159">
        <v>0</v>
      </c>
      <c r="G251" s="343">
        <v>0</v>
      </c>
      <c r="H251" s="313">
        <v>0</v>
      </c>
      <c r="I251" s="513">
        <v>0</v>
      </c>
      <c r="J251" s="232">
        <f t="shared" si="60"/>
        <v>0</v>
      </c>
      <c r="K251" s="141"/>
      <c r="L251" s="159">
        <f t="shared" si="56"/>
        <v>0</v>
      </c>
      <c r="M251" s="72"/>
      <c r="N251" s="1"/>
      <c r="O251" s="78"/>
      <c r="P251" s="78"/>
      <c r="Q251" s="1"/>
      <c r="R251" s="78"/>
      <c r="S251" s="78"/>
      <c r="T251" s="557"/>
      <c r="U251" s="394"/>
      <c r="V251" s="78"/>
      <c r="W251" s="78"/>
      <c r="X251" s="44"/>
      <c r="Y251" s="313"/>
    </row>
    <row r="252" spans="1:25" ht="15.75" hidden="1" thickBot="1" x14ac:dyDescent="0.3">
      <c r="B252" s="54"/>
      <c r="C252" s="2"/>
      <c r="D252" s="624" t="s">
        <v>382</v>
      </c>
      <c r="E252" s="624"/>
      <c r="F252" s="159">
        <v>0</v>
      </c>
      <c r="G252" s="343">
        <v>0</v>
      </c>
      <c r="H252" s="313">
        <v>0</v>
      </c>
      <c r="I252" s="513">
        <v>0</v>
      </c>
      <c r="J252" s="232">
        <f t="shared" si="60"/>
        <v>0</v>
      </c>
      <c r="K252" s="141"/>
      <c r="L252" s="159">
        <f t="shared" si="56"/>
        <v>0</v>
      </c>
      <c r="M252" s="72"/>
      <c r="N252" s="1"/>
      <c r="O252" s="78"/>
      <c r="P252" s="78"/>
      <c r="Q252" s="1"/>
      <c r="R252" s="78"/>
      <c r="S252" s="78"/>
      <c r="T252" s="557"/>
      <c r="U252" s="394"/>
      <c r="V252" s="78"/>
      <c r="W252" s="78"/>
      <c r="X252" s="44"/>
      <c r="Y252" s="313"/>
    </row>
    <row r="253" spans="1:25" ht="15.75" hidden="1" thickBot="1" x14ac:dyDescent="0.3">
      <c r="B253" s="56"/>
      <c r="C253" s="20"/>
      <c r="D253" s="631" t="s">
        <v>567</v>
      </c>
      <c r="E253" s="631"/>
      <c r="F253" s="159">
        <v>0</v>
      </c>
      <c r="G253" s="467">
        <v>0</v>
      </c>
      <c r="H253" s="486">
        <v>0</v>
      </c>
      <c r="I253" s="514">
        <v>0</v>
      </c>
      <c r="J253" s="234">
        <f t="shared" si="60"/>
        <v>0</v>
      </c>
      <c r="K253" s="143"/>
      <c r="L253" s="159">
        <f t="shared" si="56"/>
        <v>0</v>
      </c>
      <c r="M253" s="72"/>
      <c r="N253" s="1"/>
      <c r="O253" s="78"/>
      <c r="P253" s="78"/>
      <c r="Q253" s="1"/>
      <c r="R253" s="78"/>
      <c r="S253" s="78"/>
      <c r="T253" s="557"/>
      <c r="U253" s="394"/>
      <c r="V253" s="78"/>
      <c r="W253" s="78"/>
      <c r="X253" s="44"/>
      <c r="Y253" s="313"/>
    </row>
    <row r="254" spans="1:25" ht="15.75" thickBot="1" x14ac:dyDescent="0.3">
      <c r="B254" s="96" t="s">
        <v>284</v>
      </c>
      <c r="C254" s="632" t="s">
        <v>285</v>
      </c>
      <c r="D254" s="633"/>
      <c r="E254" s="633"/>
      <c r="F254" s="156">
        <v>0</v>
      </c>
      <c r="G254" s="338">
        <v>0</v>
      </c>
      <c r="H254" s="308">
        <v>0</v>
      </c>
      <c r="I254" s="506">
        <v>0</v>
      </c>
      <c r="J254" s="235">
        <f>J255+J276+J282+J283</f>
        <v>0</v>
      </c>
      <c r="K254" s="144">
        <f t="shared" ref="K254:X254" si="61">K255+K276+K282+K283</f>
        <v>0</v>
      </c>
      <c r="L254" s="156">
        <f t="shared" si="56"/>
        <v>0</v>
      </c>
      <c r="M254" s="82">
        <f t="shared" si="61"/>
        <v>0</v>
      </c>
      <c r="N254" s="83">
        <f t="shared" si="61"/>
        <v>0</v>
      </c>
      <c r="O254" s="86">
        <f t="shared" si="61"/>
        <v>0</v>
      </c>
      <c r="P254" s="86">
        <f t="shared" si="61"/>
        <v>0</v>
      </c>
      <c r="Q254" s="83">
        <f t="shared" si="61"/>
        <v>0</v>
      </c>
      <c r="R254" s="86">
        <f t="shared" si="61"/>
        <v>0</v>
      </c>
      <c r="S254" s="86">
        <f t="shared" si="61"/>
        <v>0</v>
      </c>
      <c r="T254" s="87">
        <f t="shared" si="61"/>
        <v>0</v>
      </c>
      <c r="U254" s="338">
        <f t="shared" si="61"/>
        <v>0</v>
      </c>
      <c r="V254" s="86">
        <f t="shared" si="61"/>
        <v>0</v>
      </c>
      <c r="W254" s="86">
        <f t="shared" si="61"/>
        <v>0</v>
      </c>
      <c r="X254" s="87">
        <f t="shared" si="61"/>
        <v>0</v>
      </c>
      <c r="Y254" s="308"/>
    </row>
    <row r="255" spans="1:25" ht="15.75" hidden="1" thickBot="1" x14ac:dyDescent="0.3">
      <c r="B255" s="108" t="s">
        <v>691</v>
      </c>
      <c r="C255" s="634" t="s">
        <v>286</v>
      </c>
      <c r="D255" s="635"/>
      <c r="E255" s="635"/>
      <c r="F255" s="157">
        <v>0</v>
      </c>
      <c r="G255" s="339">
        <v>0</v>
      </c>
      <c r="H255" s="309">
        <v>0</v>
      </c>
      <c r="I255" s="507">
        <v>0</v>
      </c>
      <c r="J255" s="231">
        <f>J256+J260+J267+J268+J269+J270+J271+J272+J273</f>
        <v>0</v>
      </c>
      <c r="K255" s="140">
        <f t="shared" ref="K255:X255" si="62">K256+K260+K267+K268+K269+K270+K271+K272+K273</f>
        <v>0</v>
      </c>
      <c r="L255" s="157">
        <f t="shared" si="56"/>
        <v>0</v>
      </c>
      <c r="M255" s="109">
        <f t="shared" si="62"/>
        <v>0</v>
      </c>
      <c r="N255" s="110">
        <f t="shared" si="62"/>
        <v>0</v>
      </c>
      <c r="O255" s="113">
        <f t="shared" si="62"/>
        <v>0</v>
      </c>
      <c r="P255" s="113">
        <f t="shared" si="62"/>
        <v>0</v>
      </c>
      <c r="Q255" s="110">
        <f t="shared" si="62"/>
        <v>0</v>
      </c>
      <c r="R255" s="113">
        <f t="shared" si="62"/>
        <v>0</v>
      </c>
      <c r="S255" s="113">
        <f t="shared" si="62"/>
        <v>0</v>
      </c>
      <c r="T255" s="558">
        <f t="shared" si="62"/>
        <v>0</v>
      </c>
      <c r="U255" s="381">
        <f t="shared" si="62"/>
        <v>0</v>
      </c>
      <c r="V255" s="113">
        <f t="shared" si="62"/>
        <v>0</v>
      </c>
      <c r="W255" s="113">
        <f t="shared" si="62"/>
        <v>0</v>
      </c>
      <c r="X255" s="114">
        <f t="shared" si="62"/>
        <v>0</v>
      </c>
      <c r="Y255" s="309"/>
    </row>
    <row r="256" spans="1:25" s="18" customFormat="1" ht="15.75" hidden="1" thickBot="1" x14ac:dyDescent="0.3">
      <c r="A256" s="118"/>
      <c r="B256" s="53" t="s">
        <v>692</v>
      </c>
      <c r="C256" s="628" t="s">
        <v>287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>J257+J258+J259</f>
        <v>0</v>
      </c>
      <c r="K256" s="148">
        <f t="shared" ref="K256:X256" si="63">K257+K258+K259</f>
        <v>0</v>
      </c>
      <c r="L256" s="160">
        <f t="shared" si="56"/>
        <v>0</v>
      </c>
      <c r="M256" s="74">
        <f t="shared" si="63"/>
        <v>0</v>
      </c>
      <c r="N256" s="13">
        <f t="shared" si="63"/>
        <v>0</v>
      </c>
      <c r="O256" s="79">
        <f t="shared" si="63"/>
        <v>0</v>
      </c>
      <c r="P256" s="79">
        <f t="shared" si="63"/>
        <v>0</v>
      </c>
      <c r="Q256" s="13">
        <f t="shared" si="63"/>
        <v>0</v>
      </c>
      <c r="R256" s="79">
        <f t="shared" si="63"/>
        <v>0</v>
      </c>
      <c r="S256" s="79">
        <f t="shared" si="63"/>
        <v>0</v>
      </c>
      <c r="T256" s="45">
        <f t="shared" si="63"/>
        <v>0</v>
      </c>
      <c r="U256" s="342">
        <f t="shared" si="63"/>
        <v>0</v>
      </c>
      <c r="V256" s="79">
        <f t="shared" si="63"/>
        <v>0</v>
      </c>
      <c r="W256" s="79">
        <f t="shared" si="63"/>
        <v>0</v>
      </c>
      <c r="X256" s="45">
        <f t="shared" si="63"/>
        <v>0</v>
      </c>
      <c r="Y256" s="312"/>
    </row>
    <row r="257" spans="1:25" s="199" customFormat="1" ht="15.75" hidden="1" thickBot="1" x14ac:dyDescent="0.3">
      <c r="A257" s="118" t="s">
        <v>288</v>
      </c>
      <c r="B257" s="181" t="s">
        <v>693</v>
      </c>
      <c r="C257" s="228"/>
      <c r="D257" s="724" t="s">
        <v>705</v>
      </c>
      <c r="E257" s="724"/>
      <c r="F257" s="183">
        <v>0</v>
      </c>
      <c r="G257" s="340">
        <v>0</v>
      </c>
      <c r="H257" s="310">
        <v>0</v>
      </c>
      <c r="I257" s="508">
        <v>0</v>
      </c>
      <c r="J257" s="268">
        <f>SUM(M257:X257)</f>
        <v>0</v>
      </c>
      <c r="K257" s="269"/>
      <c r="L257" s="183">
        <f t="shared" si="56"/>
        <v>0</v>
      </c>
      <c r="M257" s="191"/>
      <c r="N257" s="185"/>
      <c r="O257" s="186"/>
      <c r="P257" s="186"/>
      <c r="Q257" s="185"/>
      <c r="R257" s="186"/>
      <c r="S257" s="186"/>
      <c r="T257" s="187"/>
      <c r="U257" s="340"/>
      <c r="V257" s="186"/>
      <c r="W257" s="186"/>
      <c r="X257" s="187"/>
      <c r="Y257" s="310"/>
    </row>
    <row r="258" spans="1:25" s="199" customFormat="1" ht="15.75" hidden="1" thickBot="1" x14ac:dyDescent="0.3">
      <c r="A258" s="118" t="s">
        <v>289</v>
      </c>
      <c r="B258" s="181" t="s">
        <v>694</v>
      </c>
      <c r="C258" s="190"/>
      <c r="D258" s="630" t="s">
        <v>706</v>
      </c>
      <c r="E258" s="630"/>
      <c r="F258" s="183">
        <v>0</v>
      </c>
      <c r="G258" s="340">
        <v>0</v>
      </c>
      <c r="H258" s="310">
        <v>0</v>
      </c>
      <c r="I258" s="508">
        <v>0</v>
      </c>
      <c r="J258" s="251">
        <f>SUM(M258:X258)</f>
        <v>0</v>
      </c>
      <c r="K258" s="182"/>
      <c r="L258" s="183">
        <f t="shared" si="56"/>
        <v>0</v>
      </c>
      <c r="M258" s="191"/>
      <c r="N258" s="185"/>
      <c r="O258" s="186"/>
      <c r="P258" s="186"/>
      <c r="Q258" s="185"/>
      <c r="R258" s="186"/>
      <c r="S258" s="186"/>
      <c r="T258" s="187"/>
      <c r="U258" s="340"/>
      <c r="V258" s="186"/>
      <c r="W258" s="186"/>
      <c r="X258" s="187"/>
      <c r="Y258" s="310"/>
    </row>
    <row r="259" spans="1:25" s="199" customFormat="1" ht="15.75" hidden="1" thickBot="1" x14ac:dyDescent="0.3">
      <c r="A259" s="118" t="s">
        <v>290</v>
      </c>
      <c r="B259" s="181" t="s">
        <v>695</v>
      </c>
      <c r="C259" s="190"/>
      <c r="D259" s="630" t="s">
        <v>707</v>
      </c>
      <c r="E259" s="630"/>
      <c r="F259" s="183">
        <v>0</v>
      </c>
      <c r="G259" s="340">
        <v>0</v>
      </c>
      <c r="H259" s="310">
        <v>0</v>
      </c>
      <c r="I259" s="508">
        <v>0</v>
      </c>
      <c r="J259" s="251">
        <f>SUM(M259:X259)</f>
        <v>0</v>
      </c>
      <c r="K259" s="182"/>
      <c r="L259" s="183">
        <f t="shared" si="56"/>
        <v>0</v>
      </c>
      <c r="M259" s="191"/>
      <c r="N259" s="185"/>
      <c r="O259" s="186"/>
      <c r="P259" s="186"/>
      <c r="Q259" s="185"/>
      <c r="R259" s="186"/>
      <c r="S259" s="186"/>
      <c r="T259" s="187"/>
      <c r="U259" s="340"/>
      <c r="V259" s="186"/>
      <c r="W259" s="186"/>
      <c r="X259" s="187"/>
      <c r="Y259" s="310"/>
    </row>
    <row r="260" spans="1:25" s="18" customFormat="1" ht="15.75" hidden="1" thickBot="1" x14ac:dyDescent="0.3">
      <c r="A260" s="118"/>
      <c r="B260" s="53" t="s">
        <v>696</v>
      </c>
      <c r="C260" s="628" t="s">
        <v>291</v>
      </c>
      <c r="D260" s="629"/>
      <c r="E260" s="629"/>
      <c r="F260" s="160">
        <v>0</v>
      </c>
      <c r="G260" s="342">
        <v>0</v>
      </c>
      <c r="H260" s="312">
        <v>0</v>
      </c>
      <c r="I260" s="510">
        <v>0</v>
      </c>
      <c r="J260" s="239">
        <f>J261+J262+J263+J264+J265+J266</f>
        <v>0</v>
      </c>
      <c r="K260" s="148">
        <f t="shared" ref="K260:X260" si="64">K261+K262+K263+K264+K265+K266</f>
        <v>0</v>
      </c>
      <c r="L260" s="160">
        <f t="shared" si="56"/>
        <v>0</v>
      </c>
      <c r="M260" s="74">
        <f t="shared" si="64"/>
        <v>0</v>
      </c>
      <c r="N260" s="13">
        <f t="shared" si="64"/>
        <v>0</v>
      </c>
      <c r="O260" s="79">
        <f t="shared" si="64"/>
        <v>0</v>
      </c>
      <c r="P260" s="79">
        <f t="shared" si="64"/>
        <v>0</v>
      </c>
      <c r="Q260" s="13">
        <f t="shared" si="64"/>
        <v>0</v>
      </c>
      <c r="R260" s="79">
        <f t="shared" si="64"/>
        <v>0</v>
      </c>
      <c r="S260" s="79">
        <f t="shared" si="64"/>
        <v>0</v>
      </c>
      <c r="T260" s="45">
        <f t="shared" si="64"/>
        <v>0</v>
      </c>
      <c r="U260" s="342">
        <f t="shared" si="64"/>
        <v>0</v>
      </c>
      <c r="V260" s="79">
        <f t="shared" si="64"/>
        <v>0</v>
      </c>
      <c r="W260" s="79">
        <f t="shared" si="64"/>
        <v>0</v>
      </c>
      <c r="X260" s="45">
        <f t="shared" si="64"/>
        <v>0</v>
      </c>
      <c r="Y260" s="312"/>
    </row>
    <row r="261" spans="1:25" s="199" customFormat="1" ht="15.75" hidden="1" thickBot="1" x14ac:dyDescent="0.3">
      <c r="A261" s="118" t="s">
        <v>292</v>
      </c>
      <c r="B261" s="181" t="s">
        <v>697</v>
      </c>
      <c r="C261" s="190"/>
      <c r="D261" s="630" t="s">
        <v>383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 t="shared" ref="J261:J272" si="65">SUM(M261:X261)</f>
        <v>0</v>
      </c>
      <c r="K261" s="182"/>
      <c r="L261" s="183">
        <f t="shared" si="56"/>
        <v>0</v>
      </c>
      <c r="M261" s="191"/>
      <c r="N261" s="185"/>
      <c r="O261" s="186"/>
      <c r="P261" s="186"/>
      <c r="Q261" s="185"/>
      <c r="R261" s="186"/>
      <c r="S261" s="186"/>
      <c r="T261" s="187"/>
      <c r="U261" s="340"/>
      <c r="V261" s="186"/>
      <c r="W261" s="186"/>
      <c r="X261" s="187"/>
      <c r="Y261" s="310"/>
    </row>
    <row r="262" spans="1:25" s="199" customFormat="1" ht="15.75" hidden="1" thickBot="1" x14ac:dyDescent="0.3">
      <c r="A262" s="118" t="s">
        <v>293</v>
      </c>
      <c r="B262" s="181" t="s">
        <v>698</v>
      </c>
      <c r="C262" s="190"/>
      <c r="D262" s="630" t="s">
        <v>384</v>
      </c>
      <c r="E262" s="630"/>
      <c r="F262" s="183">
        <v>0</v>
      </c>
      <c r="G262" s="340">
        <v>0</v>
      </c>
      <c r="H262" s="310">
        <v>0</v>
      </c>
      <c r="I262" s="508">
        <v>0</v>
      </c>
      <c r="J262" s="251">
        <f t="shared" si="65"/>
        <v>0</v>
      </c>
      <c r="K262" s="182"/>
      <c r="L262" s="183">
        <f t="shared" si="56"/>
        <v>0</v>
      </c>
      <c r="M262" s="191"/>
      <c r="N262" s="185"/>
      <c r="O262" s="186"/>
      <c r="P262" s="186"/>
      <c r="Q262" s="185"/>
      <c r="R262" s="186"/>
      <c r="S262" s="186"/>
      <c r="T262" s="187"/>
      <c r="U262" s="340"/>
      <c r="V262" s="186"/>
      <c r="W262" s="186"/>
      <c r="X262" s="187"/>
      <c r="Y262" s="310"/>
    </row>
    <row r="263" spans="1:25" s="199" customFormat="1" ht="15.75" hidden="1" thickBot="1" x14ac:dyDescent="0.3">
      <c r="A263" s="118" t="s">
        <v>885</v>
      </c>
      <c r="B263" s="181" t="s">
        <v>886</v>
      </c>
      <c r="C263" s="190"/>
      <c r="D263" s="630" t="s">
        <v>887</v>
      </c>
      <c r="E263" s="630"/>
      <c r="F263" s="183">
        <v>0</v>
      </c>
      <c r="G263" s="340">
        <v>0</v>
      </c>
      <c r="H263" s="310">
        <v>0</v>
      </c>
      <c r="I263" s="508">
        <v>0</v>
      </c>
      <c r="J263" s="251">
        <f t="shared" si="65"/>
        <v>0</v>
      </c>
      <c r="K263" s="182"/>
      <c r="L263" s="183">
        <f t="shared" si="56"/>
        <v>0</v>
      </c>
      <c r="M263" s="191"/>
      <c r="N263" s="185"/>
      <c r="O263" s="186"/>
      <c r="P263" s="186"/>
      <c r="Q263" s="185"/>
      <c r="R263" s="186"/>
      <c r="S263" s="186"/>
      <c r="T263" s="187"/>
      <c r="U263" s="340"/>
      <c r="V263" s="186"/>
      <c r="W263" s="186"/>
      <c r="X263" s="187"/>
      <c r="Y263" s="310"/>
    </row>
    <row r="264" spans="1:25" s="199" customFormat="1" ht="15.75" hidden="1" thickBot="1" x14ac:dyDescent="0.3">
      <c r="A264" s="118" t="s">
        <v>294</v>
      </c>
      <c r="B264" s="181" t="s">
        <v>699</v>
      </c>
      <c r="C264" s="190"/>
      <c r="D264" s="630" t="s">
        <v>295</v>
      </c>
      <c r="E264" s="630"/>
      <c r="F264" s="183">
        <v>0</v>
      </c>
      <c r="G264" s="340">
        <v>0</v>
      </c>
      <c r="H264" s="310">
        <v>0</v>
      </c>
      <c r="I264" s="508">
        <v>0</v>
      </c>
      <c r="J264" s="251">
        <f t="shared" si="65"/>
        <v>0</v>
      </c>
      <c r="K264" s="182"/>
      <c r="L264" s="183">
        <f t="shared" si="56"/>
        <v>0</v>
      </c>
      <c r="M264" s="191"/>
      <c r="N264" s="185"/>
      <c r="O264" s="186"/>
      <c r="P264" s="186"/>
      <c r="Q264" s="185"/>
      <c r="R264" s="186"/>
      <c r="S264" s="186"/>
      <c r="T264" s="187"/>
      <c r="U264" s="340"/>
      <c r="V264" s="186"/>
      <c r="W264" s="186"/>
      <c r="X264" s="187"/>
      <c r="Y264" s="310"/>
    </row>
    <row r="265" spans="1:25" s="199" customFormat="1" ht="15.75" hidden="1" thickBot="1" x14ac:dyDescent="0.3">
      <c r="A265" s="118" t="s">
        <v>296</v>
      </c>
      <c r="B265" s="181" t="s">
        <v>700</v>
      </c>
      <c r="C265" s="190"/>
      <c r="D265" s="630" t="s">
        <v>297</v>
      </c>
      <c r="E265" s="630"/>
      <c r="F265" s="183">
        <v>0</v>
      </c>
      <c r="G265" s="340">
        <v>0</v>
      </c>
      <c r="H265" s="310">
        <v>0</v>
      </c>
      <c r="I265" s="508">
        <v>0</v>
      </c>
      <c r="J265" s="251">
        <f t="shared" si="65"/>
        <v>0</v>
      </c>
      <c r="K265" s="182"/>
      <c r="L265" s="183">
        <f t="shared" si="56"/>
        <v>0</v>
      </c>
      <c r="M265" s="191"/>
      <c r="N265" s="185"/>
      <c r="O265" s="186"/>
      <c r="P265" s="186"/>
      <c r="Q265" s="185"/>
      <c r="R265" s="186"/>
      <c r="S265" s="186"/>
      <c r="T265" s="187"/>
      <c r="U265" s="340"/>
      <c r="V265" s="186"/>
      <c r="W265" s="186"/>
      <c r="X265" s="187"/>
      <c r="Y265" s="310"/>
    </row>
    <row r="266" spans="1:25" s="199" customFormat="1" ht="15.75" hidden="1" thickBot="1" x14ac:dyDescent="0.3">
      <c r="A266" s="118" t="s">
        <v>888</v>
      </c>
      <c r="B266" s="181" t="s">
        <v>889</v>
      </c>
      <c r="C266" s="190"/>
      <c r="D266" s="630" t="s">
        <v>890</v>
      </c>
      <c r="E266" s="630"/>
      <c r="F266" s="183">
        <v>0</v>
      </c>
      <c r="G266" s="340">
        <v>0</v>
      </c>
      <c r="H266" s="310">
        <v>0</v>
      </c>
      <c r="I266" s="508">
        <v>0</v>
      </c>
      <c r="J266" s="251">
        <f t="shared" si="65"/>
        <v>0</v>
      </c>
      <c r="K266" s="182"/>
      <c r="L266" s="183">
        <f t="shared" si="56"/>
        <v>0</v>
      </c>
      <c r="M266" s="191"/>
      <c r="N266" s="185"/>
      <c r="O266" s="186"/>
      <c r="P266" s="186"/>
      <c r="Q266" s="185"/>
      <c r="R266" s="186"/>
      <c r="S266" s="186"/>
      <c r="T266" s="187"/>
      <c r="U266" s="340"/>
      <c r="V266" s="186"/>
      <c r="W266" s="186"/>
      <c r="X266" s="187"/>
      <c r="Y266" s="310"/>
    </row>
    <row r="267" spans="1:25" s="41" customFormat="1" ht="15.75" hidden="1" thickBot="1" x14ac:dyDescent="0.3">
      <c r="A267" s="118" t="s">
        <v>891</v>
      </c>
      <c r="B267" s="53" t="s">
        <v>892</v>
      </c>
      <c r="C267" s="628" t="s">
        <v>893</v>
      </c>
      <c r="D267" s="629"/>
      <c r="E267" s="629"/>
      <c r="F267" s="160">
        <v>0</v>
      </c>
      <c r="G267" s="342">
        <v>0</v>
      </c>
      <c r="H267" s="312">
        <v>0</v>
      </c>
      <c r="I267" s="510">
        <v>0</v>
      </c>
      <c r="J267" s="239">
        <f t="shared" si="65"/>
        <v>0</v>
      </c>
      <c r="K267" s="148"/>
      <c r="L267" s="160">
        <f t="shared" si="56"/>
        <v>0</v>
      </c>
      <c r="M267" s="74"/>
      <c r="N267" s="13"/>
      <c r="O267" s="79"/>
      <c r="P267" s="79"/>
      <c r="Q267" s="13"/>
      <c r="R267" s="79"/>
      <c r="S267" s="79"/>
      <c r="T267" s="45"/>
      <c r="U267" s="342"/>
      <c r="V267" s="79"/>
      <c r="W267" s="79"/>
      <c r="X267" s="45"/>
      <c r="Y267" s="312"/>
    </row>
    <row r="268" spans="1:25" s="41" customFormat="1" ht="15.75" hidden="1" thickBot="1" x14ac:dyDescent="0.3">
      <c r="A268" s="118" t="s">
        <v>298</v>
      </c>
      <c r="B268" s="53" t="s">
        <v>701</v>
      </c>
      <c r="C268" s="628" t="s">
        <v>299</v>
      </c>
      <c r="D268" s="629"/>
      <c r="E268" s="629"/>
      <c r="F268" s="160">
        <v>0</v>
      </c>
      <c r="G268" s="342">
        <v>0</v>
      </c>
      <c r="H268" s="312">
        <v>0</v>
      </c>
      <c r="I268" s="510">
        <v>0</v>
      </c>
      <c r="J268" s="239">
        <f t="shared" si="65"/>
        <v>0</v>
      </c>
      <c r="K268" s="148"/>
      <c r="L268" s="160">
        <f t="shared" si="56"/>
        <v>0</v>
      </c>
      <c r="M268" s="74"/>
      <c r="N268" s="13"/>
      <c r="O268" s="79"/>
      <c r="P268" s="79"/>
      <c r="Q268" s="13"/>
      <c r="R268" s="79"/>
      <c r="S268" s="79"/>
      <c r="T268" s="45"/>
      <c r="U268" s="342"/>
      <c r="V268" s="79"/>
      <c r="W268" s="79"/>
      <c r="X268" s="45"/>
      <c r="Y268" s="312"/>
    </row>
    <row r="269" spans="1:25" s="41" customFormat="1" ht="15.75" hidden="1" thickBot="1" x14ac:dyDescent="0.3">
      <c r="A269" s="118" t="s">
        <v>300</v>
      </c>
      <c r="B269" s="53" t="s">
        <v>702</v>
      </c>
      <c r="C269" s="628" t="s">
        <v>894</v>
      </c>
      <c r="D269" s="629"/>
      <c r="E269" s="629"/>
      <c r="F269" s="160">
        <v>0</v>
      </c>
      <c r="G269" s="342">
        <v>0</v>
      </c>
      <c r="H269" s="312">
        <v>0</v>
      </c>
      <c r="I269" s="510">
        <v>0</v>
      </c>
      <c r="J269" s="239">
        <f t="shared" si="65"/>
        <v>0</v>
      </c>
      <c r="K269" s="148"/>
      <c r="L269" s="160">
        <f t="shared" si="56"/>
        <v>0</v>
      </c>
      <c r="M269" s="74"/>
      <c r="N269" s="13"/>
      <c r="O269" s="79"/>
      <c r="P269" s="79"/>
      <c r="Q269" s="13"/>
      <c r="R269" s="79"/>
      <c r="S269" s="79"/>
      <c r="T269" s="45"/>
      <c r="U269" s="342"/>
      <c r="V269" s="79"/>
      <c r="W269" s="79"/>
      <c r="X269" s="45"/>
      <c r="Y269" s="312"/>
    </row>
    <row r="270" spans="1:25" s="41" customFormat="1" ht="15.75" hidden="1" thickBot="1" x14ac:dyDescent="0.3">
      <c r="A270" s="118" t="s">
        <v>301</v>
      </c>
      <c r="B270" s="53" t="s">
        <v>703</v>
      </c>
      <c r="C270" s="628" t="s">
        <v>895</v>
      </c>
      <c r="D270" s="629"/>
      <c r="E270" s="629"/>
      <c r="F270" s="160">
        <v>0</v>
      </c>
      <c r="G270" s="342">
        <v>0</v>
      </c>
      <c r="H270" s="312">
        <v>0</v>
      </c>
      <c r="I270" s="510">
        <v>0</v>
      </c>
      <c r="J270" s="239">
        <f t="shared" si="65"/>
        <v>0</v>
      </c>
      <c r="K270" s="148"/>
      <c r="L270" s="160">
        <f t="shared" si="56"/>
        <v>0</v>
      </c>
      <c r="M270" s="74"/>
      <c r="N270" s="13"/>
      <c r="O270" s="79"/>
      <c r="P270" s="79"/>
      <c r="Q270" s="13"/>
      <c r="R270" s="79"/>
      <c r="S270" s="79"/>
      <c r="T270" s="45"/>
      <c r="U270" s="342"/>
      <c r="V270" s="79"/>
      <c r="W270" s="79"/>
      <c r="X270" s="45"/>
      <c r="Y270" s="312"/>
    </row>
    <row r="271" spans="1:25" s="41" customFormat="1" ht="15.75" hidden="1" thickBot="1" x14ac:dyDescent="0.3">
      <c r="A271" s="118" t="s">
        <v>302</v>
      </c>
      <c r="B271" s="53" t="s">
        <v>704</v>
      </c>
      <c r="C271" s="628" t="s">
        <v>303</v>
      </c>
      <c r="D271" s="629"/>
      <c r="E271" s="629"/>
      <c r="F271" s="160">
        <v>0</v>
      </c>
      <c r="G271" s="342">
        <v>0</v>
      </c>
      <c r="H271" s="312">
        <v>0</v>
      </c>
      <c r="I271" s="510">
        <v>0</v>
      </c>
      <c r="J271" s="239">
        <f t="shared" si="65"/>
        <v>0</v>
      </c>
      <c r="K271" s="148"/>
      <c r="L271" s="160">
        <f t="shared" si="56"/>
        <v>0</v>
      </c>
      <c r="M271" s="74"/>
      <c r="N271" s="13"/>
      <c r="O271" s="79"/>
      <c r="P271" s="79"/>
      <c r="Q271" s="13"/>
      <c r="R271" s="79"/>
      <c r="S271" s="79"/>
      <c r="T271" s="45"/>
      <c r="U271" s="342"/>
      <c r="V271" s="79"/>
      <c r="W271" s="79"/>
      <c r="X271" s="45"/>
      <c r="Y271" s="312"/>
    </row>
    <row r="272" spans="1:25" s="41" customFormat="1" ht="15.75" hidden="1" thickBot="1" x14ac:dyDescent="0.3">
      <c r="A272" s="118" t="s">
        <v>896</v>
      </c>
      <c r="B272" s="53" t="s">
        <v>897</v>
      </c>
      <c r="C272" s="628" t="s">
        <v>899</v>
      </c>
      <c r="D272" s="629"/>
      <c r="E272" s="629"/>
      <c r="F272" s="160">
        <v>0</v>
      </c>
      <c r="G272" s="342">
        <v>0</v>
      </c>
      <c r="H272" s="312">
        <v>0</v>
      </c>
      <c r="I272" s="510">
        <v>0</v>
      </c>
      <c r="J272" s="239">
        <f t="shared" si="65"/>
        <v>0</v>
      </c>
      <c r="K272" s="148"/>
      <c r="L272" s="160">
        <f t="shared" si="56"/>
        <v>0</v>
      </c>
      <c r="M272" s="74"/>
      <c r="N272" s="13"/>
      <c r="O272" s="79"/>
      <c r="P272" s="79"/>
      <c r="Q272" s="13"/>
      <c r="R272" s="79"/>
      <c r="S272" s="79"/>
      <c r="T272" s="45"/>
      <c r="U272" s="342"/>
      <c r="V272" s="79"/>
      <c r="W272" s="79"/>
      <c r="X272" s="45"/>
      <c r="Y272" s="312"/>
    </row>
    <row r="273" spans="1:25" s="41" customFormat="1" ht="15.75" hidden="1" thickBot="1" x14ac:dyDescent="0.3">
      <c r="A273" s="118"/>
      <c r="B273" s="53" t="s">
        <v>898</v>
      </c>
      <c r="C273" s="628" t="s">
        <v>900</v>
      </c>
      <c r="D273" s="629"/>
      <c r="E273" s="629"/>
      <c r="F273" s="160">
        <v>0</v>
      </c>
      <c r="G273" s="342">
        <v>0</v>
      </c>
      <c r="H273" s="312">
        <v>0</v>
      </c>
      <c r="I273" s="510">
        <v>0</v>
      </c>
      <c r="J273" s="239">
        <f>J274+J275</f>
        <v>0</v>
      </c>
      <c r="K273" s="148">
        <f t="shared" ref="K273:X273" si="66">K274+K275</f>
        <v>0</v>
      </c>
      <c r="L273" s="160">
        <f t="shared" si="56"/>
        <v>0</v>
      </c>
      <c r="M273" s="74">
        <f t="shared" si="66"/>
        <v>0</v>
      </c>
      <c r="N273" s="13">
        <f t="shared" si="66"/>
        <v>0</v>
      </c>
      <c r="O273" s="79">
        <f t="shared" si="66"/>
        <v>0</v>
      </c>
      <c r="P273" s="79">
        <f t="shared" si="66"/>
        <v>0</v>
      </c>
      <c r="Q273" s="13">
        <f t="shared" si="66"/>
        <v>0</v>
      </c>
      <c r="R273" s="79">
        <f t="shared" si="66"/>
        <v>0</v>
      </c>
      <c r="S273" s="79">
        <f t="shared" si="66"/>
        <v>0</v>
      </c>
      <c r="T273" s="45">
        <f t="shared" si="66"/>
        <v>0</v>
      </c>
      <c r="U273" s="342">
        <f t="shared" si="66"/>
        <v>0</v>
      </c>
      <c r="V273" s="79">
        <f t="shared" si="66"/>
        <v>0</v>
      </c>
      <c r="W273" s="79">
        <f t="shared" si="66"/>
        <v>0</v>
      </c>
      <c r="X273" s="45">
        <f t="shared" si="66"/>
        <v>0</v>
      </c>
      <c r="Y273" s="312"/>
    </row>
    <row r="274" spans="1:25" s="199" customFormat="1" ht="15.75" hidden="1" thickBot="1" x14ac:dyDescent="0.3">
      <c r="A274" s="118" t="s">
        <v>902</v>
      </c>
      <c r="B274" s="181" t="s">
        <v>901</v>
      </c>
      <c r="C274" s="190"/>
      <c r="D274" s="630" t="s">
        <v>905</v>
      </c>
      <c r="E274" s="630"/>
      <c r="F274" s="183">
        <v>0</v>
      </c>
      <c r="G274" s="340">
        <v>0</v>
      </c>
      <c r="H274" s="310">
        <v>0</v>
      </c>
      <c r="I274" s="508">
        <v>0</v>
      </c>
      <c r="J274" s="251">
        <f>SUM(M274:X274)</f>
        <v>0</v>
      </c>
      <c r="K274" s="182"/>
      <c r="L274" s="183">
        <f t="shared" si="56"/>
        <v>0</v>
      </c>
      <c r="M274" s="191"/>
      <c r="N274" s="185"/>
      <c r="O274" s="186"/>
      <c r="P274" s="186"/>
      <c r="Q274" s="185"/>
      <c r="R274" s="186"/>
      <c r="S274" s="186"/>
      <c r="T274" s="187"/>
      <c r="U274" s="340"/>
      <c r="V274" s="186"/>
      <c r="W274" s="186"/>
      <c r="X274" s="187"/>
      <c r="Y274" s="310"/>
    </row>
    <row r="275" spans="1:25" s="199" customFormat="1" ht="15.75" hidden="1" thickBot="1" x14ac:dyDescent="0.3">
      <c r="A275" s="118" t="s">
        <v>903</v>
      </c>
      <c r="B275" s="181" t="s">
        <v>904</v>
      </c>
      <c r="C275" s="190"/>
      <c r="D275" s="630" t="s">
        <v>906</v>
      </c>
      <c r="E275" s="630"/>
      <c r="F275" s="183">
        <v>0</v>
      </c>
      <c r="G275" s="340">
        <v>0</v>
      </c>
      <c r="H275" s="310">
        <v>0</v>
      </c>
      <c r="I275" s="508">
        <v>0</v>
      </c>
      <c r="J275" s="251">
        <f>SUM(M275:X275)</f>
        <v>0</v>
      </c>
      <c r="K275" s="182"/>
      <c r="L275" s="183">
        <f t="shared" si="56"/>
        <v>0</v>
      </c>
      <c r="M275" s="191"/>
      <c r="N275" s="185"/>
      <c r="O275" s="186"/>
      <c r="P275" s="186"/>
      <c r="Q275" s="185"/>
      <c r="R275" s="186"/>
      <c r="S275" s="186"/>
      <c r="T275" s="187"/>
      <c r="U275" s="340"/>
      <c r="V275" s="186"/>
      <c r="W275" s="186"/>
      <c r="X275" s="187"/>
      <c r="Y275" s="310"/>
    </row>
    <row r="276" spans="1:25" ht="15.75" hidden="1" thickBot="1" x14ac:dyDescent="0.3">
      <c r="B276" s="88" t="s">
        <v>708</v>
      </c>
      <c r="C276" s="626" t="s">
        <v>304</v>
      </c>
      <c r="D276" s="627"/>
      <c r="E276" s="627"/>
      <c r="F276" s="158">
        <v>0</v>
      </c>
      <c r="G276" s="341">
        <v>0</v>
      </c>
      <c r="H276" s="311">
        <v>0</v>
      </c>
      <c r="I276" s="509">
        <v>0</v>
      </c>
      <c r="J276" s="233">
        <f>J277+J278+J279+J280+J281</f>
        <v>0</v>
      </c>
      <c r="K276" s="142">
        <f t="shared" ref="K276:X276" si="67">K277+K278+K279+K280+K281</f>
        <v>0</v>
      </c>
      <c r="L276" s="158">
        <f t="shared" si="56"/>
        <v>0</v>
      </c>
      <c r="M276" s="90">
        <f t="shared" si="67"/>
        <v>0</v>
      </c>
      <c r="N276" s="91">
        <f t="shared" si="67"/>
        <v>0</v>
      </c>
      <c r="O276" s="94">
        <f t="shared" si="67"/>
        <v>0</v>
      </c>
      <c r="P276" s="94">
        <f t="shared" si="67"/>
        <v>0</v>
      </c>
      <c r="Q276" s="91">
        <f t="shared" si="67"/>
        <v>0</v>
      </c>
      <c r="R276" s="94">
        <f t="shared" si="67"/>
        <v>0</v>
      </c>
      <c r="S276" s="94">
        <f t="shared" si="67"/>
        <v>0</v>
      </c>
      <c r="T276" s="261">
        <f t="shared" si="67"/>
        <v>0</v>
      </c>
      <c r="U276" s="346">
        <f t="shared" si="67"/>
        <v>0</v>
      </c>
      <c r="V276" s="94">
        <f t="shared" si="67"/>
        <v>0</v>
      </c>
      <c r="W276" s="94">
        <f t="shared" si="67"/>
        <v>0</v>
      </c>
      <c r="X276" s="95">
        <f t="shared" si="67"/>
        <v>0</v>
      </c>
      <c r="Y276" s="311"/>
    </row>
    <row r="277" spans="1:25" s="41" customFormat="1" ht="15.75" hidden="1" thickBot="1" x14ac:dyDescent="0.3">
      <c r="A277" s="118" t="s">
        <v>305</v>
      </c>
      <c r="B277" s="188" t="s">
        <v>709</v>
      </c>
      <c r="C277" s="706" t="s">
        <v>385</v>
      </c>
      <c r="D277" s="707"/>
      <c r="E277" s="707"/>
      <c r="F277" s="201">
        <v>0</v>
      </c>
      <c r="G277" s="347">
        <v>0</v>
      </c>
      <c r="H277" s="319">
        <v>0</v>
      </c>
      <c r="I277" s="511">
        <v>0</v>
      </c>
      <c r="J277" s="252">
        <f t="shared" ref="J277:J283" si="68">SUM(M277:X277)</f>
        <v>0</v>
      </c>
      <c r="K277" s="189"/>
      <c r="L277" s="201">
        <f t="shared" si="56"/>
        <v>0</v>
      </c>
      <c r="M277" s="202"/>
      <c r="N277" s="203"/>
      <c r="O277" s="206"/>
      <c r="P277" s="206"/>
      <c r="Q277" s="203"/>
      <c r="R277" s="206"/>
      <c r="S277" s="206"/>
      <c r="T277" s="204"/>
      <c r="U277" s="347"/>
      <c r="V277" s="206"/>
      <c r="W277" s="206"/>
      <c r="X277" s="204"/>
      <c r="Y277" s="319"/>
    </row>
    <row r="278" spans="1:25" s="41" customFormat="1" ht="15.75" hidden="1" thickBot="1" x14ac:dyDescent="0.3">
      <c r="A278" s="118" t="s">
        <v>306</v>
      </c>
      <c r="B278" s="188" t="s">
        <v>710</v>
      </c>
      <c r="C278" s="706" t="s">
        <v>386</v>
      </c>
      <c r="D278" s="707"/>
      <c r="E278" s="707"/>
      <c r="F278" s="201">
        <v>0</v>
      </c>
      <c r="G278" s="347">
        <v>0</v>
      </c>
      <c r="H278" s="319">
        <v>0</v>
      </c>
      <c r="I278" s="511">
        <v>0</v>
      </c>
      <c r="J278" s="252">
        <f t="shared" si="68"/>
        <v>0</v>
      </c>
      <c r="K278" s="189"/>
      <c r="L278" s="201">
        <f t="shared" si="56"/>
        <v>0</v>
      </c>
      <c r="M278" s="202"/>
      <c r="N278" s="203"/>
      <c r="O278" s="206"/>
      <c r="P278" s="206"/>
      <c r="Q278" s="203"/>
      <c r="R278" s="206"/>
      <c r="S278" s="206"/>
      <c r="T278" s="204"/>
      <c r="U278" s="347"/>
      <c r="V278" s="206"/>
      <c r="W278" s="206"/>
      <c r="X278" s="204"/>
      <c r="Y278" s="319"/>
    </row>
    <row r="279" spans="1:25" s="41" customFormat="1" ht="15.75" hidden="1" thickBot="1" x14ac:dyDescent="0.3">
      <c r="A279" s="118" t="s">
        <v>307</v>
      </c>
      <c r="B279" s="188" t="s">
        <v>711</v>
      </c>
      <c r="C279" s="706" t="s">
        <v>308</v>
      </c>
      <c r="D279" s="707"/>
      <c r="E279" s="707"/>
      <c r="F279" s="201">
        <v>0</v>
      </c>
      <c r="G279" s="347">
        <v>0</v>
      </c>
      <c r="H279" s="319">
        <v>0</v>
      </c>
      <c r="I279" s="511">
        <v>0</v>
      </c>
      <c r="J279" s="252">
        <f t="shared" si="68"/>
        <v>0</v>
      </c>
      <c r="K279" s="189"/>
      <c r="L279" s="201">
        <f t="shared" si="56"/>
        <v>0</v>
      </c>
      <c r="M279" s="202"/>
      <c r="N279" s="203"/>
      <c r="O279" s="206"/>
      <c r="P279" s="206"/>
      <c r="Q279" s="203"/>
      <c r="R279" s="206"/>
      <c r="S279" s="206"/>
      <c r="T279" s="204"/>
      <c r="U279" s="347"/>
      <c r="V279" s="206"/>
      <c r="W279" s="206"/>
      <c r="X279" s="204"/>
      <c r="Y279" s="319"/>
    </row>
    <row r="280" spans="1:25" s="41" customFormat="1" ht="15.75" hidden="1" thickBot="1" x14ac:dyDescent="0.3">
      <c r="A280" s="118" t="s">
        <v>309</v>
      </c>
      <c r="B280" s="188" t="s">
        <v>712</v>
      </c>
      <c r="C280" s="706" t="s">
        <v>310</v>
      </c>
      <c r="D280" s="707"/>
      <c r="E280" s="707"/>
      <c r="F280" s="201">
        <v>0</v>
      </c>
      <c r="G280" s="347">
        <v>0</v>
      </c>
      <c r="H280" s="319">
        <v>0</v>
      </c>
      <c r="I280" s="511">
        <v>0</v>
      </c>
      <c r="J280" s="252">
        <f t="shared" si="68"/>
        <v>0</v>
      </c>
      <c r="K280" s="189"/>
      <c r="L280" s="201">
        <f t="shared" si="56"/>
        <v>0</v>
      </c>
      <c r="M280" s="202"/>
      <c r="N280" s="203"/>
      <c r="O280" s="206"/>
      <c r="P280" s="206"/>
      <c r="Q280" s="203"/>
      <c r="R280" s="206"/>
      <c r="S280" s="206"/>
      <c r="T280" s="204"/>
      <c r="U280" s="347"/>
      <c r="V280" s="206"/>
      <c r="W280" s="206"/>
      <c r="X280" s="204"/>
      <c r="Y280" s="319"/>
    </row>
    <row r="281" spans="1:25" s="41" customFormat="1" ht="15.75" hidden="1" thickBot="1" x14ac:dyDescent="0.3">
      <c r="A281" s="118" t="s">
        <v>311</v>
      </c>
      <c r="B281" s="188" t="s">
        <v>713</v>
      </c>
      <c r="C281" s="706" t="s">
        <v>387</v>
      </c>
      <c r="D281" s="707"/>
      <c r="E281" s="707"/>
      <c r="F281" s="201">
        <v>0</v>
      </c>
      <c r="G281" s="347">
        <v>0</v>
      </c>
      <c r="H281" s="319">
        <v>0</v>
      </c>
      <c r="I281" s="511">
        <v>0</v>
      </c>
      <c r="J281" s="252">
        <f t="shared" si="68"/>
        <v>0</v>
      </c>
      <c r="K281" s="189"/>
      <c r="L281" s="201">
        <f t="shared" si="56"/>
        <v>0</v>
      </c>
      <c r="M281" s="202"/>
      <c r="N281" s="203"/>
      <c r="O281" s="206"/>
      <c r="P281" s="206"/>
      <c r="Q281" s="203"/>
      <c r="R281" s="206"/>
      <c r="S281" s="206"/>
      <c r="T281" s="204"/>
      <c r="U281" s="347"/>
      <c r="V281" s="206"/>
      <c r="W281" s="206"/>
      <c r="X281" s="204"/>
      <c r="Y281" s="319"/>
    </row>
    <row r="282" spans="1:25" ht="15.75" hidden="1" thickBot="1" x14ac:dyDescent="0.3">
      <c r="A282" s="118" t="s">
        <v>313</v>
      </c>
      <c r="B282" s="88" t="s">
        <v>714</v>
      </c>
      <c r="C282" s="626" t="s">
        <v>312</v>
      </c>
      <c r="D282" s="627"/>
      <c r="E282" s="627"/>
      <c r="F282" s="158">
        <v>0</v>
      </c>
      <c r="G282" s="341">
        <v>0</v>
      </c>
      <c r="H282" s="311">
        <v>0</v>
      </c>
      <c r="I282" s="509">
        <v>0</v>
      </c>
      <c r="J282" s="233">
        <f t="shared" si="68"/>
        <v>0</v>
      </c>
      <c r="K282" s="142"/>
      <c r="L282" s="158">
        <f t="shared" si="56"/>
        <v>0</v>
      </c>
      <c r="M282" s="90"/>
      <c r="N282" s="91"/>
      <c r="O282" s="94"/>
      <c r="P282" s="94"/>
      <c r="Q282" s="91"/>
      <c r="R282" s="94"/>
      <c r="S282" s="94"/>
      <c r="T282" s="261"/>
      <c r="U282" s="346"/>
      <c r="V282" s="94"/>
      <c r="W282" s="94"/>
      <c r="X282" s="95"/>
      <c r="Y282" s="311"/>
    </row>
    <row r="283" spans="1:25" ht="15.75" hidden="1" thickBot="1" x14ac:dyDescent="0.3">
      <c r="A283" s="118" t="s">
        <v>907</v>
      </c>
      <c r="B283" s="88" t="s">
        <v>908</v>
      </c>
      <c r="C283" s="626" t="s">
        <v>909</v>
      </c>
      <c r="D283" s="627"/>
      <c r="E283" s="627"/>
      <c r="F283" s="158">
        <v>0</v>
      </c>
      <c r="G283" s="341">
        <v>0</v>
      </c>
      <c r="H283" s="311">
        <v>0</v>
      </c>
      <c r="I283" s="509">
        <v>0</v>
      </c>
      <c r="J283" s="233">
        <f t="shared" si="68"/>
        <v>0</v>
      </c>
      <c r="K283" s="142"/>
      <c r="L283" s="158">
        <f t="shared" si="56"/>
        <v>0</v>
      </c>
      <c r="M283" s="90"/>
      <c r="N283" s="91"/>
      <c r="O283" s="94"/>
      <c r="P283" s="94"/>
      <c r="Q283" s="91"/>
      <c r="R283" s="94"/>
      <c r="S283" s="94"/>
      <c r="T283" s="261"/>
      <c r="U283" s="346"/>
      <c r="V283" s="94"/>
      <c r="W283" s="94"/>
      <c r="X283" s="95"/>
      <c r="Y283" s="311"/>
    </row>
    <row r="284" spans="1:25" ht="15.75" thickBot="1" x14ac:dyDescent="0.3">
      <c r="B284" s="722" t="s">
        <v>314</v>
      </c>
      <c r="C284" s="723"/>
      <c r="D284" s="723"/>
      <c r="E284" s="723"/>
      <c r="F284" s="156">
        <v>18047762</v>
      </c>
      <c r="G284" s="338">
        <v>16977182.855</v>
      </c>
      <c r="H284" s="308">
        <v>18788922.954999998</v>
      </c>
      <c r="I284" s="506">
        <v>15899264.094999999</v>
      </c>
      <c r="J284" s="230">
        <f>J5+J24+J32+J84+J100+J175+J186+J191+J254</f>
        <v>15504862.129999999</v>
      </c>
      <c r="K284" s="139">
        <f>K5+K24+K32+K84+K100+K175+K186+K191+K254</f>
        <v>702770</v>
      </c>
      <c r="L284" s="156">
        <f t="shared" si="56"/>
        <v>16207632.129999999</v>
      </c>
      <c r="M284" s="82">
        <f t="shared" ref="M284:X284" si="69">M5+M24+M32+M84+M100+M175+M186+M191+M254</f>
        <v>761910</v>
      </c>
      <c r="N284" s="83">
        <f t="shared" si="69"/>
        <v>612997</v>
      </c>
      <c r="O284" s="86">
        <f t="shared" si="69"/>
        <v>758014</v>
      </c>
      <c r="P284" s="86">
        <f t="shared" si="69"/>
        <v>1657134</v>
      </c>
      <c r="Q284" s="83">
        <f t="shared" si="69"/>
        <v>706321</v>
      </c>
      <c r="R284" s="86">
        <f t="shared" si="69"/>
        <v>1985415</v>
      </c>
      <c r="S284" s="86">
        <f t="shared" si="69"/>
        <v>1816427</v>
      </c>
      <c r="T284" s="87">
        <f t="shared" si="69"/>
        <v>830709</v>
      </c>
      <c r="U284" s="338">
        <f t="shared" si="69"/>
        <v>972181.12</v>
      </c>
      <c r="V284" s="86">
        <f t="shared" si="69"/>
        <v>786292.81</v>
      </c>
      <c r="W284" s="86">
        <f t="shared" si="69"/>
        <v>1620378.6</v>
      </c>
      <c r="X284" s="87">
        <f t="shared" si="69"/>
        <v>3699852.6</v>
      </c>
      <c r="Y284" s="308"/>
    </row>
    <row r="285" spans="1:25" x14ac:dyDescent="0.25">
      <c r="B285" s="22"/>
      <c r="C285" s="23"/>
      <c r="D285" s="23"/>
      <c r="E285" s="24"/>
      <c r="F285" s="24"/>
      <c r="G285" s="24"/>
      <c r="H285" s="24"/>
      <c r="I285" s="24"/>
      <c r="J285" s="24"/>
      <c r="K285" s="24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B286" s="25"/>
      <c r="C286" s="26"/>
      <c r="D286" s="26"/>
      <c r="E286" s="24"/>
      <c r="F286" s="24"/>
      <c r="G286" s="24"/>
      <c r="H286" s="24"/>
      <c r="I286" s="24"/>
      <c r="J286" s="24"/>
      <c r="K286" s="24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323"/>
    </row>
    <row r="287" spans="1:25" x14ac:dyDescent="0.25"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7"/>
      <c r="C290" s="24"/>
      <c r="D290" s="24"/>
      <c r="E290" s="28"/>
      <c r="F290" s="28"/>
      <c r="G290" s="28"/>
      <c r="H290" s="28"/>
      <c r="I290" s="28"/>
      <c r="J290" s="28"/>
      <c r="K290" s="334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7"/>
      <c r="C292" s="24"/>
      <c r="D292" s="24"/>
      <c r="E292" s="28"/>
      <c r="F292" s="28"/>
      <c r="G292" s="28"/>
      <c r="H292" s="28"/>
      <c r="I292" s="28"/>
      <c r="J292" s="28"/>
      <c r="K292" s="2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7"/>
      <c r="C293" s="28"/>
      <c r="D293" s="28"/>
      <c r="E293" s="24"/>
      <c r="F293" s="24"/>
      <c r="G293" s="24"/>
      <c r="H293" s="24"/>
      <c r="I293" s="24"/>
      <c r="J293" s="24"/>
      <c r="K293" s="24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7"/>
      <c r="C294" s="28"/>
      <c r="D294" s="28"/>
      <c r="E294" s="24"/>
      <c r="F294" s="24"/>
      <c r="G294" s="24"/>
      <c r="H294" s="24"/>
      <c r="I294" s="24"/>
      <c r="J294" s="24"/>
      <c r="K294" s="24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7"/>
      <c r="C295" s="28"/>
      <c r="D295" s="28"/>
      <c r="E295" s="24"/>
      <c r="F295" s="24"/>
      <c r="G295" s="24"/>
      <c r="H295" s="24"/>
      <c r="I295" s="24"/>
      <c r="J295" s="24"/>
      <c r="K295" s="24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28"/>
      <c r="K303" s="2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0"/>
      <c r="B328" s="29"/>
      <c r="C328" s="23"/>
      <c r="D328" s="23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0"/>
      <c r="B329" s="27"/>
      <c r="C329" s="28"/>
      <c r="D329" s="28"/>
      <c r="E329" s="24"/>
      <c r="F329" s="24"/>
      <c r="G329" s="24"/>
      <c r="H329" s="24"/>
      <c r="I329" s="24"/>
      <c r="J329" s="24"/>
      <c r="K329" s="24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0"/>
      <c r="B330" s="27"/>
      <c r="C330" s="28"/>
      <c r="D330" s="28"/>
      <c r="E330" s="24"/>
      <c r="F330" s="24"/>
      <c r="G330" s="24"/>
      <c r="H330" s="24"/>
      <c r="I330" s="24"/>
      <c r="J330" s="24"/>
      <c r="K330" s="24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0"/>
      <c r="B331" s="27"/>
      <c r="C331" s="28"/>
      <c r="D331" s="28"/>
      <c r="E331" s="24"/>
      <c r="F331" s="24"/>
      <c r="G331" s="24"/>
      <c r="H331" s="24"/>
      <c r="I331" s="24"/>
      <c r="J331" s="24"/>
      <c r="K331" s="24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5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0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5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0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5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0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5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0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5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0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5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0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5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0"/>
      <c r="B339" s="27"/>
      <c r="C339" s="24"/>
      <c r="D339" s="24"/>
      <c r="E339" s="28"/>
      <c r="F339" s="28"/>
      <c r="G339" s="28"/>
      <c r="H339" s="28"/>
      <c r="I339" s="28"/>
      <c r="J339" s="28"/>
      <c r="K339" s="28"/>
      <c r="L339" s="5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0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5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0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5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0"/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L342" s="5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0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0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0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0"/>
      <c r="B346" s="27"/>
      <c r="C346" s="24"/>
      <c r="D346" s="24"/>
      <c r="E346" s="28"/>
      <c r="F346" s="28"/>
      <c r="G346" s="28"/>
      <c r="H346" s="28"/>
      <c r="I346" s="28"/>
      <c r="J346" s="28"/>
      <c r="K346" s="28"/>
    </row>
    <row r="347" spans="1:25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18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5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5" s="12" customFormat="1" x14ac:dyDescent="0.25">
      <c r="A350" s="121"/>
      <c r="B350" s="27"/>
      <c r="C350" s="24"/>
      <c r="D350" s="24"/>
      <c r="E350" s="28"/>
      <c r="F350" s="28"/>
      <c r="G350" s="28"/>
      <c r="H350" s="28"/>
      <c r="I350" s="28"/>
      <c r="J350" s="28"/>
      <c r="K350" s="28"/>
      <c r="L350" s="49"/>
    </row>
    <row r="351" spans="1:25" s="12" customFormat="1" x14ac:dyDescent="0.25">
      <c r="A351" s="121"/>
      <c r="B351" s="27"/>
      <c r="C351" s="24"/>
      <c r="D351" s="24"/>
      <c r="E351" s="28"/>
      <c r="F351" s="28"/>
      <c r="G351" s="28"/>
      <c r="H351" s="28"/>
      <c r="I351" s="28"/>
      <c r="J351" s="28"/>
      <c r="K351" s="28"/>
      <c r="L351" s="49"/>
    </row>
    <row r="352" spans="1:25" s="12" customFormat="1" x14ac:dyDescent="0.25">
      <c r="A352" s="121"/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49"/>
    </row>
    <row r="353" spans="1:25" s="12" customFormat="1" x14ac:dyDescent="0.25">
      <c r="A353" s="121"/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L353" s="49"/>
    </row>
    <row r="354" spans="1:25" s="12" customFormat="1" x14ac:dyDescent="0.25">
      <c r="A354" s="121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49"/>
    </row>
    <row r="355" spans="1:25" s="12" customFormat="1" x14ac:dyDescent="0.25">
      <c r="A355" s="121"/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L355" s="49"/>
    </row>
    <row r="356" spans="1:25" s="12" customFormat="1" x14ac:dyDescent="0.25">
      <c r="A356" s="121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49"/>
    </row>
    <row r="357" spans="1:25" s="12" customFormat="1" x14ac:dyDescent="0.25">
      <c r="A357" s="121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49"/>
    </row>
    <row r="358" spans="1:25" s="12" customFormat="1" x14ac:dyDescent="0.25">
      <c r="A358" s="121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49"/>
    </row>
    <row r="359" spans="1:25" s="12" customFormat="1" x14ac:dyDescent="0.25">
      <c r="A359" s="121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49"/>
    </row>
    <row r="360" spans="1:25" s="12" customFormat="1" x14ac:dyDescent="0.25">
      <c r="A360" s="121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49"/>
    </row>
    <row r="361" spans="1:25" s="12" customFormat="1" x14ac:dyDescent="0.25">
      <c r="A361" s="121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49"/>
    </row>
    <row r="362" spans="1:25" s="12" customFormat="1" x14ac:dyDescent="0.25">
      <c r="A362" s="121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49"/>
    </row>
    <row r="363" spans="1:25" s="12" customFormat="1" x14ac:dyDescent="0.25">
      <c r="A363" s="121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49"/>
    </row>
    <row r="364" spans="1:25" x14ac:dyDescent="0.25">
      <c r="B364" s="29"/>
      <c r="C364" s="23"/>
      <c r="D364" s="23"/>
      <c r="E364" s="28"/>
      <c r="F364" s="28"/>
      <c r="G364" s="28"/>
      <c r="H364" s="28"/>
      <c r="I364" s="28"/>
      <c r="J364" s="28"/>
      <c r="K364" s="28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5">
      <c r="B365" s="30"/>
      <c r="C365" s="26"/>
      <c r="D365" s="26"/>
      <c r="E365" s="24"/>
      <c r="F365" s="24"/>
      <c r="G365" s="24"/>
      <c r="H365" s="24"/>
      <c r="I365" s="24"/>
      <c r="J365" s="24"/>
      <c r="K365" s="24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5">
      <c r="B366" s="27"/>
      <c r="C366" s="24"/>
      <c r="D366" s="24"/>
      <c r="E366" s="28"/>
      <c r="F366" s="28"/>
      <c r="G366" s="28"/>
      <c r="H366" s="28"/>
      <c r="I366" s="28"/>
      <c r="J366" s="28"/>
      <c r="K366" s="28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5"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5"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5"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5"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5"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5"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B376" s="27"/>
      <c r="C376" s="28"/>
      <c r="D376" s="28"/>
      <c r="E376" s="24"/>
      <c r="F376" s="24"/>
      <c r="G376" s="24"/>
      <c r="H376" s="24"/>
      <c r="I376" s="24"/>
      <c r="J376" s="24"/>
      <c r="K376" s="24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24"/>
      <c r="K380" s="24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28"/>
      <c r="K383" s="2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28"/>
      <c r="K386" s="2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0"/>
      <c r="B391" s="29"/>
      <c r="C391" s="23"/>
      <c r="D391" s="23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0"/>
      <c r="B392" s="27"/>
      <c r="C392" s="28"/>
      <c r="D392" s="28"/>
      <c r="E392" s="24"/>
      <c r="F392" s="24"/>
      <c r="G392" s="24"/>
      <c r="H392" s="24"/>
      <c r="I392" s="24"/>
      <c r="J392" s="24"/>
      <c r="K392" s="24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24"/>
      <c r="K393" s="24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24"/>
      <c r="K400" s="24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28"/>
      <c r="K402" s="2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24"/>
      <c r="K410" s="24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28"/>
      <c r="K413" s="2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28"/>
      <c r="K414" s="2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28"/>
      <c r="K415" s="2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0"/>
      <c r="B423" s="27"/>
      <c r="C423" s="28"/>
      <c r="D423" s="28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28"/>
      <c r="K426" s="2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0"/>
      <c r="B427" s="29"/>
      <c r="C427" s="23"/>
      <c r="D427" s="23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0"/>
      <c r="B428" s="27"/>
      <c r="C428" s="28"/>
      <c r="D428" s="28"/>
      <c r="E428" s="24"/>
      <c r="F428" s="24"/>
      <c r="G428" s="24"/>
      <c r="H428" s="24"/>
      <c r="I428" s="24"/>
      <c r="J428" s="24"/>
      <c r="K428" s="24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0"/>
      <c r="B429" s="27"/>
      <c r="C429" s="28"/>
      <c r="D429" s="28"/>
      <c r="E429" s="24"/>
      <c r="F429" s="24"/>
      <c r="G429" s="24"/>
      <c r="H429" s="24"/>
      <c r="I429" s="24"/>
      <c r="J429" s="24"/>
      <c r="K429" s="24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0"/>
      <c r="B432" s="27"/>
      <c r="C432" s="28"/>
      <c r="D432" s="28"/>
      <c r="E432" s="24"/>
      <c r="F432" s="24"/>
      <c r="G432" s="24"/>
      <c r="H432" s="24"/>
      <c r="I432" s="24"/>
      <c r="J432" s="24"/>
      <c r="K432" s="24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0"/>
      <c r="B433" s="27"/>
      <c r="C433" s="28"/>
      <c r="D433" s="28"/>
      <c r="E433" s="24"/>
      <c r="F433" s="24"/>
      <c r="G433" s="24"/>
      <c r="H433" s="24"/>
      <c r="I433" s="24"/>
      <c r="J433" s="24"/>
      <c r="K433" s="24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24"/>
      <c r="K436" s="24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0"/>
      <c r="B437" s="29"/>
      <c r="C437" s="23"/>
      <c r="D437" s="23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28"/>
      <c r="K452" s="2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0"/>
      <c r="B463" s="29"/>
      <c r="C463" s="23"/>
      <c r="D463" s="23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0"/>
      <c r="B464" s="27"/>
      <c r="C464" s="28"/>
      <c r="D464" s="28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0"/>
      <c r="B465" s="27"/>
      <c r="C465" s="28"/>
      <c r="D465" s="28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0"/>
      <c r="B466" s="27"/>
      <c r="C466" s="28"/>
      <c r="D466" s="28"/>
      <c r="E466" s="24"/>
      <c r="F466" s="24"/>
      <c r="G466" s="24"/>
      <c r="H466" s="24"/>
      <c r="I466" s="24"/>
      <c r="J466" s="24"/>
      <c r="K466" s="24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0"/>
      <c r="B467" s="27"/>
      <c r="C467" s="28"/>
      <c r="D467" s="28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0"/>
      <c r="B475" s="27"/>
      <c r="C475" s="24"/>
      <c r="D475" s="24"/>
      <c r="E475" s="28"/>
      <c r="F475" s="28"/>
      <c r="G475" s="28"/>
      <c r="H475" s="28"/>
      <c r="I475" s="28"/>
      <c r="J475" s="28"/>
      <c r="K475" s="28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0"/>
      <c r="B476" s="27"/>
      <c r="C476" s="24"/>
      <c r="D476" s="24"/>
      <c r="E476" s="28"/>
      <c r="F476" s="28"/>
      <c r="G476" s="28"/>
      <c r="H476" s="28"/>
      <c r="I476" s="28"/>
      <c r="J476" s="28"/>
      <c r="K476" s="28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0"/>
      <c r="B477" s="27"/>
      <c r="C477" s="28"/>
      <c r="D477" s="28"/>
      <c r="E477" s="24"/>
      <c r="F477" s="24"/>
      <c r="G477" s="24"/>
      <c r="H477" s="24"/>
      <c r="I477" s="24"/>
      <c r="J477" s="24"/>
      <c r="K477" s="24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0"/>
      <c r="B478" s="27"/>
      <c r="C478" s="24"/>
      <c r="D478" s="24"/>
      <c r="E478" s="28"/>
      <c r="F478" s="28"/>
      <c r="G478" s="28"/>
      <c r="H478" s="28"/>
      <c r="I478" s="28"/>
      <c r="J478" s="28"/>
      <c r="K478" s="28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0"/>
      <c r="B479" s="27"/>
      <c r="C479" s="24"/>
      <c r="D479" s="24"/>
      <c r="E479" s="28"/>
      <c r="F479" s="28"/>
      <c r="G479" s="28"/>
      <c r="H479" s="28"/>
      <c r="I479" s="28"/>
      <c r="J479" s="28"/>
      <c r="K479" s="28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0"/>
      <c r="B480" s="27"/>
      <c r="C480" s="24"/>
      <c r="D480" s="24"/>
      <c r="E480" s="28"/>
      <c r="F480" s="28"/>
      <c r="G480" s="28"/>
      <c r="H480" s="28"/>
      <c r="I480" s="28"/>
      <c r="J480" s="28"/>
      <c r="K480" s="28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0"/>
      <c r="B481" s="27"/>
      <c r="C481" s="24"/>
      <c r="D481" s="24"/>
      <c r="E481" s="28"/>
      <c r="F481" s="28"/>
      <c r="G481" s="28"/>
      <c r="H481" s="28"/>
      <c r="I481" s="28"/>
      <c r="J481" s="28"/>
      <c r="K481" s="28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0"/>
      <c r="B482" s="27"/>
      <c r="C482" s="24"/>
      <c r="D482" s="24"/>
      <c r="E482" s="28"/>
      <c r="F482" s="28"/>
      <c r="G482" s="28"/>
      <c r="H482" s="28"/>
      <c r="I482" s="28"/>
      <c r="J482" s="28"/>
      <c r="K482" s="28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0"/>
      <c r="B483" s="27"/>
      <c r="C483" s="24"/>
      <c r="D483" s="24"/>
      <c r="E483" s="28"/>
      <c r="F483" s="28"/>
      <c r="G483" s="28"/>
      <c r="H483" s="28"/>
      <c r="I483" s="28"/>
      <c r="J483" s="28"/>
      <c r="K483" s="28"/>
      <c r="L483" s="5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0"/>
      <c r="B484" s="27"/>
      <c r="C484" s="24"/>
      <c r="D484" s="24"/>
      <c r="E484" s="28"/>
      <c r="F484" s="28"/>
      <c r="G484" s="28"/>
      <c r="H484" s="28"/>
      <c r="I484" s="28"/>
      <c r="J484" s="28"/>
      <c r="K484" s="28"/>
      <c r="L484" s="5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0"/>
      <c r="B485" s="27"/>
      <c r="C485" s="24"/>
      <c r="D485" s="24"/>
      <c r="E485" s="28"/>
      <c r="F485" s="28"/>
      <c r="G485" s="28"/>
      <c r="H485" s="28"/>
      <c r="I485" s="28"/>
      <c r="J485" s="28"/>
      <c r="K485" s="28"/>
      <c r="L485" s="5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0"/>
      <c r="B486" s="27"/>
      <c r="C486" s="24"/>
      <c r="D486" s="24"/>
      <c r="E486" s="28"/>
      <c r="F486" s="28"/>
      <c r="G486" s="28"/>
      <c r="H486" s="28"/>
      <c r="I486" s="28"/>
      <c r="J486" s="28"/>
      <c r="K486" s="28"/>
      <c r="L486" s="5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0"/>
      <c r="B487" s="27"/>
      <c r="C487" s="24"/>
      <c r="D487" s="24"/>
      <c r="E487" s="28"/>
      <c r="F487" s="28"/>
      <c r="G487" s="28"/>
      <c r="H487" s="28"/>
      <c r="I487" s="28"/>
      <c r="J487" s="28"/>
      <c r="K487" s="28"/>
      <c r="L487" s="5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0"/>
      <c r="B488" s="27"/>
      <c r="C488" s="24"/>
      <c r="D488" s="24"/>
      <c r="E488" s="28"/>
      <c r="F488" s="28"/>
      <c r="G488" s="28"/>
      <c r="H488" s="28"/>
      <c r="I488" s="28"/>
      <c r="J488" s="28"/>
      <c r="K488" s="28"/>
      <c r="L488" s="5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0"/>
      <c r="B489" s="29"/>
      <c r="C489" s="23"/>
      <c r="D489" s="23"/>
      <c r="E489" s="24"/>
      <c r="F489" s="24"/>
      <c r="G489" s="24"/>
      <c r="H489" s="24"/>
      <c r="I489" s="24"/>
      <c r="J489" s="24"/>
      <c r="K489" s="24"/>
      <c r="L489" s="5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0"/>
      <c r="B490" s="32"/>
      <c r="C490" s="33"/>
      <c r="D490" s="33"/>
      <c r="E490" s="24"/>
      <c r="F490" s="24"/>
      <c r="G490" s="24"/>
      <c r="H490" s="24"/>
      <c r="I490" s="24"/>
      <c r="J490" s="24"/>
      <c r="K490" s="24"/>
      <c r="L490" s="5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0"/>
      <c r="B491" s="34"/>
      <c r="C491" s="35"/>
      <c r="D491" s="35"/>
      <c r="E491" s="36"/>
      <c r="F491" s="36"/>
      <c r="G491" s="36"/>
      <c r="H491" s="36"/>
      <c r="I491" s="36"/>
      <c r="J491" s="36"/>
      <c r="K491" s="36"/>
      <c r="L491" s="5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  <c r="L492" s="5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0"/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5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0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5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0"/>
      <c r="B495" s="34"/>
      <c r="C495" s="35"/>
      <c r="D495" s="35"/>
      <c r="E495" s="36"/>
      <c r="F495" s="36"/>
      <c r="G495" s="36"/>
      <c r="H495" s="36"/>
      <c r="I495" s="36"/>
      <c r="J495" s="36"/>
      <c r="K495" s="36"/>
      <c r="L495" s="5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0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5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0"/>
      <c r="B497" s="19"/>
      <c r="C497" s="24"/>
      <c r="D497" s="24"/>
      <c r="E497" s="37"/>
      <c r="F497" s="37"/>
      <c r="G497" s="37"/>
      <c r="H497" s="37"/>
      <c r="I497" s="37"/>
      <c r="J497" s="37"/>
      <c r="K497" s="37"/>
    </row>
    <row r="498" spans="1:25" x14ac:dyDescent="0.25">
      <c r="A498" s="120"/>
      <c r="B498" s="19"/>
      <c r="C498" s="24"/>
      <c r="D498" s="24"/>
      <c r="E498" s="37"/>
      <c r="F498" s="37"/>
      <c r="G498" s="37"/>
      <c r="H498" s="37"/>
      <c r="I498" s="37"/>
      <c r="J498" s="37"/>
      <c r="K498" s="37"/>
    </row>
    <row r="499" spans="1:25" x14ac:dyDescent="0.25">
      <c r="A499" s="120"/>
      <c r="B499" s="19"/>
      <c r="C499" s="24"/>
      <c r="D499" s="24"/>
      <c r="E499" s="37"/>
      <c r="F499" s="37"/>
      <c r="G499" s="37"/>
      <c r="H499" s="37"/>
      <c r="I499" s="37"/>
      <c r="J499" s="37"/>
      <c r="K499" s="37"/>
    </row>
    <row r="500" spans="1:25" x14ac:dyDescent="0.25">
      <c r="A500" s="120"/>
      <c r="B500" s="19"/>
      <c r="C500" s="24"/>
      <c r="D500" s="24"/>
      <c r="E500" s="37"/>
      <c r="F500" s="37"/>
      <c r="G500" s="37"/>
      <c r="H500" s="37"/>
      <c r="I500" s="37"/>
      <c r="J500" s="37"/>
      <c r="K500" s="37"/>
    </row>
    <row r="501" spans="1:25" x14ac:dyDescent="0.25">
      <c r="A501" s="120"/>
      <c r="B501" s="19"/>
      <c r="C501" s="24"/>
      <c r="D501" s="24"/>
      <c r="E501" s="37"/>
      <c r="F501" s="37"/>
      <c r="G501" s="37"/>
      <c r="H501" s="37"/>
      <c r="I501" s="37"/>
      <c r="J501" s="37"/>
      <c r="K501" s="37"/>
    </row>
    <row r="502" spans="1:25" x14ac:dyDescent="0.25">
      <c r="A502" s="120"/>
      <c r="B502" s="19"/>
      <c r="C502" s="24"/>
      <c r="D502" s="24"/>
      <c r="E502" s="37"/>
      <c r="F502" s="37"/>
      <c r="G502" s="37"/>
      <c r="H502" s="37"/>
      <c r="I502" s="37"/>
      <c r="J502" s="37"/>
      <c r="K502" s="37"/>
    </row>
    <row r="503" spans="1:25" x14ac:dyDescent="0.25">
      <c r="A503" s="120"/>
      <c r="B503" s="34"/>
      <c r="C503" s="35"/>
      <c r="D503" s="35"/>
      <c r="E503" s="36"/>
      <c r="F503" s="36"/>
      <c r="G503" s="36"/>
      <c r="H503" s="36"/>
      <c r="I503" s="36"/>
      <c r="J503" s="36"/>
      <c r="K503" s="36"/>
    </row>
    <row r="504" spans="1:25" x14ac:dyDescent="0.25">
      <c r="A504" s="120"/>
      <c r="B504" s="19"/>
      <c r="C504" s="37"/>
      <c r="D504" s="37"/>
      <c r="E504" s="24"/>
      <c r="F504" s="24"/>
      <c r="G504" s="24"/>
      <c r="H504" s="24"/>
      <c r="I504" s="24"/>
      <c r="J504" s="24"/>
      <c r="K504" s="24"/>
    </row>
    <row r="505" spans="1:25" x14ac:dyDescent="0.25">
      <c r="A505" s="120"/>
      <c r="B505" s="19"/>
      <c r="C505" s="37"/>
      <c r="D505" s="37"/>
      <c r="E505" s="24"/>
      <c r="F505" s="24"/>
      <c r="G505" s="24"/>
      <c r="H505" s="24"/>
      <c r="I505" s="24"/>
      <c r="J505" s="24"/>
      <c r="K505" s="24"/>
    </row>
    <row r="506" spans="1:25" x14ac:dyDescent="0.25">
      <c r="A506" s="120"/>
      <c r="B506" s="19"/>
      <c r="C506" s="37"/>
      <c r="D506" s="37"/>
      <c r="E506" s="24"/>
      <c r="F506" s="24"/>
      <c r="G506" s="24"/>
      <c r="H506" s="24"/>
      <c r="I506" s="24"/>
      <c r="J506" s="24"/>
      <c r="K506" s="24"/>
    </row>
    <row r="507" spans="1:25" x14ac:dyDescent="0.25">
      <c r="B507" s="19"/>
      <c r="C507" s="37"/>
      <c r="D507" s="37"/>
      <c r="E507" s="24"/>
      <c r="F507" s="24"/>
      <c r="G507" s="24"/>
      <c r="H507" s="24"/>
      <c r="I507" s="24"/>
      <c r="J507" s="24"/>
      <c r="K507" s="24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s="12" customFormat="1" x14ac:dyDescent="0.25">
      <c r="A508" s="121"/>
      <c r="B508" s="19"/>
      <c r="C508" s="37"/>
      <c r="D508" s="37"/>
      <c r="E508" s="24"/>
      <c r="F508" s="24"/>
      <c r="G508" s="24"/>
      <c r="H508" s="24"/>
      <c r="I508" s="24"/>
      <c r="J508" s="24"/>
      <c r="K508" s="24"/>
      <c r="L508" s="49"/>
    </row>
    <row r="509" spans="1:25" s="12" customFormat="1" x14ac:dyDescent="0.25">
      <c r="A509" s="121"/>
      <c r="B509" s="32"/>
      <c r="C509" s="33"/>
      <c r="D509" s="33"/>
      <c r="E509" s="24"/>
      <c r="F509" s="24"/>
      <c r="G509" s="24"/>
      <c r="H509" s="24"/>
      <c r="I509" s="24"/>
      <c r="J509" s="24"/>
      <c r="K509" s="24"/>
      <c r="L509" s="49"/>
    </row>
    <row r="510" spans="1:25" s="12" customFormat="1" x14ac:dyDescent="0.25">
      <c r="A510" s="121"/>
      <c r="B510" s="19"/>
      <c r="C510" s="37"/>
      <c r="D510" s="37"/>
      <c r="E510" s="24"/>
      <c r="F510" s="24"/>
      <c r="G510" s="24"/>
      <c r="H510" s="24"/>
      <c r="I510" s="24"/>
      <c r="J510" s="24"/>
      <c r="K510" s="24"/>
      <c r="L510" s="49"/>
    </row>
    <row r="511" spans="1:25" s="12" customFormat="1" x14ac:dyDescent="0.25">
      <c r="A511" s="121"/>
      <c r="B511" s="19"/>
      <c r="C511" s="37"/>
      <c r="D511" s="37"/>
      <c r="E511" s="24"/>
      <c r="F511" s="24"/>
      <c r="G511" s="24"/>
      <c r="H511" s="24"/>
      <c r="I511" s="24"/>
      <c r="J511" s="24"/>
      <c r="K511" s="24"/>
      <c r="L511" s="49"/>
    </row>
    <row r="512" spans="1:25" s="12" customFormat="1" x14ac:dyDescent="0.25">
      <c r="A512" s="121"/>
      <c r="B512" s="19"/>
      <c r="C512" s="37"/>
      <c r="D512" s="37"/>
      <c r="E512" s="24"/>
      <c r="F512" s="24"/>
      <c r="G512" s="24"/>
      <c r="H512" s="24"/>
      <c r="I512" s="24"/>
      <c r="J512" s="24"/>
      <c r="K512" s="24"/>
      <c r="L512" s="49"/>
    </row>
    <row r="513" spans="1:25" s="12" customFormat="1" x14ac:dyDescent="0.25">
      <c r="A513" s="121"/>
      <c r="B513" s="19"/>
      <c r="C513" s="37"/>
      <c r="D513" s="37"/>
      <c r="E513" s="24"/>
      <c r="F513" s="24"/>
      <c r="G513" s="24"/>
      <c r="H513" s="24"/>
      <c r="I513" s="24"/>
      <c r="J513" s="24"/>
      <c r="K513" s="24"/>
      <c r="L513" s="49"/>
    </row>
    <row r="514" spans="1:25" s="12" customFormat="1" x14ac:dyDescent="0.25">
      <c r="A514" s="121"/>
      <c r="B514" s="19"/>
      <c r="C514" s="37"/>
      <c r="D514" s="37"/>
      <c r="E514" s="24"/>
      <c r="F514" s="24"/>
      <c r="G514" s="24"/>
      <c r="H514" s="24"/>
      <c r="I514" s="24"/>
      <c r="J514" s="24"/>
      <c r="K514" s="24"/>
      <c r="L514" s="49"/>
    </row>
    <row r="515" spans="1:25" s="12" customFormat="1" x14ac:dyDescent="0.25">
      <c r="A515" s="121"/>
      <c r="B515" s="19"/>
      <c r="C515" s="37"/>
      <c r="D515" s="37"/>
      <c r="E515" s="24"/>
      <c r="F515" s="24"/>
      <c r="G515" s="24"/>
      <c r="H515" s="24"/>
      <c r="I515" s="24"/>
      <c r="J515" s="24"/>
      <c r="K515" s="24"/>
      <c r="L515" s="49"/>
    </row>
    <row r="516" spans="1:25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0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8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0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8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0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8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0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8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0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8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0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8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0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8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0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8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0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8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0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8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0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8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0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8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0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8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0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8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</sheetData>
  <mergeCells count="247">
    <mergeCell ref="Y2:Y4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F2:F4"/>
    <mergeCell ref="G2:G4"/>
    <mergeCell ref="H2:H4"/>
    <mergeCell ref="I2:I4"/>
    <mergeCell ref="U2:X3"/>
    <mergeCell ref="M2:T3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1:E51"/>
    <mergeCell ref="C52:E52"/>
    <mergeCell ref="C53:E53"/>
    <mergeCell ref="C54:E54"/>
    <mergeCell ref="D55:E55"/>
    <mergeCell ref="D56:E56"/>
    <mergeCell ref="C38:E38"/>
    <mergeCell ref="C39:E39"/>
    <mergeCell ref="C40:E40"/>
    <mergeCell ref="C45:E45"/>
    <mergeCell ref="C46:E46"/>
    <mergeCell ref="C47:E47"/>
    <mergeCell ref="C77:E77"/>
    <mergeCell ref="C80:E80"/>
    <mergeCell ref="C81:E81"/>
    <mergeCell ref="C82:E82"/>
    <mergeCell ref="C83:E83"/>
    <mergeCell ref="C84:E84"/>
    <mergeCell ref="C57:E57"/>
    <mergeCell ref="C65:E65"/>
    <mergeCell ref="C71:E71"/>
    <mergeCell ref="C72:E72"/>
    <mergeCell ref="C73:E73"/>
    <mergeCell ref="C76:E76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D103:E103"/>
    <mergeCell ref="C104:E104"/>
    <mergeCell ref="C108:E108"/>
    <mergeCell ref="C109:E109"/>
    <mergeCell ref="D110:E110"/>
    <mergeCell ref="D111:E111"/>
    <mergeCell ref="D97:E97"/>
    <mergeCell ref="D98:E98"/>
    <mergeCell ref="D99:E99"/>
    <mergeCell ref="C100:E100"/>
    <mergeCell ref="C101:E101"/>
    <mergeCell ref="D102:E102"/>
    <mergeCell ref="D118:E118"/>
    <mergeCell ref="D119:E119"/>
    <mergeCell ref="C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30:E130"/>
    <mergeCell ref="C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C142:E142"/>
    <mergeCell ref="D143:E143"/>
    <mergeCell ref="D144:E144"/>
    <mergeCell ref="C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54:E154"/>
    <mergeCell ref="D155:E155"/>
    <mergeCell ref="D156:E156"/>
    <mergeCell ref="C157:E157"/>
    <mergeCell ref="C158:E158"/>
    <mergeCell ref="C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D169:E169"/>
    <mergeCell ref="D170:E170"/>
    <mergeCell ref="C171:E171"/>
    <mergeCell ref="C160:E160"/>
    <mergeCell ref="D161:E161"/>
    <mergeCell ref="D162:E162"/>
    <mergeCell ref="D163:E163"/>
    <mergeCell ref="D164:E164"/>
    <mergeCell ref="D165:E165"/>
    <mergeCell ref="C181:E181"/>
    <mergeCell ref="C183:E183"/>
    <mergeCell ref="C184:E184"/>
    <mergeCell ref="C185:E185"/>
    <mergeCell ref="C186:E186"/>
    <mergeCell ref="C187:E187"/>
    <mergeCell ref="C175:E175"/>
    <mergeCell ref="C176:E176"/>
    <mergeCell ref="C177:E177"/>
    <mergeCell ref="D178:E178"/>
    <mergeCell ref="D179:E179"/>
    <mergeCell ref="C180:E180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 011130 Önkormányzatok és önkormányzati hivatalok jogalkotó és általános igazgatási tevékenységeKiadások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734"/>
  <sheetViews>
    <sheetView view="pageLayout" topLeftCell="A35" zoomScale="73" zoomScaleNormal="76" zoomScaleSheetLayoutView="100" zoomScalePageLayoutView="73" workbookViewId="0">
      <selection activeCell="AA22" sqref="AA22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3.140625" style="12" customWidth="1"/>
    <col min="10" max="10" width="11" style="12" customWidth="1"/>
    <col min="11" max="11" width="8.85546875" style="12" customWidth="1"/>
    <col min="12" max="12" width="11.7109375" style="49" customWidth="1"/>
    <col min="13" max="13" width="10.140625" style="12" bestFit="1" customWidth="1"/>
    <col min="14" max="14" width="11" style="12" customWidth="1"/>
    <col min="15" max="15" width="13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827</v>
      </c>
    </row>
    <row r="2" spans="1:27" ht="29.25" customHeight="1" x14ac:dyDescent="0.25">
      <c r="B2" s="677" t="s">
        <v>0</v>
      </c>
      <c r="C2" s="668"/>
      <c r="D2" s="668"/>
      <c r="E2" s="668"/>
      <c r="F2" s="669" t="s">
        <v>1049</v>
      </c>
      <c r="G2" s="669" t="s">
        <v>1052</v>
      </c>
      <c r="H2" s="669" t="s">
        <v>1054</v>
      </c>
      <c r="I2" s="669" t="s">
        <v>1055</v>
      </c>
      <c r="J2" s="691" t="s">
        <v>1043</v>
      </c>
      <c r="K2" s="683"/>
      <c r="L2" s="684"/>
      <c r="M2" s="682" t="s">
        <v>1044</v>
      </c>
      <c r="N2" s="683"/>
      <c r="O2" s="684"/>
      <c r="P2" s="661" t="s">
        <v>1053</v>
      </c>
      <c r="Q2" s="668"/>
      <c r="R2" s="668"/>
      <c r="S2" s="668"/>
      <c r="T2" s="668"/>
      <c r="U2" s="668"/>
      <c r="V2" s="668"/>
      <c r="W2" s="669"/>
      <c r="X2" s="668" t="s">
        <v>1042</v>
      </c>
      <c r="Y2" s="668"/>
      <c r="Z2" s="668"/>
      <c r="AA2" s="669"/>
    </row>
    <row r="3" spans="1:27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730" t="s">
        <v>840</v>
      </c>
      <c r="N3" s="732" t="s">
        <v>843</v>
      </c>
      <c r="O3" s="733" t="s">
        <v>970</v>
      </c>
      <c r="P3" s="672"/>
      <c r="Q3" s="670"/>
      <c r="R3" s="670"/>
      <c r="S3" s="670"/>
      <c r="T3" s="670"/>
      <c r="U3" s="670"/>
      <c r="V3" s="670"/>
      <c r="W3" s="671"/>
      <c r="X3" s="670"/>
      <c r="Y3" s="670"/>
      <c r="Z3" s="670"/>
      <c r="AA3" s="671"/>
    </row>
    <row r="4" spans="1:27" ht="38.2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731"/>
      <c r="N4" s="667"/>
      <c r="O4" s="734"/>
      <c r="P4" s="122" t="s">
        <v>592</v>
      </c>
      <c r="Q4" s="63" t="s">
        <v>593</v>
      </c>
      <c r="R4" s="408" t="s">
        <v>594</v>
      </c>
      <c r="S4" s="408" t="s">
        <v>595</v>
      </c>
      <c r="T4" s="80" t="s">
        <v>596</v>
      </c>
      <c r="U4" s="408" t="s">
        <v>597</v>
      </c>
      <c r="V4" s="408" t="s">
        <v>598</v>
      </c>
      <c r="W4" s="390" t="s">
        <v>599</v>
      </c>
      <c r="X4" s="389" t="s">
        <v>600</v>
      </c>
      <c r="Y4" s="408" t="s">
        <v>601</v>
      </c>
      <c r="Z4" s="408" t="s">
        <v>602</v>
      </c>
      <c r="AA4" s="390" t="s">
        <v>603</v>
      </c>
    </row>
    <row r="5" spans="1:27" ht="15.75" thickBot="1" x14ac:dyDescent="0.3">
      <c r="B5" s="81" t="s">
        <v>118</v>
      </c>
      <c r="C5" s="698" t="s">
        <v>119</v>
      </c>
      <c r="D5" s="699"/>
      <c r="E5" s="699"/>
      <c r="F5" s="156">
        <v>1743825</v>
      </c>
      <c r="G5" s="338">
        <v>1743825</v>
      </c>
      <c r="H5" s="308">
        <v>1743826</v>
      </c>
      <c r="I5" s="506">
        <v>1730226</v>
      </c>
      <c r="J5" s="230">
        <f>J6+J20</f>
        <v>1809926</v>
      </c>
      <c r="K5" s="139">
        <f t="shared" ref="K5:AA5" si="0">K6+K20</f>
        <v>0</v>
      </c>
      <c r="L5" s="156">
        <f>SUM(J5:K5)</f>
        <v>1809926</v>
      </c>
      <c r="M5" s="82">
        <f>M6+M20</f>
        <v>0</v>
      </c>
      <c r="N5" s="83">
        <f>N6+N20</f>
        <v>0</v>
      </c>
      <c r="O5" s="83">
        <f>O6+O20</f>
        <v>1809926</v>
      </c>
      <c r="P5" s="82">
        <f t="shared" si="0"/>
        <v>112726</v>
      </c>
      <c r="Q5" s="83">
        <f t="shared" si="0"/>
        <v>116700</v>
      </c>
      <c r="R5" s="86">
        <f t="shared" si="0"/>
        <v>116700</v>
      </c>
      <c r="S5" s="86">
        <f t="shared" si="0"/>
        <v>191700</v>
      </c>
      <c r="T5" s="83">
        <f t="shared" si="0"/>
        <v>116700</v>
      </c>
      <c r="U5" s="86">
        <f t="shared" si="0"/>
        <v>116700</v>
      </c>
      <c r="V5" s="86">
        <f t="shared" si="0"/>
        <v>116700</v>
      </c>
      <c r="W5" s="87">
        <f t="shared" si="0"/>
        <v>116700</v>
      </c>
      <c r="X5" s="338">
        <f t="shared" si="0"/>
        <v>136700</v>
      </c>
      <c r="Y5" s="86">
        <f t="shared" si="0"/>
        <v>201700</v>
      </c>
      <c r="Z5" s="86">
        <f t="shared" si="0"/>
        <v>196700</v>
      </c>
      <c r="AA5" s="87">
        <f t="shared" si="0"/>
        <v>270200</v>
      </c>
    </row>
    <row r="6" spans="1:27" x14ac:dyDescent="0.25">
      <c r="B6" s="115" t="s">
        <v>608</v>
      </c>
      <c r="C6" s="653" t="s">
        <v>120</v>
      </c>
      <c r="D6" s="654"/>
      <c r="E6" s="654"/>
      <c r="F6" s="157">
        <v>1533825</v>
      </c>
      <c r="G6" s="339">
        <v>1533825</v>
      </c>
      <c r="H6" s="309">
        <v>1533826</v>
      </c>
      <c r="I6" s="507">
        <v>1520226</v>
      </c>
      <c r="J6" s="231">
        <f>J7+J8+J9+J10+J11+J12+J13+J14+J15+J16+J17+J18+J19</f>
        <v>1599926</v>
      </c>
      <c r="K6" s="140">
        <f t="shared" ref="K6:AA6" si="1">K7+K8+K9+K10+K11+K12+K13+K14+K15+K16+K17+K18+K19</f>
        <v>0</v>
      </c>
      <c r="L6" s="157">
        <f t="shared" ref="L6:L84" si="2">SUM(J6:K6)</f>
        <v>1599926</v>
      </c>
      <c r="M6" s="109">
        <f>M7+M8+M9+M10+M11+M12+M13+M14+M15+M16+M17+M18+M19</f>
        <v>0</v>
      </c>
      <c r="N6" s="110">
        <f>N7+N8+N9+N10+N11+N12+N13+N14+N15+N16+N17+N18+N19</f>
        <v>0</v>
      </c>
      <c r="O6" s="110">
        <f>O7+O8+O9+O10+O11+O12+O13+O14+O15+O16+O17+O18+O19</f>
        <v>1599926</v>
      </c>
      <c r="P6" s="109">
        <f>P7+P8+P9+P10+P11+P12+P13+P14+P15+P16+P17+P18+P19</f>
        <v>112726</v>
      </c>
      <c r="Q6" s="110">
        <f t="shared" si="1"/>
        <v>116700</v>
      </c>
      <c r="R6" s="113">
        <f t="shared" si="1"/>
        <v>116700</v>
      </c>
      <c r="S6" s="113">
        <f t="shared" si="1"/>
        <v>191700</v>
      </c>
      <c r="T6" s="110">
        <f t="shared" si="1"/>
        <v>116700</v>
      </c>
      <c r="U6" s="113">
        <f t="shared" si="1"/>
        <v>116700</v>
      </c>
      <c r="V6" s="113">
        <f t="shared" si="1"/>
        <v>116700</v>
      </c>
      <c r="W6" s="114">
        <f t="shared" si="1"/>
        <v>116700</v>
      </c>
      <c r="X6" s="339">
        <f t="shared" si="1"/>
        <v>116700</v>
      </c>
      <c r="Y6" s="113">
        <f t="shared" si="1"/>
        <v>141700</v>
      </c>
      <c r="Z6" s="113">
        <f t="shared" si="1"/>
        <v>116700</v>
      </c>
      <c r="AA6" s="114">
        <f t="shared" si="1"/>
        <v>220200</v>
      </c>
    </row>
    <row r="7" spans="1:27" s="199" customForma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1234125</v>
      </c>
      <c r="G7" s="340">
        <v>1234125</v>
      </c>
      <c r="H7" s="310">
        <v>1234126</v>
      </c>
      <c r="I7" s="508">
        <v>1234126</v>
      </c>
      <c r="J7" s="251">
        <f>SUM(P7:AA7)</f>
        <v>1234126</v>
      </c>
      <c r="K7" s="182"/>
      <c r="L7" s="183">
        <f t="shared" si="2"/>
        <v>1234126</v>
      </c>
      <c r="M7" s="191"/>
      <c r="N7" s="185"/>
      <c r="O7" s="185">
        <f>L7</f>
        <v>1234126</v>
      </c>
      <c r="P7" s="191">
        <v>95626</v>
      </c>
      <c r="Q7" s="185">
        <v>103500</v>
      </c>
      <c r="R7" s="186">
        <v>103500</v>
      </c>
      <c r="S7" s="186">
        <v>103500</v>
      </c>
      <c r="T7" s="185">
        <v>103500</v>
      </c>
      <c r="U7" s="186">
        <v>103500</v>
      </c>
      <c r="V7" s="186">
        <v>103500</v>
      </c>
      <c r="W7" s="187">
        <v>103500</v>
      </c>
      <c r="X7" s="184">
        <v>103500</v>
      </c>
      <c r="Y7" s="185">
        <v>103500</v>
      </c>
      <c r="Z7" s="185">
        <v>103500</v>
      </c>
      <c r="AA7" s="187">
        <v>103500</v>
      </c>
    </row>
    <row r="8" spans="1:27" s="199" customForma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8" si="3">SUM(P8:AA8)</f>
        <v>103500</v>
      </c>
      <c r="K8" s="182"/>
      <c r="L8" s="183">
        <f t="shared" si="2"/>
        <v>103500</v>
      </c>
      <c r="M8" s="191"/>
      <c r="N8" s="185"/>
      <c r="O8" s="185">
        <f>L8</f>
        <v>103500</v>
      </c>
      <c r="P8" s="191"/>
      <c r="Q8" s="185"/>
      <c r="R8" s="186"/>
      <c r="S8" s="186"/>
      <c r="T8" s="185"/>
      <c r="U8" s="186"/>
      <c r="V8" s="186"/>
      <c r="W8" s="187"/>
      <c r="X8" s="340"/>
      <c r="Y8" s="186"/>
      <c r="Z8" s="186"/>
      <c r="AA8" s="187">
        <v>103500</v>
      </c>
    </row>
    <row r="9" spans="1:27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5"/>
      <c r="P9" s="191"/>
      <c r="Q9" s="185"/>
      <c r="R9" s="186"/>
      <c r="S9" s="186"/>
      <c r="T9" s="185"/>
      <c r="U9" s="186"/>
      <c r="V9" s="186"/>
      <c r="W9" s="187"/>
      <c r="X9" s="340"/>
      <c r="Y9" s="186"/>
      <c r="Z9" s="186"/>
      <c r="AA9" s="187"/>
    </row>
    <row r="10" spans="1:27" s="199" customFormat="1" ht="15" hidden="1" customHeigh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5">
        <f>L10</f>
        <v>0</v>
      </c>
      <c r="P10" s="191"/>
      <c r="Q10" s="185"/>
      <c r="R10" s="186"/>
      <c r="S10" s="186"/>
      <c r="T10" s="185"/>
      <c r="U10" s="186"/>
      <c r="V10" s="186"/>
      <c r="W10" s="187"/>
      <c r="X10" s="340"/>
      <c r="Y10" s="186"/>
      <c r="Z10" s="186"/>
      <c r="AA10" s="187"/>
    </row>
    <row r="11" spans="1:27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5"/>
      <c r="P11" s="191"/>
      <c r="Q11" s="185"/>
      <c r="R11" s="186"/>
      <c r="S11" s="186"/>
      <c r="T11" s="185"/>
      <c r="U11" s="186"/>
      <c r="V11" s="186"/>
      <c r="W11" s="187"/>
      <c r="X11" s="340"/>
      <c r="Y11" s="186"/>
      <c r="Z11" s="186"/>
      <c r="AA11" s="187"/>
    </row>
    <row r="12" spans="1:27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5"/>
      <c r="P12" s="191"/>
      <c r="Q12" s="185"/>
      <c r="R12" s="186"/>
      <c r="S12" s="186"/>
      <c r="T12" s="185"/>
      <c r="U12" s="186"/>
      <c r="V12" s="186"/>
      <c r="W12" s="187"/>
      <c r="X12" s="340"/>
      <c r="Y12" s="186"/>
      <c r="Z12" s="186"/>
      <c r="AA12" s="187"/>
    </row>
    <row r="13" spans="1:27" s="199" customForma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75000</v>
      </c>
      <c r="G13" s="340">
        <v>75000</v>
      </c>
      <c r="H13" s="310">
        <v>75000</v>
      </c>
      <c r="I13" s="508">
        <v>75000</v>
      </c>
      <c r="J13" s="251">
        <f t="shared" si="3"/>
        <v>75000</v>
      </c>
      <c r="K13" s="182"/>
      <c r="L13" s="183">
        <f t="shared" si="2"/>
        <v>75000</v>
      </c>
      <c r="M13" s="191"/>
      <c r="N13" s="185"/>
      <c r="O13" s="185">
        <f>L13</f>
        <v>75000</v>
      </c>
      <c r="P13" s="191"/>
      <c r="Q13" s="185"/>
      <c r="R13" s="186"/>
      <c r="S13" s="186">
        <v>75000</v>
      </c>
      <c r="T13" s="185"/>
      <c r="U13" s="186"/>
      <c r="V13" s="186"/>
      <c r="W13" s="187"/>
      <c r="X13" s="340"/>
      <c r="Y13" s="186"/>
      <c r="Z13" s="186"/>
      <c r="AA13" s="187"/>
    </row>
    <row r="14" spans="1:27" s="199" customForma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25000</v>
      </c>
      <c r="G14" s="340">
        <v>25000</v>
      </c>
      <c r="H14" s="310">
        <v>25000</v>
      </c>
      <c r="I14" s="508">
        <v>25000</v>
      </c>
      <c r="J14" s="251">
        <f t="shared" si="3"/>
        <v>25000</v>
      </c>
      <c r="K14" s="182"/>
      <c r="L14" s="183">
        <f t="shared" si="2"/>
        <v>25000</v>
      </c>
      <c r="M14" s="191"/>
      <c r="N14" s="185"/>
      <c r="O14" s="185">
        <f>L14</f>
        <v>25000</v>
      </c>
      <c r="P14" s="191"/>
      <c r="Q14" s="185"/>
      <c r="R14" s="186"/>
      <c r="S14" s="186"/>
      <c r="T14" s="185"/>
      <c r="U14" s="186"/>
      <c r="V14" s="186"/>
      <c r="W14" s="187"/>
      <c r="X14" s="340"/>
      <c r="Y14" s="186">
        <v>25000</v>
      </c>
      <c r="Z14" s="186"/>
      <c r="AA14" s="187"/>
    </row>
    <row r="15" spans="1:27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5"/>
      <c r="P15" s="191"/>
      <c r="Q15" s="185"/>
      <c r="R15" s="186"/>
      <c r="S15" s="186"/>
      <c r="T15" s="185"/>
      <c r="U15" s="186"/>
      <c r="V15" s="186"/>
      <c r="W15" s="187"/>
      <c r="X15" s="340"/>
      <c r="Y15" s="186"/>
      <c r="Z15" s="186"/>
      <c r="AA15" s="187"/>
    </row>
    <row r="16" spans="1:27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5"/>
      <c r="P16" s="191"/>
      <c r="Q16" s="185"/>
      <c r="R16" s="186"/>
      <c r="S16" s="186"/>
      <c r="T16" s="185"/>
      <c r="U16" s="186"/>
      <c r="V16" s="186"/>
      <c r="W16" s="187"/>
      <c r="X16" s="340"/>
      <c r="Y16" s="186"/>
      <c r="Z16" s="186"/>
      <c r="AA16" s="187"/>
    </row>
    <row r="17" spans="1:27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5"/>
      <c r="P17" s="191"/>
      <c r="Q17" s="185"/>
      <c r="R17" s="186"/>
      <c r="S17" s="186"/>
      <c r="T17" s="185"/>
      <c r="U17" s="186"/>
      <c r="V17" s="186"/>
      <c r="W17" s="187"/>
      <c r="X17" s="340"/>
      <c r="Y17" s="186"/>
      <c r="Z17" s="186"/>
      <c r="AA17" s="187"/>
    </row>
    <row r="18" spans="1:27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5"/>
      <c r="P18" s="191"/>
      <c r="Q18" s="185"/>
      <c r="R18" s="186"/>
      <c r="S18" s="186"/>
      <c r="T18" s="185"/>
      <c r="U18" s="186"/>
      <c r="V18" s="186"/>
      <c r="W18" s="187"/>
      <c r="X18" s="340"/>
      <c r="Y18" s="186"/>
      <c r="Z18" s="186"/>
      <c r="AA18" s="187"/>
    </row>
    <row r="19" spans="1:27" s="199" customForma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199700</v>
      </c>
      <c r="G19" s="340">
        <v>199700</v>
      </c>
      <c r="H19" s="310">
        <v>199700</v>
      </c>
      <c r="I19" s="508">
        <v>186100</v>
      </c>
      <c r="J19" s="251">
        <f>SUM(P19:AA19)</f>
        <v>162300</v>
      </c>
      <c r="K19" s="182"/>
      <c r="L19" s="183">
        <f t="shared" si="2"/>
        <v>162300</v>
      </c>
      <c r="M19" s="191"/>
      <c r="N19" s="185"/>
      <c r="O19" s="185">
        <f>L19</f>
        <v>162300</v>
      </c>
      <c r="P19" s="191">
        <v>17100</v>
      </c>
      <c r="Q19" s="185">
        <v>13200</v>
      </c>
      <c r="R19" s="186">
        <v>13200</v>
      </c>
      <c r="S19" s="186">
        <v>13200</v>
      </c>
      <c r="T19" s="185">
        <v>13200</v>
      </c>
      <c r="U19" s="186">
        <v>13200</v>
      </c>
      <c r="V19" s="186">
        <v>13200</v>
      </c>
      <c r="W19" s="187">
        <v>13200</v>
      </c>
      <c r="X19" s="184">
        <v>13200</v>
      </c>
      <c r="Y19" s="185">
        <v>13200</v>
      </c>
      <c r="Z19" s="185">
        <v>13200</v>
      </c>
      <c r="AA19" s="187">
        <v>13200</v>
      </c>
    </row>
    <row r="20" spans="1:27" x14ac:dyDescent="0.25">
      <c r="B20" s="88" t="s">
        <v>622</v>
      </c>
      <c r="C20" s="640" t="s">
        <v>146</v>
      </c>
      <c r="D20" s="641"/>
      <c r="E20" s="641"/>
      <c r="F20" s="158">
        <v>210000</v>
      </c>
      <c r="G20" s="341">
        <v>210000</v>
      </c>
      <c r="H20" s="311">
        <v>210000</v>
      </c>
      <c r="I20" s="509">
        <v>210000</v>
      </c>
      <c r="J20" s="233">
        <f>J21+J22+J23</f>
        <v>210000</v>
      </c>
      <c r="K20" s="142">
        <f t="shared" ref="K20:AA20" si="4">K21+K22+K23</f>
        <v>0</v>
      </c>
      <c r="L20" s="158">
        <f t="shared" si="2"/>
        <v>210000</v>
      </c>
      <c r="M20" s="90">
        <f>M21+M22+M23</f>
        <v>0</v>
      </c>
      <c r="N20" s="91">
        <f>N21+N22+N23</f>
        <v>0</v>
      </c>
      <c r="O20" s="91">
        <f>O21+O22+O23</f>
        <v>210000</v>
      </c>
      <c r="P20" s="90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1">
        <f t="shared" si="4"/>
        <v>0</v>
      </c>
      <c r="U20" s="94">
        <f t="shared" si="4"/>
        <v>0</v>
      </c>
      <c r="V20" s="94">
        <f t="shared" si="4"/>
        <v>0</v>
      </c>
      <c r="W20" s="95">
        <f t="shared" si="4"/>
        <v>0</v>
      </c>
      <c r="X20" s="341">
        <f t="shared" si="4"/>
        <v>20000</v>
      </c>
      <c r="Y20" s="94">
        <f t="shared" si="4"/>
        <v>60000</v>
      </c>
      <c r="Z20" s="94">
        <f t="shared" si="4"/>
        <v>80000</v>
      </c>
      <c r="AA20" s="95">
        <f t="shared" si="4"/>
        <v>50000</v>
      </c>
    </row>
    <row r="21" spans="1:27" s="41" customFormat="1" ht="15" hidden="1" customHeigh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2"/>
        <v>0</v>
      </c>
      <c r="M21" s="74"/>
      <c r="N21" s="13"/>
      <c r="O21" s="13"/>
      <c r="P21" s="74"/>
      <c r="Q21" s="13"/>
      <c r="R21" s="79"/>
      <c r="S21" s="79"/>
      <c r="T21" s="13"/>
      <c r="U21" s="79"/>
      <c r="V21" s="79"/>
      <c r="W21" s="45"/>
      <c r="X21" s="342"/>
      <c r="Y21" s="79"/>
      <c r="Z21" s="79"/>
      <c r="AA21" s="45"/>
    </row>
    <row r="22" spans="1:27" s="41" customFormat="1" ht="28.5" customHeight="1" thickBot="1" x14ac:dyDescent="0.3">
      <c r="A22" s="118" t="s">
        <v>149</v>
      </c>
      <c r="B22" s="53" t="s">
        <v>624</v>
      </c>
      <c r="C22" s="644" t="s">
        <v>875</v>
      </c>
      <c r="D22" s="645"/>
      <c r="E22" s="645"/>
      <c r="F22" s="160">
        <v>210000</v>
      </c>
      <c r="G22" s="342">
        <v>210000</v>
      </c>
      <c r="H22" s="312">
        <v>210000</v>
      </c>
      <c r="I22" s="510">
        <v>210000</v>
      </c>
      <c r="J22" s="239">
        <f>SUM(P22:AA22)</f>
        <v>210000</v>
      </c>
      <c r="K22" s="148"/>
      <c r="L22" s="160">
        <f t="shared" si="2"/>
        <v>210000</v>
      </c>
      <c r="M22" s="74"/>
      <c r="N22" s="13"/>
      <c r="O22" s="13">
        <f>L22</f>
        <v>210000</v>
      </c>
      <c r="P22" s="74"/>
      <c r="Q22" s="13"/>
      <c r="R22" s="79"/>
      <c r="S22" s="79"/>
      <c r="T22" s="13"/>
      <c r="U22" s="79"/>
      <c r="V22" s="79"/>
      <c r="W22" s="45"/>
      <c r="X22" s="43">
        <v>20000</v>
      </c>
      <c r="Y22" s="13">
        <v>60000</v>
      </c>
      <c r="Z22" s="13">
        <v>80000</v>
      </c>
      <c r="AA22" s="45">
        <v>50000</v>
      </c>
    </row>
    <row r="23" spans="1:27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2"/>
        <v>0</v>
      </c>
      <c r="M23" s="74"/>
      <c r="N23" s="13"/>
      <c r="O23" s="13"/>
      <c r="P23" s="74"/>
      <c r="Q23" s="13"/>
      <c r="R23" s="79"/>
      <c r="S23" s="79"/>
      <c r="T23" s="13"/>
      <c r="U23" s="79"/>
      <c r="V23" s="79"/>
      <c r="W23" s="45"/>
      <c r="X23" s="342"/>
      <c r="Y23" s="79"/>
      <c r="Z23" s="79"/>
      <c r="AA23" s="45"/>
    </row>
    <row r="24" spans="1:27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332414</v>
      </c>
      <c r="G24" s="338">
        <v>332414</v>
      </c>
      <c r="H24" s="308">
        <v>327550.21999999997</v>
      </c>
      <c r="I24" s="506">
        <v>327550.21999999997</v>
      </c>
      <c r="J24" s="235">
        <f>J25+J26+J27+J28+J29+J30+J31</f>
        <v>355318.22</v>
      </c>
      <c r="K24" s="144">
        <f t="shared" ref="K24:AA24" si="5">K25+K26+K27+K28+K29+K30+K31</f>
        <v>0</v>
      </c>
      <c r="L24" s="156">
        <f t="shared" si="2"/>
        <v>355318.22</v>
      </c>
      <c r="M24" s="82">
        <f>M25+M26+M27+M28+M29+M30+M31</f>
        <v>0</v>
      </c>
      <c r="N24" s="83">
        <f>N25+N26+N27+N28+N29+N30+N31</f>
        <v>0</v>
      </c>
      <c r="O24" s="83">
        <f>O25+O26+O27+O28+O29+O30+O31</f>
        <v>355318.22</v>
      </c>
      <c r="P24" s="82">
        <f t="shared" si="5"/>
        <v>24799.72</v>
      </c>
      <c r="Q24" s="83">
        <f t="shared" si="5"/>
        <v>22756.5</v>
      </c>
      <c r="R24" s="86">
        <f t="shared" si="5"/>
        <v>22756.5</v>
      </c>
      <c r="S24" s="86">
        <f t="shared" si="5"/>
        <v>48421.5</v>
      </c>
      <c r="T24" s="83">
        <f t="shared" si="5"/>
        <v>22756.5</v>
      </c>
      <c r="U24" s="86">
        <f t="shared" si="5"/>
        <v>22756.5</v>
      </c>
      <c r="V24" s="86">
        <f t="shared" si="5"/>
        <v>22756.5</v>
      </c>
      <c r="W24" s="87">
        <f t="shared" si="5"/>
        <v>22757</v>
      </c>
      <c r="X24" s="338">
        <f t="shared" si="5"/>
        <v>31312.5</v>
      </c>
      <c r="Y24" s="86">
        <f>Y25+Y26+Y27+Y28+Y29+Y30+Y31</f>
        <v>48549.5</v>
      </c>
      <c r="Z24" s="86">
        <f t="shared" si="5"/>
        <v>22756.5</v>
      </c>
      <c r="AA24" s="87">
        <f t="shared" si="5"/>
        <v>42939</v>
      </c>
    </row>
    <row r="25" spans="1:27" x14ac:dyDescent="0.25">
      <c r="B25" s="59"/>
      <c r="C25" s="700" t="s">
        <v>154</v>
      </c>
      <c r="D25" s="701"/>
      <c r="E25" s="701"/>
      <c r="F25" s="159">
        <v>282414</v>
      </c>
      <c r="G25" s="468">
        <v>282414</v>
      </c>
      <c r="H25" s="316">
        <v>282414.21999999997</v>
      </c>
      <c r="I25" s="512">
        <v>282414.21999999997</v>
      </c>
      <c r="J25" s="236">
        <f>SUM(P25:AA25)</f>
        <v>310182.21999999997</v>
      </c>
      <c r="K25" s="145"/>
      <c r="L25" s="159">
        <f t="shared" si="2"/>
        <v>310182.21999999997</v>
      </c>
      <c r="M25" s="72"/>
      <c r="N25" s="1"/>
      <c r="O25" s="78">
        <f>L25</f>
        <v>310182.21999999997</v>
      </c>
      <c r="P25" s="427">
        <f>(P7+P19)*0.22</f>
        <v>24799.72</v>
      </c>
      <c r="Q25" s="1">
        <f>(Q7+Q19)*0.195</f>
        <v>22756.5</v>
      </c>
      <c r="R25" s="78">
        <f t="shared" ref="R25:Z25" si="6">(R7+R19)*0.195</f>
        <v>22756.5</v>
      </c>
      <c r="S25" s="78">
        <f>(S7+S19)*0.195</f>
        <v>22756.5</v>
      </c>
      <c r="T25" s="1">
        <f t="shared" si="6"/>
        <v>22756.5</v>
      </c>
      <c r="U25" s="78">
        <f t="shared" si="6"/>
        <v>22756.5</v>
      </c>
      <c r="V25" s="78">
        <f t="shared" si="6"/>
        <v>22756.5</v>
      </c>
      <c r="W25" s="44">
        <v>22757</v>
      </c>
      <c r="X25" s="42">
        <f t="shared" si="6"/>
        <v>22756.5</v>
      </c>
      <c r="Y25" s="1">
        <f>(Y7+Y19)*0.195+7292+7586</f>
        <v>37634.5</v>
      </c>
      <c r="Z25" s="1">
        <f t="shared" si="6"/>
        <v>22756.5</v>
      </c>
      <c r="AA25" s="495">
        <f>(AA7+AA19+AA8)*0.195</f>
        <v>42939</v>
      </c>
    </row>
    <row r="26" spans="1:27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ref="J26:J31" si="7">SUM(P26:AA26)</f>
        <v>0</v>
      </c>
      <c r="K26" s="146"/>
      <c r="L26" s="159">
        <f t="shared" si="2"/>
        <v>0</v>
      </c>
      <c r="M26" s="72"/>
      <c r="N26" s="1"/>
      <c r="O26" s="1"/>
      <c r="P26" s="72"/>
      <c r="Q26" s="1"/>
      <c r="R26" s="78"/>
      <c r="S26" s="78"/>
      <c r="T26" s="1"/>
      <c r="U26" s="78"/>
      <c r="V26" s="78"/>
      <c r="W26" s="44"/>
      <c r="X26" s="343"/>
      <c r="Y26" s="78"/>
      <c r="Z26" s="78"/>
      <c r="AA26" s="44"/>
    </row>
    <row r="27" spans="1:27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7"/>
        <v>0</v>
      </c>
      <c r="K27" s="146"/>
      <c r="L27" s="159">
        <f t="shared" si="2"/>
        <v>0</v>
      </c>
      <c r="M27" s="72"/>
      <c r="N27" s="1"/>
      <c r="O27" s="1"/>
      <c r="P27" s="72"/>
      <c r="Q27" s="1"/>
      <c r="R27" s="78"/>
      <c r="S27" s="78"/>
      <c r="T27" s="1"/>
      <c r="U27" s="78"/>
      <c r="V27" s="78"/>
      <c r="W27" s="44"/>
      <c r="X27" s="343"/>
      <c r="Y27" s="78"/>
      <c r="Z27" s="78"/>
      <c r="AA27" s="44"/>
    </row>
    <row r="28" spans="1:27" x14ac:dyDescent="0.25">
      <c r="B28" s="60"/>
      <c r="C28" s="702" t="s">
        <v>157</v>
      </c>
      <c r="D28" s="703"/>
      <c r="E28" s="703"/>
      <c r="F28" s="159">
        <v>25000</v>
      </c>
      <c r="G28" s="343">
        <v>25000</v>
      </c>
      <c r="H28" s="313">
        <v>23011</v>
      </c>
      <c r="I28" s="513">
        <v>23011</v>
      </c>
      <c r="J28" s="237">
        <f t="shared" si="7"/>
        <v>23011</v>
      </c>
      <c r="K28" s="146"/>
      <c r="L28" s="159">
        <f t="shared" si="2"/>
        <v>23011</v>
      </c>
      <c r="M28" s="72"/>
      <c r="N28" s="1"/>
      <c r="O28" s="1">
        <f>L28</f>
        <v>23011</v>
      </c>
      <c r="P28" s="72"/>
      <c r="Q28" s="1"/>
      <c r="R28" s="78"/>
      <c r="S28" s="78">
        <v>12390</v>
      </c>
      <c r="T28" s="1"/>
      <c r="U28" s="78"/>
      <c r="V28" s="78"/>
      <c r="W28" s="44"/>
      <c r="X28" s="343">
        <v>4131</v>
      </c>
      <c r="Y28" s="78">
        <v>6490</v>
      </c>
      <c r="Z28" s="78"/>
      <c r="AA28" s="44"/>
    </row>
    <row r="29" spans="1:27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7"/>
        <v>0</v>
      </c>
      <c r="K29" s="146"/>
      <c r="L29" s="159">
        <f t="shared" si="2"/>
        <v>0</v>
      </c>
      <c r="M29" s="72"/>
      <c r="N29" s="1"/>
      <c r="O29" s="1"/>
      <c r="P29" s="72"/>
      <c r="Q29" s="1"/>
      <c r="R29" s="78"/>
      <c r="S29" s="78"/>
      <c r="T29" s="1"/>
      <c r="U29" s="78"/>
      <c r="V29" s="78"/>
      <c r="W29" s="44"/>
      <c r="X29" s="343"/>
      <c r="Y29" s="78"/>
      <c r="Z29" s="78"/>
      <c r="AA29" s="44"/>
    </row>
    <row r="30" spans="1:27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7"/>
        <v>0</v>
      </c>
      <c r="K30" s="146"/>
      <c r="L30" s="159">
        <f t="shared" si="2"/>
        <v>0</v>
      </c>
      <c r="M30" s="72"/>
      <c r="N30" s="1"/>
      <c r="O30" s="1"/>
      <c r="P30" s="72"/>
      <c r="Q30" s="1"/>
      <c r="R30" s="78"/>
      <c r="S30" s="78"/>
      <c r="T30" s="1"/>
      <c r="U30" s="78"/>
      <c r="V30" s="78"/>
      <c r="W30" s="44"/>
      <c r="X30" s="343"/>
      <c r="Y30" s="78"/>
      <c r="Z30" s="78"/>
      <c r="AA30" s="44"/>
    </row>
    <row r="31" spans="1:27" ht="15.75" thickBot="1" x14ac:dyDescent="0.3">
      <c r="B31" s="61"/>
      <c r="C31" s="704" t="s">
        <v>160</v>
      </c>
      <c r="D31" s="705"/>
      <c r="E31" s="705"/>
      <c r="F31" s="159">
        <v>25000</v>
      </c>
      <c r="G31" s="467">
        <v>25000</v>
      </c>
      <c r="H31" s="486">
        <v>22125</v>
      </c>
      <c r="I31" s="514">
        <v>22125</v>
      </c>
      <c r="J31" s="238">
        <f t="shared" si="7"/>
        <v>22125</v>
      </c>
      <c r="K31" s="147"/>
      <c r="L31" s="159">
        <f t="shared" si="2"/>
        <v>22125</v>
      </c>
      <c r="M31" s="72"/>
      <c r="N31" s="1"/>
      <c r="O31" s="1">
        <f>L31</f>
        <v>22125</v>
      </c>
      <c r="P31" s="72"/>
      <c r="Q31" s="1"/>
      <c r="R31" s="78"/>
      <c r="S31" s="78">
        <v>13275</v>
      </c>
      <c r="T31" s="1"/>
      <c r="U31" s="78"/>
      <c r="V31" s="78"/>
      <c r="W31" s="44"/>
      <c r="X31" s="343">
        <v>4425</v>
      </c>
      <c r="Y31" s="78">
        <v>4425</v>
      </c>
      <c r="Z31" s="78"/>
      <c r="AA31" s="44"/>
    </row>
    <row r="32" spans="1:27" ht="15.75" thickBot="1" x14ac:dyDescent="0.3">
      <c r="B32" s="81" t="s">
        <v>161</v>
      </c>
      <c r="C32" s="648" t="s">
        <v>162</v>
      </c>
      <c r="D32" s="649"/>
      <c r="E32" s="649"/>
      <c r="F32" s="156">
        <v>1652443.12</v>
      </c>
      <c r="G32" s="338">
        <v>1652443.12</v>
      </c>
      <c r="H32" s="308">
        <v>1648722.12</v>
      </c>
      <c r="I32" s="506">
        <v>1662211.12</v>
      </c>
      <c r="J32" s="235">
        <f>J33+J39+J42+J60+J63</f>
        <v>1680342.12</v>
      </c>
      <c r="K32" s="144">
        <f t="shared" ref="K32:AA32" si="8">K33+K39+K42+K60+K63</f>
        <v>0</v>
      </c>
      <c r="L32" s="156">
        <f t="shared" si="2"/>
        <v>1680342.12</v>
      </c>
      <c r="M32" s="82">
        <f>M33+M39+M42+M60+M63</f>
        <v>374156.12</v>
      </c>
      <c r="N32" s="83">
        <f>N33+N39+N42+N60+N63</f>
        <v>937170</v>
      </c>
      <c r="O32" s="83">
        <f>O33+O39+O42+O60+O63</f>
        <v>369016</v>
      </c>
      <c r="P32" s="82">
        <f t="shared" si="8"/>
        <v>96774</v>
      </c>
      <c r="Q32" s="83">
        <f t="shared" si="8"/>
        <v>61032</v>
      </c>
      <c r="R32" s="86">
        <f t="shared" si="8"/>
        <v>80340.12</v>
      </c>
      <c r="S32" s="86">
        <f t="shared" si="8"/>
        <v>120322</v>
      </c>
      <c r="T32" s="83">
        <f t="shared" si="8"/>
        <v>95611</v>
      </c>
      <c r="U32" s="86">
        <f t="shared" si="8"/>
        <v>349965</v>
      </c>
      <c r="V32" s="86">
        <f t="shared" si="8"/>
        <v>111896</v>
      </c>
      <c r="W32" s="87">
        <f t="shared" si="8"/>
        <v>114885</v>
      </c>
      <c r="X32" s="338">
        <f t="shared" si="8"/>
        <v>167028</v>
      </c>
      <c r="Y32" s="86">
        <f t="shared" si="8"/>
        <v>172072</v>
      </c>
      <c r="Z32" s="86">
        <f t="shared" si="8"/>
        <v>185735</v>
      </c>
      <c r="AA32" s="87">
        <f t="shared" si="8"/>
        <v>124682</v>
      </c>
    </row>
    <row r="33" spans="1:27" x14ac:dyDescent="0.25">
      <c r="B33" s="115" t="s">
        <v>626</v>
      </c>
      <c r="C33" s="653" t="s">
        <v>163</v>
      </c>
      <c r="D33" s="654"/>
      <c r="E33" s="654"/>
      <c r="F33" s="157">
        <v>200000</v>
      </c>
      <c r="G33" s="339">
        <v>200000</v>
      </c>
      <c r="H33" s="309">
        <v>200000</v>
      </c>
      <c r="I33" s="507">
        <v>200000</v>
      </c>
      <c r="J33" s="231">
        <f>J34+J35+J38</f>
        <v>200000</v>
      </c>
      <c r="K33" s="140">
        <f t="shared" ref="K33:AA33" si="9">K34+K35+K38</f>
        <v>0</v>
      </c>
      <c r="L33" s="157">
        <f t="shared" si="2"/>
        <v>200000</v>
      </c>
      <c r="M33" s="109">
        <f>M34+M35+M38</f>
        <v>0</v>
      </c>
      <c r="N33" s="110">
        <f>N34+N35+N38</f>
        <v>0</v>
      </c>
      <c r="O33" s="110">
        <f>O34+O35+O38</f>
        <v>200000</v>
      </c>
      <c r="P33" s="109">
        <f t="shared" si="9"/>
        <v>0</v>
      </c>
      <c r="Q33" s="110">
        <f t="shared" si="9"/>
        <v>0</v>
      </c>
      <c r="R33" s="113">
        <f t="shared" si="9"/>
        <v>0</v>
      </c>
      <c r="S33" s="113">
        <f t="shared" si="9"/>
        <v>17039</v>
      </c>
      <c r="T33" s="110">
        <f t="shared" si="9"/>
        <v>22064</v>
      </c>
      <c r="U33" s="113">
        <f t="shared" si="9"/>
        <v>27812</v>
      </c>
      <c r="V33" s="113">
        <f t="shared" si="9"/>
        <v>20713</v>
      </c>
      <c r="W33" s="114">
        <f t="shared" si="9"/>
        <v>13250</v>
      </c>
      <c r="X33" s="339">
        <f t="shared" si="9"/>
        <v>31158</v>
      </c>
      <c r="Y33" s="113">
        <f t="shared" si="9"/>
        <v>21692</v>
      </c>
      <c r="Z33" s="113">
        <f t="shared" si="9"/>
        <v>36657</v>
      </c>
      <c r="AA33" s="114">
        <f t="shared" si="9"/>
        <v>9615</v>
      </c>
    </row>
    <row r="34" spans="1:27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2"/>
        <v>0</v>
      </c>
      <c r="M34" s="74"/>
      <c r="N34" s="13"/>
      <c r="O34" s="13"/>
      <c r="P34" s="74"/>
      <c r="Q34" s="13"/>
      <c r="R34" s="79"/>
      <c r="S34" s="79"/>
      <c r="T34" s="13"/>
      <c r="U34" s="79"/>
      <c r="V34" s="79"/>
      <c r="W34" s="45"/>
      <c r="X34" s="342"/>
      <c r="Y34" s="79"/>
      <c r="Z34" s="79"/>
      <c r="AA34" s="45"/>
    </row>
    <row r="35" spans="1:27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200000</v>
      </c>
      <c r="G35" s="342">
        <v>200000</v>
      </c>
      <c r="H35" s="312">
        <v>200000</v>
      </c>
      <c r="I35" s="510">
        <v>200000</v>
      </c>
      <c r="J35" s="239">
        <f>SUM(J36:J37)</f>
        <v>200000</v>
      </c>
      <c r="K35" s="148">
        <f>SUM(K36:K37)</f>
        <v>0</v>
      </c>
      <c r="L35" s="160">
        <f t="shared" si="2"/>
        <v>200000</v>
      </c>
      <c r="M35" s="74">
        <f>SUM(M36:M37)</f>
        <v>0</v>
      </c>
      <c r="N35" s="13">
        <f t="shared" ref="N35:AA35" si="10">SUM(N36:N37)</f>
        <v>0</v>
      </c>
      <c r="O35" s="13">
        <f>SUM(O36:O37)</f>
        <v>200000</v>
      </c>
      <c r="P35" s="74">
        <f t="shared" si="10"/>
        <v>0</v>
      </c>
      <c r="Q35" s="13">
        <f t="shared" si="10"/>
        <v>0</v>
      </c>
      <c r="R35" s="79">
        <f t="shared" si="10"/>
        <v>0</v>
      </c>
      <c r="S35" s="79">
        <f t="shared" si="10"/>
        <v>17039</v>
      </c>
      <c r="T35" s="13">
        <f t="shared" si="10"/>
        <v>22064</v>
      </c>
      <c r="U35" s="79">
        <f t="shared" si="10"/>
        <v>27812</v>
      </c>
      <c r="V35" s="79">
        <f t="shared" si="10"/>
        <v>20713</v>
      </c>
      <c r="W35" s="45">
        <f t="shared" si="10"/>
        <v>13250</v>
      </c>
      <c r="X35" s="342">
        <f t="shared" si="10"/>
        <v>31158</v>
      </c>
      <c r="Y35" s="79">
        <f t="shared" si="10"/>
        <v>21692</v>
      </c>
      <c r="Z35" s="79">
        <f t="shared" si="10"/>
        <v>36657</v>
      </c>
      <c r="AA35" s="45">
        <f t="shared" si="10"/>
        <v>9615</v>
      </c>
    </row>
    <row r="36" spans="1:27" x14ac:dyDescent="0.25">
      <c r="B36" s="54"/>
      <c r="C36" s="281"/>
      <c r="D36" s="225" t="s">
        <v>840</v>
      </c>
      <c r="E36" s="225"/>
      <c r="F36" s="159">
        <v>0</v>
      </c>
      <c r="G36" s="343">
        <v>0</v>
      </c>
      <c r="H36" s="313">
        <v>0</v>
      </c>
      <c r="I36" s="513">
        <v>0</v>
      </c>
      <c r="J36" s="232">
        <f>SUM(P36:AA36)</f>
        <v>0</v>
      </c>
      <c r="K36" s="141"/>
      <c r="L36" s="159">
        <f>SUM(J36:K36)</f>
        <v>0</v>
      </c>
      <c r="M36" s="72">
        <f>L36</f>
        <v>0</v>
      </c>
      <c r="N36" s="1"/>
      <c r="O36" s="1"/>
      <c r="P36" s="72"/>
      <c r="Q36" s="1"/>
      <c r="R36" s="78"/>
      <c r="S36" s="78"/>
      <c r="T36" s="1"/>
      <c r="U36" s="78"/>
      <c r="V36" s="78"/>
      <c r="W36" s="44"/>
      <c r="X36" s="343"/>
      <c r="Y36" s="78"/>
      <c r="Z36" s="78"/>
      <c r="AA36" s="44"/>
    </row>
    <row r="37" spans="1:27" x14ac:dyDescent="0.25">
      <c r="B37" s="54"/>
      <c r="C37" s="281"/>
      <c r="D37" s="225" t="s">
        <v>990</v>
      </c>
      <c r="E37" s="225"/>
      <c r="F37" s="159">
        <v>200000</v>
      </c>
      <c r="G37" s="343">
        <v>200000</v>
      </c>
      <c r="H37" s="313">
        <v>200000</v>
      </c>
      <c r="I37" s="513">
        <v>200000</v>
      </c>
      <c r="J37" s="232">
        <f>SUM(P37:AA37)</f>
        <v>200000</v>
      </c>
      <c r="K37" s="141"/>
      <c r="L37" s="159">
        <f>SUM(J37:K37)</f>
        <v>200000</v>
      </c>
      <c r="M37" s="72"/>
      <c r="N37" s="1"/>
      <c r="O37" s="1">
        <f>L37</f>
        <v>200000</v>
      </c>
      <c r="P37" s="72"/>
      <c r="Q37" s="1"/>
      <c r="R37" s="78"/>
      <c r="S37" s="78">
        <v>17039</v>
      </c>
      <c r="T37" s="1">
        <v>22064</v>
      </c>
      <c r="U37" s="78">
        <v>27812</v>
      </c>
      <c r="V37" s="78">
        <f>35620-14907</f>
        <v>20713</v>
      </c>
      <c r="W37" s="44">
        <v>13250</v>
      </c>
      <c r="X37" s="343">
        <f>16251+14907</f>
        <v>31158</v>
      </c>
      <c r="Y37" s="78">
        <v>21692</v>
      </c>
      <c r="Z37" s="78">
        <f>49301-18691+6047</f>
        <v>36657</v>
      </c>
      <c r="AA37" s="44">
        <v>9615</v>
      </c>
    </row>
    <row r="38" spans="1:27" s="41" customFormat="1" ht="15" hidden="1" customHeight="1" x14ac:dyDescent="0.25">
      <c r="A38" s="118" t="s">
        <v>168</v>
      </c>
      <c r="B38" s="53" t="s">
        <v>629</v>
      </c>
      <c r="C38" s="642" t="s">
        <v>169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2"/>
        <v>0</v>
      </c>
      <c r="M38" s="74"/>
      <c r="N38" s="13"/>
      <c r="O38" s="13"/>
      <c r="P38" s="74"/>
      <c r="Q38" s="13"/>
      <c r="R38" s="79"/>
      <c r="S38" s="79"/>
      <c r="T38" s="13"/>
      <c r="U38" s="79"/>
      <c r="V38" s="79"/>
      <c r="W38" s="45"/>
      <c r="X38" s="342"/>
      <c r="Y38" s="79"/>
      <c r="Z38" s="79"/>
      <c r="AA38" s="45"/>
    </row>
    <row r="39" spans="1:27" ht="15" hidden="1" customHeight="1" x14ac:dyDescent="0.25">
      <c r="B39" s="88" t="s">
        <v>630</v>
      </c>
      <c r="C39" s="640" t="s">
        <v>170</v>
      </c>
      <c r="D39" s="641"/>
      <c r="E39" s="641"/>
      <c r="F39" s="158">
        <v>0</v>
      </c>
      <c r="G39" s="341">
        <v>0</v>
      </c>
      <c r="H39" s="311">
        <v>0</v>
      </c>
      <c r="I39" s="509">
        <v>0</v>
      </c>
      <c r="J39" s="233">
        <f>J40+J41</f>
        <v>0</v>
      </c>
      <c r="K39" s="142">
        <f t="shared" ref="K39:AA39" si="11">K40+K41</f>
        <v>0</v>
      </c>
      <c r="L39" s="158">
        <f t="shared" si="2"/>
        <v>0</v>
      </c>
      <c r="M39" s="90">
        <f>M40+M41</f>
        <v>0</v>
      </c>
      <c r="N39" s="91">
        <f>N40+N41</f>
        <v>0</v>
      </c>
      <c r="O39" s="91">
        <f>O40+O41</f>
        <v>0</v>
      </c>
      <c r="P39" s="90">
        <f t="shared" si="11"/>
        <v>0</v>
      </c>
      <c r="Q39" s="91">
        <f t="shared" si="11"/>
        <v>0</v>
      </c>
      <c r="R39" s="94">
        <f t="shared" si="11"/>
        <v>0</v>
      </c>
      <c r="S39" s="94">
        <f t="shared" si="11"/>
        <v>0</v>
      </c>
      <c r="T39" s="91">
        <f t="shared" si="11"/>
        <v>0</v>
      </c>
      <c r="U39" s="94">
        <f t="shared" si="11"/>
        <v>0</v>
      </c>
      <c r="V39" s="94">
        <f t="shared" si="11"/>
        <v>0</v>
      </c>
      <c r="W39" s="261">
        <f t="shared" si="11"/>
        <v>0</v>
      </c>
      <c r="X39" s="346">
        <f t="shared" si="11"/>
        <v>0</v>
      </c>
      <c r="Y39" s="94">
        <f t="shared" si="11"/>
        <v>0</v>
      </c>
      <c r="Z39" s="94">
        <f t="shared" si="11"/>
        <v>0</v>
      </c>
      <c r="AA39" s="95">
        <f t="shared" si="11"/>
        <v>0</v>
      </c>
    </row>
    <row r="40" spans="1:27" s="41" customFormat="1" ht="15" hidden="1" customHeight="1" x14ac:dyDescent="0.25">
      <c r="A40" s="118" t="s">
        <v>171</v>
      </c>
      <c r="B40" s="53" t="s">
        <v>631</v>
      </c>
      <c r="C40" s="642" t="s">
        <v>172</v>
      </c>
      <c r="D40" s="643"/>
      <c r="E40" s="643"/>
      <c r="F40" s="160">
        <v>0</v>
      </c>
      <c r="G40" s="342">
        <v>0</v>
      </c>
      <c r="H40" s="312">
        <v>0</v>
      </c>
      <c r="I40" s="510">
        <v>0</v>
      </c>
      <c r="J40" s="239">
        <f>SUM(P40:AA40)</f>
        <v>0</v>
      </c>
      <c r="K40" s="148"/>
      <c r="L40" s="160">
        <f t="shared" si="2"/>
        <v>0</v>
      </c>
      <c r="M40" s="74"/>
      <c r="N40" s="13"/>
      <c r="O40" s="13"/>
      <c r="P40" s="74"/>
      <c r="Q40" s="13"/>
      <c r="R40" s="79"/>
      <c r="S40" s="79"/>
      <c r="T40" s="13"/>
      <c r="U40" s="79"/>
      <c r="V40" s="79"/>
      <c r="W40" s="45"/>
      <c r="X40" s="342"/>
      <c r="Y40" s="79"/>
      <c r="Z40" s="79"/>
      <c r="AA40" s="45"/>
    </row>
    <row r="41" spans="1:27" s="41" customFormat="1" ht="15" hidden="1" customHeight="1" x14ac:dyDescent="0.25">
      <c r="A41" s="118" t="s">
        <v>173</v>
      </c>
      <c r="B41" s="53" t="s">
        <v>632</v>
      </c>
      <c r="C41" s="642" t="s">
        <v>174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2"/>
        <v>0</v>
      </c>
      <c r="M41" s="74"/>
      <c r="N41" s="13"/>
      <c r="O41" s="13"/>
      <c r="P41" s="74"/>
      <c r="Q41" s="13"/>
      <c r="R41" s="79"/>
      <c r="S41" s="79"/>
      <c r="T41" s="13"/>
      <c r="U41" s="79"/>
      <c r="V41" s="79"/>
      <c r="W41" s="45"/>
      <c r="X41" s="342"/>
      <c r="Y41" s="79"/>
      <c r="Z41" s="79"/>
      <c r="AA41" s="45"/>
    </row>
    <row r="42" spans="1:27" x14ac:dyDescent="0.25">
      <c r="B42" s="88" t="s">
        <v>633</v>
      </c>
      <c r="C42" s="640" t="s">
        <v>175</v>
      </c>
      <c r="D42" s="641"/>
      <c r="E42" s="641"/>
      <c r="F42" s="158">
        <v>1101443.1200000001</v>
      </c>
      <c r="G42" s="341">
        <v>1101443.1200000001</v>
      </c>
      <c r="H42" s="311">
        <v>1099585.1200000001</v>
      </c>
      <c r="I42" s="509">
        <v>1099585.1200000001</v>
      </c>
      <c r="J42" s="233">
        <f>J43+J48+J49+J50+J53+J56+J57</f>
        <v>1117716.1200000001</v>
      </c>
      <c r="K42" s="142">
        <f t="shared" ref="K42:AA42" si="12">K43+K48+K49+K50+K53+K56+K57</f>
        <v>0</v>
      </c>
      <c r="L42" s="158">
        <f t="shared" si="2"/>
        <v>1117716.1200000001</v>
      </c>
      <c r="M42" s="90">
        <f>M43+M48+M49+M50+M53+M56+M57</f>
        <v>299156.12</v>
      </c>
      <c r="N42" s="91">
        <f>N43+N48+N49+N50+N53+N56+N57</f>
        <v>727000</v>
      </c>
      <c r="O42" s="91">
        <f>O43+O48+O49+O50+O53+O56+O57</f>
        <v>91560</v>
      </c>
      <c r="P42" s="90">
        <f t="shared" si="12"/>
        <v>77112</v>
      </c>
      <c r="Q42" s="91">
        <f t="shared" si="12"/>
        <v>48642</v>
      </c>
      <c r="R42" s="94">
        <f t="shared" si="12"/>
        <v>63778.119999999995</v>
      </c>
      <c r="S42" s="94">
        <f t="shared" si="12"/>
        <v>80086</v>
      </c>
      <c r="T42" s="91">
        <f t="shared" si="12"/>
        <v>53893</v>
      </c>
      <c r="U42" s="94">
        <f t="shared" si="12"/>
        <v>249603</v>
      </c>
      <c r="V42" s="94">
        <f t="shared" si="12"/>
        <v>70434</v>
      </c>
      <c r="W42" s="95">
        <f t="shared" si="12"/>
        <v>73506</v>
      </c>
      <c r="X42" s="341">
        <f t="shared" si="12"/>
        <v>113069</v>
      </c>
      <c r="Y42" s="94">
        <f t="shared" si="12"/>
        <v>93284</v>
      </c>
      <c r="Z42" s="94">
        <f t="shared" si="12"/>
        <v>116852</v>
      </c>
      <c r="AA42" s="95">
        <f t="shared" si="12"/>
        <v>77457</v>
      </c>
    </row>
    <row r="43" spans="1:27" s="41" customFormat="1" x14ac:dyDescent="0.25">
      <c r="A43" s="118" t="s">
        <v>176</v>
      </c>
      <c r="B43" s="53" t="s">
        <v>634</v>
      </c>
      <c r="C43" s="642" t="s">
        <v>177</v>
      </c>
      <c r="D43" s="643"/>
      <c r="E43" s="643"/>
      <c r="F43" s="160">
        <v>629156</v>
      </c>
      <c r="G43" s="342">
        <v>629156</v>
      </c>
      <c r="H43" s="312">
        <v>629156</v>
      </c>
      <c r="I43" s="510">
        <v>629156</v>
      </c>
      <c r="J43" s="239">
        <f>SUM(J44:J47)</f>
        <v>629156</v>
      </c>
      <c r="K43" s="148">
        <f>SUM(K44:K47)</f>
        <v>0</v>
      </c>
      <c r="L43" s="160">
        <f t="shared" si="2"/>
        <v>629156</v>
      </c>
      <c r="M43" s="74">
        <f t="shared" ref="M43:AA43" si="13">SUM(M44:M47)</f>
        <v>10156</v>
      </c>
      <c r="N43" s="13">
        <f t="shared" si="13"/>
        <v>617000</v>
      </c>
      <c r="O43" s="13">
        <f t="shared" si="13"/>
        <v>2000</v>
      </c>
      <c r="P43" s="74">
        <f t="shared" si="13"/>
        <v>37325</v>
      </c>
      <c r="Q43" s="13">
        <f t="shared" si="13"/>
        <v>28642</v>
      </c>
      <c r="R43" s="79">
        <f t="shared" si="13"/>
        <v>35420</v>
      </c>
      <c r="S43" s="79">
        <f t="shared" si="13"/>
        <v>34828</v>
      </c>
      <c r="T43" s="13">
        <f t="shared" si="13"/>
        <v>24636</v>
      </c>
      <c r="U43" s="79">
        <f t="shared" si="13"/>
        <v>209883</v>
      </c>
      <c r="V43" s="79">
        <f t="shared" si="13"/>
        <v>35946</v>
      </c>
      <c r="W43" s="45">
        <f t="shared" si="13"/>
        <v>36971</v>
      </c>
      <c r="X43" s="342">
        <f t="shared" si="13"/>
        <v>58159</v>
      </c>
      <c r="Y43" s="79">
        <f t="shared" si="13"/>
        <v>40205</v>
      </c>
      <c r="Z43" s="79">
        <f t="shared" si="13"/>
        <v>46981</v>
      </c>
      <c r="AA43" s="45">
        <f t="shared" si="13"/>
        <v>40160</v>
      </c>
    </row>
    <row r="44" spans="1:27" x14ac:dyDescent="0.25">
      <c r="B44" s="54"/>
      <c r="C44" s="281"/>
      <c r="D44" s="225" t="s">
        <v>999</v>
      </c>
      <c r="E44" s="225"/>
      <c r="F44" s="159">
        <v>2156</v>
      </c>
      <c r="G44" s="343">
        <v>2156</v>
      </c>
      <c r="H44" s="313">
        <v>2156</v>
      </c>
      <c r="I44" s="513">
        <v>2156</v>
      </c>
      <c r="J44" s="232">
        <f t="shared" ref="J44:J49" si="14">SUM(P44:AA44)</f>
        <v>2156</v>
      </c>
      <c r="K44" s="141"/>
      <c r="L44" s="159">
        <f>SUM(J44:K44)</f>
        <v>2156</v>
      </c>
      <c r="M44" s="72">
        <f>L44</f>
        <v>2156</v>
      </c>
      <c r="N44" s="1"/>
      <c r="O44" s="1"/>
      <c r="P44" s="72">
        <v>159</v>
      </c>
      <c r="Q44" s="1">
        <v>154</v>
      </c>
      <c r="R44" s="78">
        <v>154</v>
      </c>
      <c r="S44" s="78">
        <v>154</v>
      </c>
      <c r="T44" s="78">
        <v>154</v>
      </c>
      <c r="U44" s="78">
        <v>-168</v>
      </c>
      <c r="V44" s="78">
        <v>121</v>
      </c>
      <c r="W44" s="44">
        <v>121</v>
      </c>
      <c r="X44" s="343">
        <v>160</v>
      </c>
      <c r="Y44" s="78">
        <f>199+628</f>
        <v>827</v>
      </c>
      <c r="Z44" s="78">
        <v>160</v>
      </c>
      <c r="AA44" s="44">
        <v>160</v>
      </c>
    </row>
    <row r="45" spans="1:27" x14ac:dyDescent="0.25">
      <c r="B45" s="54"/>
      <c r="C45" s="281"/>
      <c r="D45" s="225" t="s">
        <v>1000</v>
      </c>
      <c r="E45" s="225"/>
      <c r="F45" s="159">
        <v>617000</v>
      </c>
      <c r="G45" s="343">
        <v>617000</v>
      </c>
      <c r="H45" s="313">
        <v>617000</v>
      </c>
      <c r="I45" s="513">
        <v>617000</v>
      </c>
      <c r="J45" s="232">
        <f t="shared" si="14"/>
        <v>617000</v>
      </c>
      <c r="K45" s="141"/>
      <c r="L45" s="159">
        <f>SUM(J45:K45)</f>
        <v>617000</v>
      </c>
      <c r="M45" s="72"/>
      <c r="N45" s="1">
        <f>L45</f>
        <v>617000</v>
      </c>
      <c r="O45" s="1"/>
      <c r="P45" s="72">
        <v>37166</v>
      </c>
      <c r="Q45" s="1">
        <v>28488</v>
      </c>
      <c r="R45" s="78">
        <v>35266</v>
      </c>
      <c r="S45" s="78">
        <v>33179</v>
      </c>
      <c r="T45" s="1">
        <v>24482</v>
      </c>
      <c r="U45" s="78">
        <v>210051</v>
      </c>
      <c r="V45" s="78">
        <v>35825</v>
      </c>
      <c r="W45" s="44">
        <v>36850</v>
      </c>
      <c r="X45" s="42">
        <f>7712+51112-825</f>
        <v>57999</v>
      </c>
      <c r="Y45" s="78">
        <f>35902+46062-59241+5000+3150</f>
        <v>30873</v>
      </c>
      <c r="Z45" s="78">
        <v>46821</v>
      </c>
      <c r="AA45" s="44">
        <v>40000</v>
      </c>
    </row>
    <row r="46" spans="1:27" x14ac:dyDescent="0.25">
      <c r="B46" s="54"/>
      <c r="C46" s="281"/>
      <c r="D46" s="225" t="s">
        <v>1001</v>
      </c>
      <c r="E46" s="225"/>
      <c r="F46" s="159">
        <v>2000</v>
      </c>
      <c r="G46" s="343">
        <v>2000</v>
      </c>
      <c r="H46" s="313">
        <v>2000</v>
      </c>
      <c r="I46" s="513">
        <v>2000</v>
      </c>
      <c r="J46" s="232">
        <f t="shared" si="14"/>
        <v>2000</v>
      </c>
      <c r="K46" s="141"/>
      <c r="L46" s="159">
        <f>SUM(J46:K46)</f>
        <v>2000</v>
      </c>
      <c r="M46" s="72"/>
      <c r="N46" s="1"/>
      <c r="O46" s="1">
        <f>L46</f>
        <v>2000</v>
      </c>
      <c r="P46" s="72"/>
      <c r="Q46" s="1"/>
      <c r="R46" s="78"/>
      <c r="S46" s="78"/>
      <c r="T46" s="1"/>
      <c r="U46" s="78"/>
      <c r="V46" s="78"/>
      <c r="W46" s="44"/>
      <c r="X46" s="343"/>
      <c r="Y46" s="78">
        <v>2000</v>
      </c>
      <c r="Z46" s="78"/>
      <c r="AA46" s="44"/>
    </row>
    <row r="47" spans="1:27" x14ac:dyDescent="0.25">
      <c r="B47" s="54"/>
      <c r="C47" s="281"/>
      <c r="D47" s="225" t="s">
        <v>1002</v>
      </c>
      <c r="E47" s="225"/>
      <c r="F47" s="159">
        <v>8000</v>
      </c>
      <c r="G47" s="343">
        <v>8000</v>
      </c>
      <c r="H47" s="313">
        <v>8000</v>
      </c>
      <c r="I47" s="513">
        <v>8000</v>
      </c>
      <c r="J47" s="232">
        <f t="shared" si="14"/>
        <v>8000</v>
      </c>
      <c r="K47" s="141"/>
      <c r="L47" s="159">
        <f>SUM(J47:K47)</f>
        <v>8000</v>
      </c>
      <c r="M47" s="72">
        <f>L47</f>
        <v>8000</v>
      </c>
      <c r="N47" s="1"/>
      <c r="O47" s="1"/>
      <c r="P47" s="72"/>
      <c r="Q47" s="1"/>
      <c r="R47" s="78"/>
      <c r="S47" s="78">
        <v>1495</v>
      </c>
      <c r="T47" s="1"/>
      <c r="U47" s="78"/>
      <c r="V47" s="78"/>
      <c r="W47" s="44"/>
      <c r="X47" s="343"/>
      <c r="Y47" s="78">
        <v>6505</v>
      </c>
      <c r="Z47" s="78"/>
      <c r="AA47" s="44"/>
    </row>
    <row r="48" spans="1:27" s="41" customFormat="1" ht="15" hidden="1" customHeight="1" x14ac:dyDescent="0.25">
      <c r="A48" s="118" t="s">
        <v>178</v>
      </c>
      <c r="B48" s="53" t="s">
        <v>635</v>
      </c>
      <c r="C48" s="642" t="s">
        <v>179</v>
      </c>
      <c r="D48" s="643"/>
      <c r="E48" s="643"/>
      <c r="F48" s="160">
        <v>0</v>
      </c>
      <c r="G48" s="342">
        <v>0</v>
      </c>
      <c r="H48" s="312">
        <v>0</v>
      </c>
      <c r="I48" s="510">
        <v>0</v>
      </c>
      <c r="J48" s="239">
        <f t="shared" si="14"/>
        <v>0</v>
      </c>
      <c r="K48" s="148"/>
      <c r="L48" s="160">
        <f t="shared" si="2"/>
        <v>0</v>
      </c>
      <c r="M48" s="74"/>
      <c r="N48" s="13"/>
      <c r="O48" s="13"/>
      <c r="P48" s="74"/>
      <c r="Q48" s="13"/>
      <c r="R48" s="79"/>
      <c r="S48" s="79"/>
      <c r="T48" s="13"/>
      <c r="U48" s="79"/>
      <c r="V48" s="79"/>
      <c r="W48" s="45"/>
      <c r="X48" s="342"/>
      <c r="Y48" s="79"/>
      <c r="Z48" s="79"/>
      <c r="AA48" s="45"/>
    </row>
    <row r="49" spans="1:27" s="41" customFormat="1" x14ac:dyDescent="0.25">
      <c r="A49" s="118" t="s">
        <v>180</v>
      </c>
      <c r="B49" s="53" t="s">
        <v>636</v>
      </c>
      <c r="C49" s="642" t="s">
        <v>181</v>
      </c>
      <c r="D49" s="643"/>
      <c r="E49" s="643"/>
      <c r="F49" s="160">
        <v>251429.12</v>
      </c>
      <c r="G49" s="342">
        <v>251429.12</v>
      </c>
      <c r="H49" s="312">
        <v>251429.12</v>
      </c>
      <c r="I49" s="510">
        <v>251429.12</v>
      </c>
      <c r="J49" s="239">
        <f t="shared" si="14"/>
        <v>280000.12</v>
      </c>
      <c r="K49" s="148"/>
      <c r="L49" s="160">
        <f t="shared" si="2"/>
        <v>280000.12</v>
      </c>
      <c r="M49" s="74">
        <f>L49</f>
        <v>280000.12</v>
      </c>
      <c r="N49" s="13"/>
      <c r="O49" s="13"/>
      <c r="P49" s="74">
        <f>20000+11429</f>
        <v>31429</v>
      </c>
      <c r="Q49" s="13">
        <v>20000</v>
      </c>
      <c r="R49" s="79">
        <f>714.29*28</f>
        <v>20000.12</v>
      </c>
      <c r="S49" s="79">
        <v>20000</v>
      </c>
      <c r="T49" s="13">
        <v>25714</v>
      </c>
      <c r="U49" s="79">
        <v>22000</v>
      </c>
      <c r="V49" s="79">
        <v>25929</v>
      </c>
      <c r="W49" s="45">
        <v>22000</v>
      </c>
      <c r="X49" s="342">
        <f>20000+4928</f>
        <v>24928</v>
      </c>
      <c r="Y49" s="79">
        <v>28000</v>
      </c>
      <c r="Z49" s="79">
        <v>20000</v>
      </c>
      <c r="AA49" s="45">
        <v>20000</v>
      </c>
    </row>
    <row r="50" spans="1:27" s="41" customFormat="1" x14ac:dyDescent="0.25">
      <c r="A50" s="118" t="s">
        <v>182</v>
      </c>
      <c r="B50" s="53" t="s">
        <v>637</v>
      </c>
      <c r="C50" s="642" t="s">
        <v>183</v>
      </c>
      <c r="D50" s="643"/>
      <c r="E50" s="643"/>
      <c r="F50" s="160">
        <v>201858</v>
      </c>
      <c r="G50" s="342">
        <v>201858</v>
      </c>
      <c r="H50" s="312">
        <v>200000</v>
      </c>
      <c r="I50" s="510">
        <v>200000</v>
      </c>
      <c r="J50" s="239">
        <f>SUM(J51:J52)</f>
        <v>189560</v>
      </c>
      <c r="K50" s="148">
        <f>SUM(K51:K52)</f>
        <v>0</v>
      </c>
      <c r="L50" s="160">
        <f t="shared" si="2"/>
        <v>189560</v>
      </c>
      <c r="M50" s="74">
        <f t="shared" ref="M50:AA50" si="15">SUM(M51:M52)</f>
        <v>0</v>
      </c>
      <c r="N50" s="13">
        <f t="shared" si="15"/>
        <v>110000</v>
      </c>
      <c r="O50" s="13">
        <f t="shared" si="15"/>
        <v>79560</v>
      </c>
      <c r="P50" s="74">
        <f t="shared" si="15"/>
        <v>8358</v>
      </c>
      <c r="Q50" s="13">
        <f t="shared" si="15"/>
        <v>0</v>
      </c>
      <c r="R50" s="79">
        <f t="shared" si="15"/>
        <v>8358</v>
      </c>
      <c r="S50" s="79">
        <f t="shared" si="15"/>
        <v>16716</v>
      </c>
      <c r="T50" s="13">
        <f t="shared" si="15"/>
        <v>3543</v>
      </c>
      <c r="U50" s="79">
        <f t="shared" si="15"/>
        <v>17720</v>
      </c>
      <c r="V50" s="79">
        <f t="shared" si="15"/>
        <v>8559</v>
      </c>
      <c r="W50" s="45">
        <f t="shared" si="15"/>
        <v>14535</v>
      </c>
      <c r="X50" s="342">
        <f t="shared" si="15"/>
        <v>19524</v>
      </c>
      <c r="Y50" s="79">
        <f t="shared" si="15"/>
        <v>25079</v>
      </c>
      <c r="Z50" s="79">
        <f t="shared" si="15"/>
        <v>49871</v>
      </c>
      <c r="AA50" s="45">
        <f t="shared" si="15"/>
        <v>17297</v>
      </c>
    </row>
    <row r="51" spans="1:27" x14ac:dyDescent="0.25">
      <c r="B51" s="54"/>
      <c r="C51" s="281"/>
      <c r="D51" s="225" t="s">
        <v>843</v>
      </c>
      <c r="E51" s="225"/>
      <c r="F51" s="159">
        <v>101858</v>
      </c>
      <c r="G51" s="343">
        <v>101858</v>
      </c>
      <c r="H51" s="313">
        <v>100000</v>
      </c>
      <c r="I51" s="513">
        <v>100000</v>
      </c>
      <c r="J51" s="232">
        <f>SUM(P51:AA51)</f>
        <v>110000</v>
      </c>
      <c r="K51" s="141"/>
      <c r="L51" s="159">
        <f>SUM(J51:K51)</f>
        <v>110000</v>
      </c>
      <c r="M51" s="72"/>
      <c r="N51" s="1">
        <f>L51</f>
        <v>110000</v>
      </c>
      <c r="O51" s="1"/>
      <c r="P51" s="72">
        <v>8358</v>
      </c>
      <c r="Q51" s="1"/>
      <c r="R51" s="78">
        <v>8358</v>
      </c>
      <c r="S51" s="78">
        <v>16716</v>
      </c>
      <c r="T51" s="1"/>
      <c r="U51" s="78">
        <v>17720</v>
      </c>
      <c r="V51" s="78">
        <v>8559</v>
      </c>
      <c r="W51" s="44">
        <v>8559</v>
      </c>
      <c r="X51" s="42">
        <v>8559</v>
      </c>
      <c r="Y51" s="1">
        <v>8559</v>
      </c>
      <c r="Z51" s="1">
        <v>8559</v>
      </c>
      <c r="AA51" s="44">
        <f>7494+8559</f>
        <v>16053</v>
      </c>
    </row>
    <row r="52" spans="1:27" x14ac:dyDescent="0.25">
      <c r="B52" s="54"/>
      <c r="C52" s="281"/>
      <c r="D52" s="225" t="s">
        <v>990</v>
      </c>
      <c r="E52" s="225"/>
      <c r="F52" s="159">
        <v>100000</v>
      </c>
      <c r="G52" s="343">
        <v>100000</v>
      </c>
      <c r="H52" s="313">
        <v>100000</v>
      </c>
      <c r="I52" s="513">
        <v>100000</v>
      </c>
      <c r="J52" s="232">
        <f>SUM(P52:AA52)</f>
        <v>79560</v>
      </c>
      <c r="K52" s="141"/>
      <c r="L52" s="159">
        <f>SUM(J52:K52)</f>
        <v>79560</v>
      </c>
      <c r="M52" s="72"/>
      <c r="N52" s="1"/>
      <c r="O52" s="1">
        <f>L52</f>
        <v>79560</v>
      </c>
      <c r="P52" s="72"/>
      <c r="Q52" s="1"/>
      <c r="R52" s="78"/>
      <c r="S52" s="78"/>
      <c r="T52" s="1">
        <v>3543</v>
      </c>
      <c r="U52" s="78"/>
      <c r="V52" s="78"/>
      <c r="W52" s="44">
        <v>5976</v>
      </c>
      <c r="X52" s="343">
        <f>8064+2901</f>
        <v>10965</v>
      </c>
      <c r="Y52" s="78">
        <v>16520</v>
      </c>
      <c r="Z52" s="78">
        <f>55162+6590-20440</f>
        <v>41312</v>
      </c>
      <c r="AA52" s="44">
        <v>1244</v>
      </c>
    </row>
    <row r="53" spans="1:27" s="18" customFormat="1" ht="15" hidden="1" customHeight="1" x14ac:dyDescent="0.25">
      <c r="A53" s="118" t="s">
        <v>184</v>
      </c>
      <c r="B53" s="53" t="s">
        <v>638</v>
      </c>
      <c r="C53" s="642" t="s">
        <v>185</v>
      </c>
      <c r="D53" s="643"/>
      <c r="E53" s="643"/>
      <c r="F53" s="160">
        <v>0</v>
      </c>
      <c r="G53" s="342">
        <v>0</v>
      </c>
      <c r="H53" s="312">
        <v>0</v>
      </c>
      <c r="I53" s="510">
        <v>0</v>
      </c>
      <c r="J53" s="239">
        <f>J54+J55</f>
        <v>0</v>
      </c>
      <c r="K53" s="148">
        <f t="shared" ref="K53:AA53" si="16">K54+K55</f>
        <v>0</v>
      </c>
      <c r="L53" s="160">
        <f t="shared" si="2"/>
        <v>0</v>
      </c>
      <c r="M53" s="74">
        <f>M54+M55</f>
        <v>0</v>
      </c>
      <c r="N53" s="13">
        <f>N54+N55</f>
        <v>0</v>
      </c>
      <c r="O53" s="13">
        <f>O54+O55</f>
        <v>0</v>
      </c>
      <c r="P53" s="74">
        <f t="shared" si="16"/>
        <v>0</v>
      </c>
      <c r="Q53" s="13">
        <f t="shared" si="16"/>
        <v>0</v>
      </c>
      <c r="R53" s="79">
        <f t="shared" si="16"/>
        <v>0</v>
      </c>
      <c r="S53" s="79">
        <f t="shared" si="16"/>
        <v>0</v>
      </c>
      <c r="T53" s="13">
        <f t="shared" si="16"/>
        <v>0</v>
      </c>
      <c r="U53" s="79">
        <f t="shared" si="16"/>
        <v>0</v>
      </c>
      <c r="V53" s="79">
        <f t="shared" si="16"/>
        <v>0</v>
      </c>
      <c r="W53" s="45">
        <f t="shared" si="16"/>
        <v>0</v>
      </c>
      <c r="X53" s="342">
        <f t="shared" si="16"/>
        <v>0</v>
      </c>
      <c r="Y53" s="79">
        <f t="shared" si="16"/>
        <v>0</v>
      </c>
      <c r="Z53" s="79">
        <f t="shared" si="16"/>
        <v>0</v>
      </c>
      <c r="AA53" s="45">
        <f t="shared" si="16"/>
        <v>0</v>
      </c>
    </row>
    <row r="54" spans="1:27" ht="15" hidden="1" customHeight="1" x14ac:dyDescent="0.25">
      <c r="B54" s="54"/>
      <c r="C54" s="250"/>
      <c r="D54" s="624" t="s">
        <v>186</v>
      </c>
      <c r="E54" s="624"/>
      <c r="F54" s="159">
        <v>0</v>
      </c>
      <c r="G54" s="343">
        <v>0</v>
      </c>
      <c r="H54" s="313">
        <v>0</v>
      </c>
      <c r="I54" s="513">
        <v>0</v>
      </c>
      <c r="J54" s="232">
        <f>SUM(P54:AA54)</f>
        <v>0</v>
      </c>
      <c r="K54" s="141"/>
      <c r="L54" s="159">
        <f t="shared" si="2"/>
        <v>0</v>
      </c>
      <c r="M54" s="72"/>
      <c r="N54" s="1"/>
      <c r="O54" s="1"/>
      <c r="P54" s="72"/>
      <c r="Q54" s="1"/>
      <c r="R54" s="78"/>
      <c r="S54" s="78"/>
      <c r="T54" s="1"/>
      <c r="U54" s="78"/>
      <c r="V54" s="78"/>
      <c r="W54" s="44"/>
      <c r="X54" s="343"/>
      <c r="Y54" s="78"/>
      <c r="Z54" s="78"/>
      <c r="AA54" s="44"/>
    </row>
    <row r="55" spans="1:27" ht="15" hidden="1" customHeight="1" x14ac:dyDescent="0.25">
      <c r="B55" s="54"/>
      <c r="C55" s="250"/>
      <c r="D55" s="624" t="s">
        <v>187</v>
      </c>
      <c r="E55" s="624"/>
      <c r="F55" s="159">
        <v>0</v>
      </c>
      <c r="G55" s="343">
        <v>0</v>
      </c>
      <c r="H55" s="313">
        <v>0</v>
      </c>
      <c r="I55" s="513">
        <v>0</v>
      </c>
      <c r="J55" s="232">
        <f>SUM(P55:AA55)</f>
        <v>0</v>
      </c>
      <c r="K55" s="141"/>
      <c r="L55" s="159">
        <f t="shared" si="2"/>
        <v>0</v>
      </c>
      <c r="M55" s="72"/>
      <c r="N55" s="1"/>
      <c r="O55" s="1"/>
      <c r="P55" s="72"/>
      <c r="Q55" s="1"/>
      <c r="R55" s="78"/>
      <c r="S55" s="78"/>
      <c r="T55" s="1"/>
      <c r="U55" s="78"/>
      <c r="V55" s="78"/>
      <c r="W55" s="44"/>
      <c r="X55" s="343"/>
      <c r="Y55" s="78"/>
      <c r="Z55" s="78"/>
      <c r="AA55" s="44"/>
    </row>
    <row r="56" spans="1:27" s="41" customFormat="1" ht="15" hidden="1" customHeight="1" x14ac:dyDescent="0.25">
      <c r="A56" s="118" t="s">
        <v>188</v>
      </c>
      <c r="B56" s="53" t="s">
        <v>639</v>
      </c>
      <c r="C56" s="628" t="s">
        <v>189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SUM(P56:AA56)</f>
        <v>0</v>
      </c>
      <c r="K56" s="148"/>
      <c r="L56" s="160">
        <f t="shared" si="2"/>
        <v>0</v>
      </c>
      <c r="M56" s="74"/>
      <c r="N56" s="13"/>
      <c r="O56" s="13"/>
      <c r="P56" s="74"/>
      <c r="Q56" s="13"/>
      <c r="R56" s="79"/>
      <c r="S56" s="79"/>
      <c r="T56" s="13"/>
      <c r="U56" s="79"/>
      <c r="V56" s="79"/>
      <c r="W56" s="45"/>
      <c r="X56" s="342"/>
      <c r="Y56" s="79"/>
      <c r="Z56" s="79"/>
      <c r="AA56" s="45"/>
    </row>
    <row r="57" spans="1:27" s="41" customFormat="1" x14ac:dyDescent="0.25">
      <c r="A57" s="118" t="s">
        <v>190</v>
      </c>
      <c r="B57" s="53" t="s">
        <v>640</v>
      </c>
      <c r="C57" s="628" t="s">
        <v>191</v>
      </c>
      <c r="D57" s="629"/>
      <c r="E57" s="629"/>
      <c r="F57" s="160">
        <v>19000</v>
      </c>
      <c r="G57" s="342">
        <v>19000</v>
      </c>
      <c r="H57" s="312">
        <v>19000</v>
      </c>
      <c r="I57" s="510">
        <v>19000</v>
      </c>
      <c r="J57" s="239">
        <f>SUM(J58:J59)</f>
        <v>19000</v>
      </c>
      <c r="K57" s="148">
        <f>SUM(K58:K59)</f>
        <v>0</v>
      </c>
      <c r="L57" s="160">
        <f t="shared" si="2"/>
        <v>19000</v>
      </c>
      <c r="M57" s="74">
        <f t="shared" ref="M57:AA57" si="17">SUM(M58:M59)</f>
        <v>9000</v>
      </c>
      <c r="N57" s="13">
        <f t="shared" si="17"/>
        <v>0</v>
      </c>
      <c r="O57" s="13">
        <f t="shared" si="17"/>
        <v>10000</v>
      </c>
      <c r="P57" s="74">
        <f t="shared" si="17"/>
        <v>0</v>
      </c>
      <c r="Q57" s="13">
        <f t="shared" si="17"/>
        <v>0</v>
      </c>
      <c r="R57" s="79">
        <f t="shared" si="17"/>
        <v>0</v>
      </c>
      <c r="S57" s="79">
        <f t="shared" si="17"/>
        <v>8542</v>
      </c>
      <c r="T57" s="13">
        <f t="shared" si="17"/>
        <v>0</v>
      </c>
      <c r="U57" s="79">
        <f t="shared" si="17"/>
        <v>0</v>
      </c>
      <c r="V57" s="79">
        <f t="shared" si="17"/>
        <v>0</v>
      </c>
      <c r="W57" s="45">
        <f t="shared" si="17"/>
        <v>0</v>
      </c>
      <c r="X57" s="342">
        <f t="shared" si="17"/>
        <v>10458</v>
      </c>
      <c r="Y57" s="79">
        <f t="shared" si="17"/>
        <v>0</v>
      </c>
      <c r="Z57" s="79">
        <f t="shared" si="17"/>
        <v>0</v>
      </c>
      <c r="AA57" s="45">
        <f t="shared" si="17"/>
        <v>0</v>
      </c>
    </row>
    <row r="58" spans="1:27" x14ac:dyDescent="0.25">
      <c r="B58" s="54"/>
      <c r="C58" s="250"/>
      <c r="D58" s="225" t="s">
        <v>840</v>
      </c>
      <c r="E58" s="330"/>
      <c r="F58" s="159">
        <v>9000</v>
      </c>
      <c r="G58" s="343">
        <v>9000</v>
      </c>
      <c r="H58" s="313">
        <v>9000</v>
      </c>
      <c r="I58" s="513">
        <v>9000</v>
      </c>
      <c r="J58" s="232">
        <f>SUM(P58:AA58)</f>
        <v>9000</v>
      </c>
      <c r="K58" s="141"/>
      <c r="L58" s="159">
        <f>SUM(J58:K58)</f>
        <v>9000</v>
      </c>
      <c r="M58" s="72">
        <f>L58</f>
        <v>9000</v>
      </c>
      <c r="N58" s="1"/>
      <c r="O58" s="1"/>
      <c r="P58" s="72"/>
      <c r="Q58" s="1"/>
      <c r="R58" s="78"/>
      <c r="S58" s="78">
        <v>4020</v>
      </c>
      <c r="T58" s="1"/>
      <c r="U58" s="78"/>
      <c r="V58" s="78"/>
      <c r="W58" s="44"/>
      <c r="X58" s="343">
        <v>4980</v>
      </c>
      <c r="Y58" s="78"/>
      <c r="Z58" s="78"/>
      <c r="AA58" s="44"/>
    </row>
    <row r="59" spans="1:27" x14ac:dyDescent="0.25">
      <c r="B59" s="54"/>
      <c r="C59" s="250"/>
      <c r="D59" s="225" t="s">
        <v>990</v>
      </c>
      <c r="E59" s="330"/>
      <c r="F59" s="159">
        <v>10000</v>
      </c>
      <c r="G59" s="343">
        <v>10000</v>
      </c>
      <c r="H59" s="313">
        <v>10000</v>
      </c>
      <c r="I59" s="513">
        <v>10000</v>
      </c>
      <c r="J59" s="232">
        <f>SUM(P59:AA59)</f>
        <v>10000</v>
      </c>
      <c r="K59" s="141"/>
      <c r="L59" s="159">
        <f>SUM(J59:K59)</f>
        <v>10000</v>
      </c>
      <c r="M59" s="72"/>
      <c r="N59" s="1"/>
      <c r="O59" s="1">
        <f>L59</f>
        <v>10000</v>
      </c>
      <c r="P59" s="72"/>
      <c r="Q59" s="1"/>
      <c r="R59" s="78"/>
      <c r="S59" s="78">
        <v>4522</v>
      </c>
      <c r="T59" s="1"/>
      <c r="U59" s="78"/>
      <c r="V59" s="78"/>
      <c r="W59" s="44"/>
      <c r="X59" s="343">
        <v>5478</v>
      </c>
      <c r="Y59" s="78"/>
      <c r="Z59" s="78"/>
      <c r="AA59" s="44"/>
    </row>
    <row r="60" spans="1:27" ht="15" hidden="1" customHeight="1" x14ac:dyDescent="0.25">
      <c r="B60" s="88" t="s">
        <v>641</v>
      </c>
      <c r="C60" s="626" t="s">
        <v>192</v>
      </c>
      <c r="D60" s="627"/>
      <c r="E60" s="627"/>
      <c r="F60" s="158">
        <v>0</v>
      </c>
      <c r="G60" s="341">
        <v>0</v>
      </c>
      <c r="H60" s="311">
        <v>0</v>
      </c>
      <c r="I60" s="509">
        <v>0</v>
      </c>
      <c r="J60" s="233">
        <f>J61+J62</f>
        <v>0</v>
      </c>
      <c r="K60" s="142">
        <f t="shared" ref="K60:AA60" si="18">K61+K62</f>
        <v>0</v>
      </c>
      <c r="L60" s="158">
        <f t="shared" si="2"/>
        <v>0</v>
      </c>
      <c r="M60" s="90">
        <f>M61+M62</f>
        <v>0</v>
      </c>
      <c r="N60" s="91">
        <f>N61+N62</f>
        <v>0</v>
      </c>
      <c r="O60" s="91">
        <f>O61+O62</f>
        <v>0</v>
      </c>
      <c r="P60" s="90">
        <f t="shared" si="18"/>
        <v>0</v>
      </c>
      <c r="Q60" s="91">
        <f t="shared" si="18"/>
        <v>0</v>
      </c>
      <c r="R60" s="94">
        <f t="shared" si="18"/>
        <v>0</v>
      </c>
      <c r="S60" s="94">
        <f t="shared" si="18"/>
        <v>0</v>
      </c>
      <c r="T60" s="91">
        <f t="shared" si="18"/>
        <v>0</v>
      </c>
      <c r="U60" s="94">
        <f t="shared" si="18"/>
        <v>0</v>
      </c>
      <c r="V60" s="94">
        <f t="shared" si="18"/>
        <v>0</v>
      </c>
      <c r="W60" s="261">
        <f t="shared" si="18"/>
        <v>0</v>
      </c>
      <c r="X60" s="346">
        <f t="shared" si="18"/>
        <v>0</v>
      </c>
      <c r="Y60" s="94">
        <f t="shared" si="18"/>
        <v>0</v>
      </c>
      <c r="Z60" s="94">
        <f t="shared" si="18"/>
        <v>0</v>
      </c>
      <c r="AA60" s="95">
        <f t="shared" si="18"/>
        <v>0</v>
      </c>
    </row>
    <row r="61" spans="1:27" s="41" customFormat="1" ht="15" hidden="1" customHeight="1" x14ac:dyDescent="0.25">
      <c r="A61" s="118" t="s">
        <v>193</v>
      </c>
      <c r="B61" s="53" t="s">
        <v>642</v>
      </c>
      <c r="C61" s="628" t="s">
        <v>194</v>
      </c>
      <c r="D61" s="629"/>
      <c r="E61" s="629"/>
      <c r="F61" s="160">
        <v>0</v>
      </c>
      <c r="G61" s="342">
        <v>0</v>
      </c>
      <c r="H61" s="312">
        <v>0</v>
      </c>
      <c r="I61" s="510">
        <v>0</v>
      </c>
      <c r="J61" s="239">
        <f>SUM(P61:AA61)</f>
        <v>0</v>
      </c>
      <c r="K61" s="148"/>
      <c r="L61" s="160">
        <f t="shared" si="2"/>
        <v>0</v>
      </c>
      <c r="M61" s="74"/>
      <c r="N61" s="13"/>
      <c r="O61" s="13"/>
      <c r="P61" s="74"/>
      <c r="Q61" s="13"/>
      <c r="R61" s="79"/>
      <c r="S61" s="79"/>
      <c r="T61" s="13"/>
      <c r="U61" s="79"/>
      <c r="V61" s="79"/>
      <c r="W61" s="45"/>
      <c r="X61" s="342"/>
      <c r="Y61" s="79"/>
      <c r="Z61" s="79"/>
      <c r="AA61" s="45"/>
    </row>
    <row r="62" spans="1:27" s="41" customFormat="1" ht="15" hidden="1" customHeight="1" x14ac:dyDescent="0.25">
      <c r="A62" s="118" t="s">
        <v>195</v>
      </c>
      <c r="B62" s="53" t="s">
        <v>643</v>
      </c>
      <c r="C62" s="628" t="s">
        <v>196</v>
      </c>
      <c r="D62" s="629"/>
      <c r="E62" s="629"/>
      <c r="F62" s="160">
        <v>0</v>
      </c>
      <c r="G62" s="342">
        <v>0</v>
      </c>
      <c r="H62" s="312">
        <v>0</v>
      </c>
      <c r="I62" s="510">
        <v>0</v>
      </c>
      <c r="J62" s="239">
        <f>SUM(P62:AA62)</f>
        <v>0</v>
      </c>
      <c r="K62" s="148"/>
      <c r="L62" s="160">
        <f t="shared" si="2"/>
        <v>0</v>
      </c>
      <c r="M62" s="74"/>
      <c r="N62" s="13"/>
      <c r="O62" s="13"/>
      <c r="P62" s="74"/>
      <c r="Q62" s="13"/>
      <c r="R62" s="79"/>
      <c r="S62" s="79"/>
      <c r="T62" s="13"/>
      <c r="U62" s="79"/>
      <c r="V62" s="79"/>
      <c r="W62" s="45"/>
      <c r="X62" s="342"/>
      <c r="Y62" s="79"/>
      <c r="Z62" s="79"/>
      <c r="AA62" s="45"/>
    </row>
    <row r="63" spans="1:27" x14ac:dyDescent="0.25">
      <c r="B63" s="88" t="s">
        <v>644</v>
      </c>
      <c r="C63" s="626" t="s">
        <v>197</v>
      </c>
      <c r="D63" s="627"/>
      <c r="E63" s="627"/>
      <c r="F63" s="158">
        <v>351000</v>
      </c>
      <c r="G63" s="341">
        <v>351000</v>
      </c>
      <c r="H63" s="311">
        <v>349137</v>
      </c>
      <c r="I63" s="509">
        <v>362626</v>
      </c>
      <c r="J63" s="233">
        <f>J64+J68+J69+J70+J71</f>
        <v>362626</v>
      </c>
      <c r="K63" s="142">
        <f t="shared" ref="K63:AA63" si="19">K64+K68+K69+K70+K71</f>
        <v>0</v>
      </c>
      <c r="L63" s="158">
        <f t="shared" si="2"/>
        <v>362626</v>
      </c>
      <c r="M63" s="90">
        <f>M64+M68+M69+M70+M71</f>
        <v>75000</v>
      </c>
      <c r="N63" s="91">
        <f>N64+N68+N69+N70+N71</f>
        <v>210170</v>
      </c>
      <c r="O63" s="91">
        <f>O64+O68+O69+O70+O71</f>
        <v>77456</v>
      </c>
      <c r="P63" s="90">
        <f t="shared" si="19"/>
        <v>19662</v>
      </c>
      <c r="Q63" s="91">
        <f t="shared" si="19"/>
        <v>12390</v>
      </c>
      <c r="R63" s="94">
        <f t="shared" si="19"/>
        <v>16562</v>
      </c>
      <c r="S63" s="94">
        <f t="shared" si="19"/>
        <v>23197</v>
      </c>
      <c r="T63" s="91">
        <f t="shared" si="19"/>
        <v>19654</v>
      </c>
      <c r="U63" s="94">
        <f t="shared" si="19"/>
        <v>72550</v>
      </c>
      <c r="V63" s="94">
        <f t="shared" si="19"/>
        <v>20749</v>
      </c>
      <c r="W63" s="95">
        <f t="shared" si="19"/>
        <v>28129</v>
      </c>
      <c r="X63" s="341">
        <f t="shared" si="19"/>
        <v>22801</v>
      </c>
      <c r="Y63" s="94">
        <f t="shared" si="19"/>
        <v>57096</v>
      </c>
      <c r="Z63" s="94">
        <f t="shared" si="19"/>
        <v>32226</v>
      </c>
      <c r="AA63" s="95">
        <f t="shared" si="19"/>
        <v>37610</v>
      </c>
    </row>
    <row r="64" spans="1:27" s="41" customFormat="1" x14ac:dyDescent="0.25">
      <c r="A64" s="118" t="s">
        <v>198</v>
      </c>
      <c r="B64" s="53" t="s">
        <v>645</v>
      </c>
      <c r="C64" s="628" t="s">
        <v>876</v>
      </c>
      <c r="D64" s="629"/>
      <c r="E64" s="629"/>
      <c r="F64" s="160">
        <v>350000</v>
      </c>
      <c r="G64" s="342">
        <v>350000</v>
      </c>
      <c r="H64" s="312">
        <v>348137</v>
      </c>
      <c r="I64" s="510">
        <v>361626</v>
      </c>
      <c r="J64" s="239">
        <f>SUM(J65:J67)</f>
        <v>361626</v>
      </c>
      <c r="K64" s="148">
        <f>SUM(K65:K67)</f>
        <v>0</v>
      </c>
      <c r="L64" s="160">
        <f t="shared" si="2"/>
        <v>361626</v>
      </c>
      <c r="M64" s="74">
        <f t="shared" ref="M64:AA64" si="20">SUM(M65:M67)</f>
        <v>75000</v>
      </c>
      <c r="N64" s="13">
        <f t="shared" si="20"/>
        <v>210000</v>
      </c>
      <c r="O64" s="13">
        <f t="shared" si="20"/>
        <v>76626</v>
      </c>
      <c r="P64" s="74">
        <f t="shared" si="20"/>
        <v>19662</v>
      </c>
      <c r="Q64" s="13">
        <f t="shared" si="20"/>
        <v>12390</v>
      </c>
      <c r="R64" s="79">
        <f t="shared" si="20"/>
        <v>16562</v>
      </c>
      <c r="S64" s="79">
        <f t="shared" si="20"/>
        <v>23197</v>
      </c>
      <c r="T64" s="13">
        <f t="shared" si="20"/>
        <v>19655</v>
      </c>
      <c r="U64" s="79">
        <f t="shared" si="20"/>
        <v>72551</v>
      </c>
      <c r="V64" s="79">
        <f t="shared" si="20"/>
        <v>20576</v>
      </c>
      <c r="W64" s="45">
        <f t="shared" si="20"/>
        <v>28131</v>
      </c>
      <c r="X64" s="342">
        <f t="shared" si="20"/>
        <v>22801</v>
      </c>
      <c r="Y64" s="79">
        <f t="shared" si="20"/>
        <v>57096</v>
      </c>
      <c r="Z64" s="79">
        <f t="shared" si="20"/>
        <v>32226</v>
      </c>
      <c r="AA64" s="45">
        <f t="shared" si="20"/>
        <v>36779</v>
      </c>
    </row>
    <row r="65" spans="1:27" x14ac:dyDescent="0.25">
      <c r="B65" s="54"/>
      <c r="C65" s="250"/>
      <c r="D65" s="330" t="s">
        <v>840</v>
      </c>
      <c r="E65" s="330"/>
      <c r="F65" s="159">
        <v>71213</v>
      </c>
      <c r="G65" s="343">
        <v>71213</v>
      </c>
      <c r="H65" s="313">
        <v>72587</v>
      </c>
      <c r="I65" s="513">
        <v>75000</v>
      </c>
      <c r="J65" s="232">
        <f t="shared" ref="J65:J71" si="21">SUM(P65:AA65)</f>
        <v>75000</v>
      </c>
      <c r="K65" s="141"/>
      <c r="L65" s="159">
        <f>SUM(J65:K65)</f>
        <v>75000</v>
      </c>
      <c r="M65" s="72">
        <f>L65</f>
        <v>75000</v>
      </c>
      <c r="N65" s="1"/>
      <c r="O65" s="1"/>
      <c r="P65" s="72">
        <v>8527</v>
      </c>
      <c r="Q65" s="1">
        <v>5441</v>
      </c>
      <c r="R65" s="78">
        <v>5441</v>
      </c>
      <c r="S65" s="78">
        <v>5845</v>
      </c>
      <c r="T65" s="1">
        <v>6984</v>
      </c>
      <c r="U65" s="78">
        <v>5902</v>
      </c>
      <c r="V65" s="78">
        <v>7034</v>
      </c>
      <c r="W65" s="44">
        <v>5973</v>
      </c>
      <c r="X65" s="343">
        <v>5441</v>
      </c>
      <c r="Y65" s="78">
        <f>7157+2372-2027</f>
        <v>7502</v>
      </c>
      <c r="Z65" s="78">
        <v>5441</v>
      </c>
      <c r="AA65" s="44">
        <f>41+3656+2304-532</f>
        <v>5469</v>
      </c>
    </row>
    <row r="66" spans="1:27" x14ac:dyDescent="0.25">
      <c r="B66" s="54"/>
      <c r="C66" s="250"/>
      <c r="D66" s="330" t="s">
        <v>843</v>
      </c>
      <c r="E66" s="330"/>
      <c r="F66" s="159">
        <v>202161</v>
      </c>
      <c r="G66" s="343">
        <v>202161</v>
      </c>
      <c r="H66" s="313">
        <v>198924</v>
      </c>
      <c r="I66" s="513">
        <v>210000</v>
      </c>
      <c r="J66" s="232">
        <f t="shared" si="21"/>
        <v>210000</v>
      </c>
      <c r="K66" s="141"/>
      <c r="L66" s="159">
        <f>SUM(J66:K66)</f>
        <v>210000</v>
      </c>
      <c r="M66" s="72"/>
      <c r="N66" s="1">
        <f>L66</f>
        <v>210000</v>
      </c>
      <c r="O66" s="1"/>
      <c r="P66" s="72">
        <v>11135</v>
      </c>
      <c r="Q66" s="1">
        <v>6949</v>
      </c>
      <c r="R66" s="78">
        <v>11121</v>
      </c>
      <c r="S66" s="78">
        <v>12751</v>
      </c>
      <c r="T66" s="1">
        <v>5757</v>
      </c>
      <c r="U66" s="78">
        <v>59140</v>
      </c>
      <c r="V66" s="78">
        <v>11195</v>
      </c>
      <c r="W66" s="44">
        <v>11448</v>
      </c>
      <c r="X66" s="343">
        <v>11262</v>
      </c>
      <c r="Y66" s="78">
        <f>49313-10754+718</f>
        <v>39277</v>
      </c>
      <c r="Z66" s="78">
        <v>11239</v>
      </c>
      <c r="AA66" s="44">
        <f>11109+6882+735</f>
        <v>18726</v>
      </c>
    </row>
    <row r="67" spans="1:27" x14ac:dyDescent="0.25">
      <c r="B67" s="54"/>
      <c r="C67" s="250"/>
      <c r="D67" s="330" t="s">
        <v>990</v>
      </c>
      <c r="E67" s="330"/>
      <c r="F67" s="159">
        <v>76626</v>
      </c>
      <c r="G67" s="343">
        <v>76626</v>
      </c>
      <c r="H67" s="313">
        <v>76626</v>
      </c>
      <c r="I67" s="513">
        <v>76626</v>
      </c>
      <c r="J67" s="232">
        <f t="shared" si="21"/>
        <v>76626</v>
      </c>
      <c r="K67" s="141"/>
      <c r="L67" s="159">
        <f>SUM(J67:K67)</f>
        <v>76626</v>
      </c>
      <c r="M67" s="72"/>
      <c r="N67" s="1"/>
      <c r="O67" s="1">
        <f>L67</f>
        <v>76626</v>
      </c>
      <c r="P67" s="72"/>
      <c r="Q67" s="1"/>
      <c r="R67" s="78"/>
      <c r="S67" s="78">
        <v>4601</v>
      </c>
      <c r="T67" s="1">
        <v>6914</v>
      </c>
      <c r="U67" s="78">
        <v>7509</v>
      </c>
      <c r="V67" s="78">
        <f>6372-4025</f>
        <v>2347</v>
      </c>
      <c r="W67" s="44">
        <v>10710</v>
      </c>
      <c r="X67" s="343">
        <v>6098</v>
      </c>
      <c r="Y67" s="78">
        <v>10317</v>
      </c>
      <c r="Z67" s="78">
        <f>13921+1063+350+212</f>
        <v>15546</v>
      </c>
      <c r="AA67" s="44">
        <v>12584</v>
      </c>
    </row>
    <row r="68" spans="1:27" s="41" customFormat="1" ht="15" hidden="1" customHeight="1" x14ac:dyDescent="0.25">
      <c r="A68" s="118" t="s">
        <v>199</v>
      </c>
      <c r="B68" s="53" t="s">
        <v>646</v>
      </c>
      <c r="C68" s="628" t="s">
        <v>200</v>
      </c>
      <c r="D68" s="629"/>
      <c r="E68" s="629"/>
      <c r="F68" s="160">
        <v>0</v>
      </c>
      <c r="G68" s="342">
        <v>0</v>
      </c>
      <c r="H68" s="312">
        <v>0</v>
      </c>
      <c r="I68" s="510">
        <v>0</v>
      </c>
      <c r="J68" s="239">
        <f t="shared" si="21"/>
        <v>0</v>
      </c>
      <c r="K68" s="148"/>
      <c r="L68" s="160">
        <f t="shared" si="2"/>
        <v>0</v>
      </c>
      <c r="M68" s="74"/>
      <c r="N68" s="13"/>
      <c r="O68" s="13"/>
      <c r="P68" s="74"/>
      <c r="Q68" s="13"/>
      <c r="R68" s="79"/>
      <c r="S68" s="79"/>
      <c r="T68" s="13"/>
      <c r="U68" s="79"/>
      <c r="V68" s="79"/>
      <c r="W68" s="45"/>
      <c r="X68" s="342"/>
      <c r="Y68" s="79"/>
      <c r="Z68" s="79"/>
      <c r="AA68" s="45"/>
    </row>
    <row r="69" spans="1:27" s="41" customFormat="1" ht="15" hidden="1" customHeight="1" x14ac:dyDescent="0.25">
      <c r="A69" s="118" t="s">
        <v>201</v>
      </c>
      <c r="B69" s="53" t="s">
        <v>647</v>
      </c>
      <c r="C69" s="628" t="s">
        <v>202</v>
      </c>
      <c r="D69" s="629"/>
      <c r="E69" s="629"/>
      <c r="F69" s="160">
        <v>0</v>
      </c>
      <c r="G69" s="342">
        <v>0</v>
      </c>
      <c r="H69" s="312">
        <v>0</v>
      </c>
      <c r="I69" s="510">
        <v>0</v>
      </c>
      <c r="J69" s="239">
        <f t="shared" si="21"/>
        <v>0</v>
      </c>
      <c r="K69" s="148"/>
      <c r="L69" s="160">
        <f t="shared" si="2"/>
        <v>0</v>
      </c>
      <c r="M69" s="74"/>
      <c r="N69" s="13"/>
      <c r="O69" s="13"/>
      <c r="P69" s="74"/>
      <c r="Q69" s="13"/>
      <c r="R69" s="79"/>
      <c r="S69" s="79"/>
      <c r="T69" s="13"/>
      <c r="U69" s="79"/>
      <c r="V69" s="79"/>
      <c r="W69" s="45"/>
      <c r="X69" s="342"/>
      <c r="Y69" s="79"/>
      <c r="Z69" s="79"/>
      <c r="AA69" s="45"/>
    </row>
    <row r="70" spans="1:27" s="41" customFormat="1" ht="15" hidden="1" customHeight="1" x14ac:dyDescent="0.25">
      <c r="A70" s="118" t="s">
        <v>203</v>
      </c>
      <c r="B70" s="53" t="s">
        <v>648</v>
      </c>
      <c r="C70" s="628" t="s">
        <v>204</v>
      </c>
      <c r="D70" s="629"/>
      <c r="E70" s="629"/>
      <c r="F70" s="160">
        <v>0</v>
      </c>
      <c r="G70" s="342">
        <v>0</v>
      </c>
      <c r="H70" s="312">
        <v>0</v>
      </c>
      <c r="I70" s="510">
        <v>0</v>
      </c>
      <c r="J70" s="239">
        <f t="shared" si="21"/>
        <v>0</v>
      </c>
      <c r="K70" s="148"/>
      <c r="L70" s="160">
        <f t="shared" si="2"/>
        <v>0</v>
      </c>
      <c r="M70" s="74"/>
      <c r="N70" s="13"/>
      <c r="O70" s="13"/>
      <c r="P70" s="74"/>
      <c r="Q70" s="13"/>
      <c r="R70" s="79"/>
      <c r="S70" s="79"/>
      <c r="T70" s="13"/>
      <c r="U70" s="79"/>
      <c r="V70" s="79"/>
      <c r="W70" s="45"/>
      <c r="X70" s="342"/>
      <c r="Y70" s="79"/>
      <c r="Z70" s="79"/>
      <c r="AA70" s="45"/>
    </row>
    <row r="71" spans="1:27" s="41" customFormat="1" x14ac:dyDescent="0.25">
      <c r="A71" s="118" t="s">
        <v>205</v>
      </c>
      <c r="B71" s="88" t="s">
        <v>649</v>
      </c>
      <c r="C71" s="626" t="s">
        <v>206</v>
      </c>
      <c r="D71" s="627"/>
      <c r="E71" s="627"/>
      <c r="F71" s="547">
        <v>1000</v>
      </c>
      <c r="G71" s="89">
        <v>1000</v>
      </c>
      <c r="H71" s="311">
        <v>1000</v>
      </c>
      <c r="I71" s="509">
        <v>1000</v>
      </c>
      <c r="J71" s="233">
        <f t="shared" si="21"/>
        <v>1000</v>
      </c>
      <c r="K71" s="142"/>
      <c r="L71" s="158">
        <f t="shared" si="2"/>
        <v>1000</v>
      </c>
      <c r="M71" s="90"/>
      <c r="N71" s="91">
        <f>N72</f>
        <v>170</v>
      </c>
      <c r="O71" s="91">
        <f>O73</f>
        <v>830</v>
      </c>
      <c r="P71" s="90">
        <f t="shared" ref="P71:AA71" si="22">P72+P73</f>
        <v>0</v>
      </c>
      <c r="Q71" s="91">
        <f t="shared" si="22"/>
        <v>0</v>
      </c>
      <c r="R71" s="91">
        <f t="shared" si="22"/>
        <v>0</v>
      </c>
      <c r="S71" s="91">
        <f t="shared" si="22"/>
        <v>0</v>
      </c>
      <c r="T71" s="91">
        <f t="shared" si="22"/>
        <v>-1</v>
      </c>
      <c r="U71" s="94">
        <f t="shared" si="22"/>
        <v>-1</v>
      </c>
      <c r="V71" s="94">
        <f t="shared" si="22"/>
        <v>173</v>
      </c>
      <c r="W71" s="95">
        <f t="shared" si="22"/>
        <v>-2</v>
      </c>
      <c r="X71" s="93">
        <f t="shared" si="22"/>
        <v>0</v>
      </c>
      <c r="Y71" s="93">
        <f t="shared" si="22"/>
        <v>0</v>
      </c>
      <c r="Z71" s="93">
        <f t="shared" si="22"/>
        <v>0</v>
      </c>
      <c r="AA71" s="95">
        <f t="shared" si="22"/>
        <v>831</v>
      </c>
    </row>
    <row r="72" spans="1:27" s="41" customFormat="1" x14ac:dyDescent="0.25">
      <c r="A72" s="118"/>
      <c r="B72" s="539"/>
      <c r="C72" s="549"/>
      <c r="D72" s="527" t="s">
        <v>843</v>
      </c>
      <c r="E72" s="500"/>
      <c r="F72" s="540"/>
      <c r="G72" s="541"/>
      <c r="H72" s="492"/>
      <c r="I72" s="492"/>
      <c r="J72" s="542">
        <f>SUM(P72:AA72)</f>
        <v>170</v>
      </c>
      <c r="K72" s="543"/>
      <c r="L72" s="544">
        <f t="shared" si="2"/>
        <v>170</v>
      </c>
      <c r="M72" s="382"/>
      <c r="N72" s="545">
        <f>L72</f>
        <v>170</v>
      </c>
      <c r="O72" s="546"/>
      <c r="P72" s="382"/>
      <c r="Q72" s="545"/>
      <c r="R72" s="545"/>
      <c r="S72" s="545"/>
      <c r="T72" s="545"/>
      <c r="U72" s="301"/>
      <c r="V72" s="301">
        <v>170</v>
      </c>
      <c r="W72" s="420"/>
      <c r="X72" s="382"/>
      <c r="Y72" s="545"/>
      <c r="Z72" s="545"/>
      <c r="AA72" s="420"/>
    </row>
    <row r="73" spans="1:27" s="41" customFormat="1" ht="15.75" thickBot="1" x14ac:dyDescent="0.3">
      <c r="A73" s="118"/>
      <c r="B73" s="530"/>
      <c r="C73" s="550"/>
      <c r="D73" s="305" t="s">
        <v>990</v>
      </c>
      <c r="E73" s="548"/>
      <c r="F73" s="532"/>
      <c r="G73" s="533"/>
      <c r="H73" s="534"/>
      <c r="I73" s="534"/>
      <c r="J73" s="535">
        <f>SUM(P73:AA73)</f>
        <v>830</v>
      </c>
      <c r="K73" s="537"/>
      <c r="L73" s="538">
        <f t="shared" si="2"/>
        <v>830</v>
      </c>
      <c r="M73" s="526"/>
      <c r="N73" s="531"/>
      <c r="O73" s="536">
        <f>L73</f>
        <v>830</v>
      </c>
      <c r="P73" s="526"/>
      <c r="Q73" s="531"/>
      <c r="R73" s="531"/>
      <c r="S73" s="531"/>
      <c r="T73" s="287">
        <v>-1</v>
      </c>
      <c r="U73" s="288">
        <v>-1</v>
      </c>
      <c r="V73" s="288">
        <v>3</v>
      </c>
      <c r="W73" s="422">
        <v>-2</v>
      </c>
      <c r="X73" s="526"/>
      <c r="Y73" s="531"/>
      <c r="Z73" s="531"/>
      <c r="AA73" s="422">
        <v>831</v>
      </c>
    </row>
    <row r="74" spans="1:27" ht="15.75" thickBot="1" x14ac:dyDescent="0.3">
      <c r="B74" s="529" t="s">
        <v>207</v>
      </c>
      <c r="C74" s="728" t="s">
        <v>208</v>
      </c>
      <c r="D74" s="729"/>
      <c r="E74" s="729"/>
      <c r="F74" s="357">
        <v>0</v>
      </c>
      <c r="G74" s="400">
        <v>0</v>
      </c>
      <c r="H74" s="494">
        <v>0</v>
      </c>
      <c r="I74" s="525">
        <v>0</v>
      </c>
      <c r="J74" s="355">
        <f>J75+J76+J77+J78+J79+J80+J81+J85</f>
        <v>0</v>
      </c>
      <c r="K74" s="356">
        <f t="shared" ref="K74:AA74" si="23">K75+K76+K77+K78+K79+K80+K81+K85</f>
        <v>0</v>
      </c>
      <c r="L74" s="357">
        <f t="shared" si="2"/>
        <v>0</v>
      </c>
      <c r="M74" s="358">
        <f>M75+M76+M77+M78+M79+M80+M81+M85</f>
        <v>0</v>
      </c>
      <c r="N74" s="350">
        <f>N75+N76+N77+N78+N79+N80+N81+N85</f>
        <v>0</v>
      </c>
      <c r="O74" s="350">
        <f>O75+O76+O77+O78+O79+O80+O81+O85</f>
        <v>0</v>
      </c>
      <c r="P74" s="358">
        <f t="shared" si="23"/>
        <v>0</v>
      </c>
      <c r="Q74" s="350">
        <f t="shared" si="23"/>
        <v>0</v>
      </c>
      <c r="R74" s="415">
        <f t="shared" si="23"/>
        <v>0</v>
      </c>
      <c r="S74" s="415">
        <f t="shared" si="23"/>
        <v>0</v>
      </c>
      <c r="T74" s="350">
        <f t="shared" si="23"/>
        <v>0</v>
      </c>
      <c r="U74" s="415">
        <f t="shared" si="23"/>
        <v>0</v>
      </c>
      <c r="V74" s="415">
        <f t="shared" si="23"/>
        <v>0</v>
      </c>
      <c r="W74" s="351">
        <f t="shared" si="23"/>
        <v>0</v>
      </c>
      <c r="X74" s="400">
        <f t="shared" si="23"/>
        <v>0</v>
      </c>
      <c r="Y74" s="415">
        <f t="shared" si="23"/>
        <v>0</v>
      </c>
      <c r="Z74" s="415">
        <f t="shared" si="23"/>
        <v>0</v>
      </c>
      <c r="AA74" s="351">
        <f t="shared" si="23"/>
        <v>0</v>
      </c>
    </row>
    <row r="75" spans="1:27" s="18" customFormat="1" ht="15" hidden="1" customHeight="1" x14ac:dyDescent="0.25">
      <c r="A75" s="118" t="s">
        <v>877</v>
      </c>
      <c r="B75" s="108" t="s">
        <v>878</v>
      </c>
      <c r="C75" s="634" t="s">
        <v>879</v>
      </c>
      <c r="D75" s="635"/>
      <c r="E75" s="635"/>
      <c r="F75" s="158">
        <v>0</v>
      </c>
      <c r="G75" s="339">
        <v>0</v>
      </c>
      <c r="H75" s="309">
        <v>0</v>
      </c>
      <c r="I75" s="507">
        <v>0</v>
      </c>
      <c r="J75" s="231">
        <f t="shared" ref="J75:J80" si="24">SUM(P75:AA75)</f>
        <v>0</v>
      </c>
      <c r="K75" s="140"/>
      <c r="L75" s="158">
        <f t="shared" si="2"/>
        <v>0</v>
      </c>
      <c r="M75" s="90"/>
      <c r="N75" s="91"/>
      <c r="O75" s="91"/>
      <c r="P75" s="90"/>
      <c r="Q75" s="91"/>
      <c r="R75" s="94"/>
      <c r="S75" s="94"/>
      <c r="T75" s="91"/>
      <c r="U75" s="94"/>
      <c r="V75" s="94"/>
      <c r="W75" s="556"/>
      <c r="X75" s="393"/>
      <c r="Y75" s="94"/>
      <c r="Z75" s="94"/>
      <c r="AA75" s="95"/>
    </row>
    <row r="76" spans="1:27" s="18" customFormat="1" ht="15" hidden="1" customHeight="1" x14ac:dyDescent="0.25">
      <c r="A76" s="118" t="s">
        <v>209</v>
      </c>
      <c r="B76" s="108" t="s">
        <v>650</v>
      </c>
      <c r="C76" s="634" t="s">
        <v>210</v>
      </c>
      <c r="D76" s="635"/>
      <c r="E76" s="635"/>
      <c r="F76" s="158">
        <v>0</v>
      </c>
      <c r="G76" s="339">
        <v>0</v>
      </c>
      <c r="H76" s="309">
        <v>0</v>
      </c>
      <c r="I76" s="507">
        <v>0</v>
      </c>
      <c r="J76" s="231">
        <f t="shared" si="24"/>
        <v>0</v>
      </c>
      <c r="K76" s="140"/>
      <c r="L76" s="158">
        <f t="shared" si="2"/>
        <v>0</v>
      </c>
      <c r="M76" s="90"/>
      <c r="N76" s="91"/>
      <c r="O76" s="91"/>
      <c r="P76" s="90"/>
      <c r="Q76" s="91"/>
      <c r="R76" s="94"/>
      <c r="S76" s="94"/>
      <c r="T76" s="91"/>
      <c r="U76" s="94"/>
      <c r="V76" s="94"/>
      <c r="W76" s="556"/>
      <c r="X76" s="393"/>
      <c r="Y76" s="94"/>
      <c r="Z76" s="94"/>
      <c r="AA76" s="95"/>
    </row>
    <row r="77" spans="1:27" s="18" customFormat="1" ht="15" hidden="1" customHeight="1" x14ac:dyDescent="0.25">
      <c r="A77" s="118" t="s">
        <v>211</v>
      </c>
      <c r="B77" s="88" t="s">
        <v>651</v>
      </c>
      <c r="C77" s="626" t="s">
        <v>352</v>
      </c>
      <c r="D77" s="627"/>
      <c r="E77" s="627"/>
      <c r="F77" s="158">
        <v>0</v>
      </c>
      <c r="G77" s="341">
        <v>0</v>
      </c>
      <c r="H77" s="311">
        <v>0</v>
      </c>
      <c r="I77" s="509">
        <v>0</v>
      </c>
      <c r="J77" s="233">
        <f t="shared" si="24"/>
        <v>0</v>
      </c>
      <c r="K77" s="142"/>
      <c r="L77" s="158">
        <f t="shared" si="2"/>
        <v>0</v>
      </c>
      <c r="M77" s="90"/>
      <c r="N77" s="91"/>
      <c r="O77" s="91"/>
      <c r="P77" s="90"/>
      <c r="Q77" s="91"/>
      <c r="R77" s="94"/>
      <c r="S77" s="94"/>
      <c r="T77" s="91"/>
      <c r="U77" s="94"/>
      <c r="V77" s="94"/>
      <c r="W77" s="556"/>
      <c r="X77" s="393"/>
      <c r="Y77" s="94"/>
      <c r="Z77" s="94"/>
      <c r="AA77" s="95"/>
    </row>
    <row r="78" spans="1:27" s="18" customFormat="1" ht="15" hidden="1" customHeight="1" x14ac:dyDescent="0.25">
      <c r="A78" s="118" t="s">
        <v>212</v>
      </c>
      <c r="B78" s="108" t="s">
        <v>652</v>
      </c>
      <c r="C78" s="626" t="s">
        <v>880</v>
      </c>
      <c r="D78" s="627"/>
      <c r="E78" s="627"/>
      <c r="F78" s="158">
        <v>0</v>
      </c>
      <c r="G78" s="341">
        <v>0</v>
      </c>
      <c r="H78" s="311">
        <v>0</v>
      </c>
      <c r="I78" s="509">
        <v>0</v>
      </c>
      <c r="J78" s="233">
        <f t="shared" si="24"/>
        <v>0</v>
      </c>
      <c r="K78" s="142"/>
      <c r="L78" s="158">
        <f t="shared" si="2"/>
        <v>0</v>
      </c>
      <c r="M78" s="90"/>
      <c r="N78" s="91"/>
      <c r="O78" s="91"/>
      <c r="P78" s="90"/>
      <c r="Q78" s="91"/>
      <c r="R78" s="94"/>
      <c r="S78" s="94"/>
      <c r="T78" s="91"/>
      <c r="U78" s="94"/>
      <c r="V78" s="94"/>
      <c r="W78" s="556"/>
      <c r="X78" s="393"/>
      <c r="Y78" s="94"/>
      <c r="Z78" s="94"/>
      <c r="AA78" s="95"/>
    </row>
    <row r="79" spans="1:27" s="18" customFormat="1" ht="15" hidden="1" customHeight="1" x14ac:dyDescent="0.25">
      <c r="A79" s="118" t="s">
        <v>213</v>
      </c>
      <c r="B79" s="88" t="s">
        <v>653</v>
      </c>
      <c r="C79" s="626" t="s">
        <v>881</v>
      </c>
      <c r="D79" s="627"/>
      <c r="E79" s="627"/>
      <c r="F79" s="158">
        <v>0</v>
      </c>
      <c r="G79" s="341">
        <v>0</v>
      </c>
      <c r="H79" s="311">
        <v>0</v>
      </c>
      <c r="I79" s="509">
        <v>0</v>
      </c>
      <c r="J79" s="233">
        <f t="shared" si="24"/>
        <v>0</v>
      </c>
      <c r="K79" s="142"/>
      <c r="L79" s="158">
        <f t="shared" si="2"/>
        <v>0</v>
      </c>
      <c r="M79" s="90"/>
      <c r="N79" s="91"/>
      <c r="O79" s="91"/>
      <c r="P79" s="90"/>
      <c r="Q79" s="91"/>
      <c r="R79" s="94"/>
      <c r="S79" s="94"/>
      <c r="T79" s="91"/>
      <c r="U79" s="94"/>
      <c r="V79" s="94"/>
      <c r="W79" s="556"/>
      <c r="X79" s="393"/>
      <c r="Y79" s="94"/>
      <c r="Z79" s="94"/>
      <c r="AA79" s="95"/>
    </row>
    <row r="80" spans="1:27" s="18" customFormat="1" ht="15" hidden="1" customHeight="1" x14ac:dyDescent="0.25">
      <c r="A80" s="118" t="s">
        <v>214</v>
      </c>
      <c r="B80" s="108" t="s">
        <v>654</v>
      </c>
      <c r="C80" s="626" t="s">
        <v>215</v>
      </c>
      <c r="D80" s="627"/>
      <c r="E80" s="627"/>
      <c r="F80" s="158">
        <v>0</v>
      </c>
      <c r="G80" s="341">
        <v>0</v>
      </c>
      <c r="H80" s="311">
        <v>0</v>
      </c>
      <c r="I80" s="509">
        <v>0</v>
      </c>
      <c r="J80" s="233">
        <f t="shared" si="24"/>
        <v>0</v>
      </c>
      <c r="K80" s="142"/>
      <c r="L80" s="158">
        <f t="shared" si="2"/>
        <v>0</v>
      </c>
      <c r="M80" s="90"/>
      <c r="N80" s="91"/>
      <c r="O80" s="91"/>
      <c r="P80" s="90"/>
      <c r="Q80" s="91"/>
      <c r="R80" s="94"/>
      <c r="S80" s="94"/>
      <c r="T80" s="91"/>
      <c r="U80" s="94"/>
      <c r="V80" s="94"/>
      <c r="W80" s="556"/>
      <c r="X80" s="393"/>
      <c r="Y80" s="94"/>
      <c r="Z80" s="94"/>
      <c r="AA80" s="95"/>
    </row>
    <row r="81" spans="1:28" s="18" customFormat="1" ht="15" hidden="1" customHeight="1" x14ac:dyDescent="0.25">
      <c r="A81" s="118" t="s">
        <v>216</v>
      </c>
      <c r="B81" s="88" t="s">
        <v>655</v>
      </c>
      <c r="C81" s="626" t="s">
        <v>217</v>
      </c>
      <c r="D81" s="627"/>
      <c r="E81" s="627"/>
      <c r="F81" s="158">
        <v>0</v>
      </c>
      <c r="G81" s="341">
        <v>0</v>
      </c>
      <c r="H81" s="311">
        <v>0</v>
      </c>
      <c r="I81" s="509">
        <v>0</v>
      </c>
      <c r="J81" s="233">
        <f>J82+J83+J84</f>
        <v>0</v>
      </c>
      <c r="K81" s="142">
        <f t="shared" ref="K81:AA81" si="25">K82+K83+K84</f>
        <v>0</v>
      </c>
      <c r="L81" s="158">
        <f t="shared" si="2"/>
        <v>0</v>
      </c>
      <c r="M81" s="90">
        <f>M82+M83+M84</f>
        <v>0</v>
      </c>
      <c r="N81" s="91">
        <f>N82+N83+N84</f>
        <v>0</v>
      </c>
      <c r="O81" s="91">
        <f>O82+O83+O84</f>
        <v>0</v>
      </c>
      <c r="P81" s="90">
        <f t="shared" si="25"/>
        <v>0</v>
      </c>
      <c r="Q81" s="91">
        <f t="shared" si="25"/>
        <v>0</v>
      </c>
      <c r="R81" s="94">
        <f t="shared" si="25"/>
        <v>0</v>
      </c>
      <c r="S81" s="94">
        <f t="shared" si="25"/>
        <v>0</v>
      </c>
      <c r="T81" s="91">
        <f t="shared" si="25"/>
        <v>0</v>
      </c>
      <c r="U81" s="94">
        <f t="shared" si="25"/>
        <v>0</v>
      </c>
      <c r="V81" s="94">
        <f t="shared" si="25"/>
        <v>0</v>
      </c>
      <c r="W81" s="556">
        <f t="shared" si="25"/>
        <v>0</v>
      </c>
      <c r="X81" s="393">
        <f t="shared" si="25"/>
        <v>0</v>
      </c>
      <c r="Y81" s="94">
        <f t="shared" si="25"/>
        <v>0</v>
      </c>
      <c r="Z81" s="94">
        <f t="shared" si="25"/>
        <v>0</v>
      </c>
      <c r="AA81" s="95">
        <f t="shared" si="25"/>
        <v>0</v>
      </c>
    </row>
    <row r="82" spans="1:28" ht="15" hidden="1" customHeight="1" x14ac:dyDescent="0.25">
      <c r="B82" s="54"/>
      <c r="C82" s="2"/>
      <c r="D82" s="624" t="s">
        <v>343</v>
      </c>
      <c r="E82" s="624"/>
      <c r="F82" s="159">
        <v>0</v>
      </c>
      <c r="G82" s="343">
        <v>0</v>
      </c>
      <c r="H82" s="313">
        <v>0</v>
      </c>
      <c r="I82" s="513">
        <v>0</v>
      </c>
      <c r="J82" s="232">
        <f>SUM(P82:AA82)</f>
        <v>0</v>
      </c>
      <c r="K82" s="141"/>
      <c r="L82" s="159">
        <f t="shared" si="2"/>
        <v>0</v>
      </c>
      <c r="M82" s="72"/>
      <c r="N82" s="1"/>
      <c r="O82" s="1"/>
      <c r="P82" s="72"/>
      <c r="Q82" s="1"/>
      <c r="R82" s="78"/>
      <c r="S82" s="78"/>
      <c r="T82" s="1"/>
      <c r="U82" s="78"/>
      <c r="V82" s="78"/>
      <c r="W82" s="557"/>
      <c r="X82" s="394"/>
      <c r="Y82" s="78"/>
      <c r="Z82" s="78"/>
      <c r="AA82" s="44"/>
      <c r="AB82" s="21"/>
    </row>
    <row r="83" spans="1:28" ht="15" hidden="1" customHeight="1" x14ac:dyDescent="0.25">
      <c r="B83" s="54"/>
      <c r="C83" s="2"/>
      <c r="D83" s="624" t="s">
        <v>344</v>
      </c>
      <c r="E83" s="624"/>
      <c r="F83" s="159">
        <v>0</v>
      </c>
      <c r="G83" s="343">
        <v>0</v>
      </c>
      <c r="H83" s="313">
        <v>0</v>
      </c>
      <c r="I83" s="513">
        <v>0</v>
      </c>
      <c r="J83" s="232">
        <f>SUM(P83:AA83)</f>
        <v>0</v>
      </c>
      <c r="K83" s="141"/>
      <c r="L83" s="159">
        <f t="shared" si="2"/>
        <v>0</v>
      </c>
      <c r="M83" s="72"/>
      <c r="N83" s="1"/>
      <c r="O83" s="1"/>
      <c r="P83" s="72"/>
      <c r="Q83" s="1"/>
      <c r="R83" s="78"/>
      <c r="S83" s="78"/>
      <c r="T83" s="1"/>
      <c r="U83" s="78"/>
      <c r="V83" s="78"/>
      <c r="W83" s="557"/>
      <c r="X83" s="394"/>
      <c r="Y83" s="78"/>
      <c r="Z83" s="78"/>
      <c r="AA83" s="44"/>
    </row>
    <row r="84" spans="1:28" ht="15" hidden="1" customHeight="1" x14ac:dyDescent="0.25">
      <c r="B84" s="54"/>
      <c r="C84" s="2"/>
      <c r="D84" s="624" t="s">
        <v>345</v>
      </c>
      <c r="E84" s="624"/>
      <c r="F84" s="159">
        <v>0</v>
      </c>
      <c r="G84" s="343">
        <v>0</v>
      </c>
      <c r="H84" s="313">
        <v>0</v>
      </c>
      <c r="I84" s="513">
        <v>0</v>
      </c>
      <c r="J84" s="232">
        <f>SUM(P84:AA84)</f>
        <v>0</v>
      </c>
      <c r="K84" s="141"/>
      <c r="L84" s="159">
        <f t="shared" si="2"/>
        <v>0</v>
      </c>
      <c r="M84" s="72"/>
      <c r="N84" s="1"/>
      <c r="O84" s="1"/>
      <c r="P84" s="72"/>
      <c r="Q84" s="1"/>
      <c r="R84" s="78"/>
      <c r="S84" s="78"/>
      <c r="T84" s="1"/>
      <c r="U84" s="78"/>
      <c r="V84" s="78"/>
      <c r="W84" s="557"/>
      <c r="X84" s="394"/>
      <c r="Y84" s="78"/>
      <c r="Z84" s="78"/>
      <c r="AA84" s="44"/>
    </row>
    <row r="85" spans="1:28" s="18" customFormat="1" ht="15" hidden="1" customHeight="1" x14ac:dyDescent="0.25">
      <c r="A85" s="118" t="s">
        <v>218</v>
      </c>
      <c r="B85" s="88" t="s">
        <v>656</v>
      </c>
      <c r="C85" s="626" t="s">
        <v>219</v>
      </c>
      <c r="D85" s="627"/>
      <c r="E85" s="627"/>
      <c r="F85" s="158">
        <v>0</v>
      </c>
      <c r="G85" s="341">
        <v>0</v>
      </c>
      <c r="H85" s="311">
        <v>0</v>
      </c>
      <c r="I85" s="509">
        <v>0</v>
      </c>
      <c r="J85" s="233">
        <f>J86+J87+J88+J89</f>
        <v>0</v>
      </c>
      <c r="K85" s="142">
        <f t="shared" ref="K85:AA85" si="26">K86+K87+K88+K89</f>
        <v>0</v>
      </c>
      <c r="L85" s="158">
        <f t="shared" ref="L85:L148" si="27">SUM(J85:K85)</f>
        <v>0</v>
      </c>
      <c r="M85" s="90">
        <f>M86+M87+M88+M89</f>
        <v>0</v>
      </c>
      <c r="N85" s="91">
        <f>N86+N87+N88+N89</f>
        <v>0</v>
      </c>
      <c r="O85" s="91">
        <f>O86+O87+O88+O89</f>
        <v>0</v>
      </c>
      <c r="P85" s="90">
        <f t="shared" si="26"/>
        <v>0</v>
      </c>
      <c r="Q85" s="91">
        <f t="shared" si="26"/>
        <v>0</v>
      </c>
      <c r="R85" s="94">
        <f t="shared" si="26"/>
        <v>0</v>
      </c>
      <c r="S85" s="94">
        <f t="shared" si="26"/>
        <v>0</v>
      </c>
      <c r="T85" s="91">
        <f t="shared" si="26"/>
        <v>0</v>
      </c>
      <c r="U85" s="94">
        <f t="shared" si="26"/>
        <v>0</v>
      </c>
      <c r="V85" s="94">
        <f t="shared" si="26"/>
        <v>0</v>
      </c>
      <c r="W85" s="556">
        <f t="shared" si="26"/>
        <v>0</v>
      </c>
      <c r="X85" s="393">
        <f t="shared" si="26"/>
        <v>0</v>
      </c>
      <c r="Y85" s="94">
        <f t="shared" si="26"/>
        <v>0</v>
      </c>
      <c r="Z85" s="94">
        <f t="shared" si="26"/>
        <v>0</v>
      </c>
      <c r="AA85" s="95">
        <f t="shared" si="26"/>
        <v>0</v>
      </c>
    </row>
    <row r="86" spans="1:28" ht="15" hidden="1" customHeight="1" x14ac:dyDescent="0.25">
      <c r="B86" s="54"/>
      <c r="C86" s="2"/>
      <c r="D86" s="624" t="s">
        <v>835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>SUM(P86:AA86)</f>
        <v>0</v>
      </c>
      <c r="K86" s="141"/>
      <c r="L86" s="159">
        <f t="shared" si="27"/>
        <v>0</v>
      </c>
      <c r="M86" s="72"/>
      <c r="N86" s="1"/>
      <c r="O86" s="1"/>
      <c r="P86" s="72"/>
      <c r="Q86" s="1"/>
      <c r="R86" s="78"/>
      <c r="S86" s="78"/>
      <c r="T86" s="1"/>
      <c r="U86" s="78"/>
      <c r="V86" s="78"/>
      <c r="W86" s="557"/>
      <c r="X86" s="394"/>
      <c r="Y86" s="78"/>
      <c r="Z86" s="78"/>
      <c r="AA86" s="44"/>
    </row>
    <row r="87" spans="1:28" ht="15" hidden="1" customHeight="1" x14ac:dyDescent="0.25">
      <c r="B87" s="54"/>
      <c r="C87" s="2"/>
      <c r="D87" s="624" t="s">
        <v>346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>SUM(P87:AA87)</f>
        <v>0</v>
      </c>
      <c r="K87" s="141"/>
      <c r="L87" s="159">
        <f t="shared" si="27"/>
        <v>0</v>
      </c>
      <c r="M87" s="72"/>
      <c r="N87" s="1"/>
      <c r="O87" s="1"/>
      <c r="P87" s="72"/>
      <c r="Q87" s="1"/>
      <c r="R87" s="78"/>
      <c r="S87" s="78"/>
      <c r="T87" s="1"/>
      <c r="U87" s="78"/>
      <c r="V87" s="78"/>
      <c r="W87" s="557"/>
      <c r="X87" s="394"/>
      <c r="Y87" s="78"/>
      <c r="Z87" s="78"/>
      <c r="AA87" s="44"/>
    </row>
    <row r="88" spans="1:28" ht="15" hidden="1" customHeight="1" x14ac:dyDescent="0.25">
      <c r="B88" s="54"/>
      <c r="C88" s="2"/>
      <c r="D88" s="624" t="s">
        <v>836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>SUM(P88:AA88)</f>
        <v>0</v>
      </c>
      <c r="K88" s="141"/>
      <c r="L88" s="159">
        <f t="shared" si="27"/>
        <v>0</v>
      </c>
      <c r="M88" s="72"/>
      <c r="N88" s="1"/>
      <c r="O88" s="1"/>
      <c r="P88" s="72"/>
      <c r="Q88" s="1"/>
      <c r="R88" s="78"/>
      <c r="S88" s="78"/>
      <c r="T88" s="1"/>
      <c r="U88" s="78"/>
      <c r="V88" s="78"/>
      <c r="W88" s="557"/>
      <c r="X88" s="394"/>
      <c r="Y88" s="78"/>
      <c r="Z88" s="78"/>
      <c r="AA88" s="44"/>
    </row>
    <row r="89" spans="1:28" ht="15.75" hidden="1" customHeight="1" thickBot="1" x14ac:dyDescent="0.3">
      <c r="B89" s="54"/>
      <c r="C89" s="2"/>
      <c r="D89" s="624" t="s">
        <v>834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>SUM(P89:AA89)</f>
        <v>0</v>
      </c>
      <c r="K89" s="141"/>
      <c r="L89" s="159">
        <f t="shared" si="27"/>
        <v>0</v>
      </c>
      <c r="M89" s="72"/>
      <c r="N89" s="1"/>
      <c r="O89" s="1"/>
      <c r="P89" s="72"/>
      <c r="Q89" s="1"/>
      <c r="R89" s="78"/>
      <c r="S89" s="78"/>
      <c r="T89" s="1"/>
      <c r="U89" s="78"/>
      <c r="V89" s="78"/>
      <c r="W89" s="557"/>
      <c r="X89" s="394"/>
      <c r="Y89" s="78"/>
      <c r="Z89" s="78"/>
      <c r="AA89" s="44"/>
    </row>
    <row r="90" spans="1:28" ht="15.75" thickBot="1" x14ac:dyDescent="0.3">
      <c r="B90" s="96" t="s">
        <v>220</v>
      </c>
      <c r="C90" s="632" t="s">
        <v>221</v>
      </c>
      <c r="D90" s="633"/>
      <c r="E90" s="633"/>
      <c r="F90" s="156">
        <v>0</v>
      </c>
      <c r="G90" s="338">
        <v>0</v>
      </c>
      <c r="H90" s="308">
        <v>0</v>
      </c>
      <c r="I90" s="506">
        <v>0</v>
      </c>
      <c r="J90" s="235">
        <f>J91+J94+J98+J99+J110+J121+J132+J135+J147+J148+J149+J150+J161</f>
        <v>0</v>
      </c>
      <c r="K90" s="144">
        <f t="shared" ref="K90:AA90" si="28">K91+K94+K98+K99+K110+K121+K132+K135+K147+K148+K149+K150+K161</f>
        <v>0</v>
      </c>
      <c r="L90" s="156">
        <f t="shared" si="27"/>
        <v>0</v>
      </c>
      <c r="M90" s="82">
        <f>M91+M94+M98+M99+M110+M121+M132+M135+M147+M148+M149+M150+M161</f>
        <v>0</v>
      </c>
      <c r="N90" s="83">
        <f>N91+N94+N98+N99+N110+N121+N132+N135+N147+N148+N149+N150+N161</f>
        <v>0</v>
      </c>
      <c r="O90" s="83">
        <f>O91+O94+O98+O99+O110+O121+O132+O135+O147+O148+O149+O150+O161</f>
        <v>0</v>
      </c>
      <c r="P90" s="82">
        <f t="shared" si="28"/>
        <v>0</v>
      </c>
      <c r="Q90" s="83">
        <f t="shared" si="28"/>
        <v>0</v>
      </c>
      <c r="R90" s="86">
        <f t="shared" si="28"/>
        <v>0</v>
      </c>
      <c r="S90" s="86">
        <f t="shared" si="28"/>
        <v>0</v>
      </c>
      <c r="T90" s="83">
        <f t="shared" si="28"/>
        <v>0</v>
      </c>
      <c r="U90" s="86">
        <f t="shared" si="28"/>
        <v>0</v>
      </c>
      <c r="V90" s="86">
        <f t="shared" si="28"/>
        <v>0</v>
      </c>
      <c r="W90" s="87">
        <f t="shared" si="28"/>
        <v>0</v>
      </c>
      <c r="X90" s="338">
        <f t="shared" si="28"/>
        <v>0</v>
      </c>
      <c r="Y90" s="86">
        <f t="shared" si="28"/>
        <v>0</v>
      </c>
      <c r="Z90" s="86">
        <f t="shared" si="28"/>
        <v>0</v>
      </c>
      <c r="AA90" s="87">
        <f t="shared" si="28"/>
        <v>0</v>
      </c>
    </row>
    <row r="91" spans="1:28" s="41" customFormat="1" ht="15" hidden="1" customHeight="1" x14ac:dyDescent="0.25">
      <c r="A91" s="118" t="s">
        <v>222</v>
      </c>
      <c r="B91" s="116" t="s">
        <v>657</v>
      </c>
      <c r="C91" s="657" t="s">
        <v>223</v>
      </c>
      <c r="D91" s="658"/>
      <c r="E91" s="658"/>
      <c r="F91" s="161">
        <v>0</v>
      </c>
      <c r="G91" s="344">
        <v>0</v>
      </c>
      <c r="H91" s="314">
        <v>0</v>
      </c>
      <c r="I91" s="515">
        <v>0</v>
      </c>
      <c r="J91" s="240">
        <f>J92+J93</f>
        <v>0</v>
      </c>
      <c r="K91" s="149">
        <f t="shared" ref="K91:AA91" si="29">K92+K93</f>
        <v>0</v>
      </c>
      <c r="L91" s="161">
        <f t="shared" si="27"/>
        <v>0</v>
      </c>
      <c r="M91" s="163">
        <f>M92+M93</f>
        <v>0</v>
      </c>
      <c r="N91" s="124">
        <f>N92+N93</f>
        <v>0</v>
      </c>
      <c r="O91" s="124">
        <f>O92+O93</f>
        <v>0</v>
      </c>
      <c r="P91" s="163">
        <f t="shared" si="29"/>
        <v>0</v>
      </c>
      <c r="Q91" s="124">
        <f t="shared" si="29"/>
        <v>0</v>
      </c>
      <c r="R91" s="125">
        <f t="shared" si="29"/>
        <v>0</v>
      </c>
      <c r="S91" s="125">
        <f t="shared" si="29"/>
        <v>0</v>
      </c>
      <c r="T91" s="124">
        <f t="shared" si="29"/>
        <v>0</v>
      </c>
      <c r="U91" s="125">
        <f t="shared" si="29"/>
        <v>0</v>
      </c>
      <c r="V91" s="125">
        <f t="shared" si="29"/>
        <v>0</v>
      </c>
      <c r="W91" s="559">
        <f t="shared" si="29"/>
        <v>0</v>
      </c>
      <c r="X91" s="395">
        <f t="shared" si="29"/>
        <v>0</v>
      </c>
      <c r="Y91" s="125">
        <f t="shared" si="29"/>
        <v>0</v>
      </c>
      <c r="Z91" s="125">
        <f t="shared" si="29"/>
        <v>0</v>
      </c>
      <c r="AA91" s="126">
        <f t="shared" si="29"/>
        <v>0</v>
      </c>
    </row>
    <row r="92" spans="1:28" ht="15" hidden="1" customHeight="1" x14ac:dyDescent="0.25">
      <c r="B92" s="54"/>
      <c r="C92" s="2"/>
      <c r="D92" s="624" t="s">
        <v>347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>SUM(P92:AA92)</f>
        <v>0</v>
      </c>
      <c r="K92" s="141"/>
      <c r="L92" s="159">
        <f t="shared" si="27"/>
        <v>0</v>
      </c>
      <c r="M92" s="72"/>
      <c r="N92" s="1"/>
      <c r="O92" s="1"/>
      <c r="P92" s="72"/>
      <c r="Q92" s="1"/>
      <c r="R92" s="78"/>
      <c r="S92" s="78"/>
      <c r="T92" s="1"/>
      <c r="U92" s="78"/>
      <c r="V92" s="78"/>
      <c r="W92" s="557"/>
      <c r="X92" s="394"/>
      <c r="Y92" s="78"/>
      <c r="Z92" s="78"/>
      <c r="AA92" s="44"/>
    </row>
    <row r="93" spans="1:28" ht="15" hidden="1" customHeight="1" x14ac:dyDescent="0.25">
      <c r="B93" s="54"/>
      <c r="C93" s="2"/>
      <c r="D93" s="624" t="s">
        <v>348</v>
      </c>
      <c r="E93" s="624"/>
      <c r="F93" s="159">
        <v>0</v>
      </c>
      <c r="G93" s="343">
        <v>0</v>
      </c>
      <c r="H93" s="313">
        <v>0</v>
      </c>
      <c r="I93" s="513">
        <v>0</v>
      </c>
      <c r="J93" s="232">
        <f>SUM(P93:AA93)</f>
        <v>0</v>
      </c>
      <c r="K93" s="141"/>
      <c r="L93" s="159">
        <f t="shared" si="27"/>
        <v>0</v>
      </c>
      <c r="M93" s="72"/>
      <c r="N93" s="1"/>
      <c r="O93" s="1"/>
      <c r="P93" s="72"/>
      <c r="Q93" s="1"/>
      <c r="R93" s="78"/>
      <c r="S93" s="78"/>
      <c r="T93" s="1"/>
      <c r="U93" s="78"/>
      <c r="V93" s="78"/>
      <c r="W93" s="557"/>
      <c r="X93" s="394"/>
      <c r="Y93" s="78"/>
      <c r="Z93" s="78"/>
      <c r="AA93" s="44"/>
    </row>
    <row r="94" spans="1:28" ht="15" hidden="1" customHeight="1" x14ac:dyDescent="0.25">
      <c r="B94" s="116" t="s">
        <v>837</v>
      </c>
      <c r="C94" s="657" t="s">
        <v>838</v>
      </c>
      <c r="D94" s="658"/>
      <c r="E94" s="658"/>
      <c r="F94" s="161">
        <v>0</v>
      </c>
      <c r="G94" s="344">
        <v>0</v>
      </c>
      <c r="H94" s="314">
        <v>0</v>
      </c>
      <c r="I94" s="515">
        <v>0</v>
      </c>
      <c r="J94" s="240">
        <f>J95+J96+J97</f>
        <v>0</v>
      </c>
      <c r="K94" s="149">
        <f t="shared" ref="K94:AA94" si="30">K95+K96+K97</f>
        <v>0</v>
      </c>
      <c r="L94" s="161">
        <f t="shared" si="27"/>
        <v>0</v>
      </c>
      <c r="M94" s="163">
        <f>M95+M96+M97</f>
        <v>0</v>
      </c>
      <c r="N94" s="124">
        <f>N95+N96+N97</f>
        <v>0</v>
      </c>
      <c r="O94" s="124">
        <f>O95+O96+O97</f>
        <v>0</v>
      </c>
      <c r="P94" s="163">
        <f t="shared" si="30"/>
        <v>0</v>
      </c>
      <c r="Q94" s="124">
        <f t="shared" si="30"/>
        <v>0</v>
      </c>
      <c r="R94" s="125">
        <f t="shared" si="30"/>
        <v>0</v>
      </c>
      <c r="S94" s="125">
        <f t="shared" si="30"/>
        <v>0</v>
      </c>
      <c r="T94" s="124">
        <f t="shared" si="30"/>
        <v>0</v>
      </c>
      <c r="U94" s="125">
        <f t="shared" si="30"/>
        <v>0</v>
      </c>
      <c r="V94" s="125">
        <f t="shared" si="30"/>
        <v>0</v>
      </c>
      <c r="W94" s="559">
        <f t="shared" si="30"/>
        <v>0</v>
      </c>
      <c r="X94" s="395">
        <f t="shared" si="30"/>
        <v>0</v>
      </c>
      <c r="Y94" s="125">
        <f t="shared" si="30"/>
        <v>0</v>
      </c>
      <c r="Z94" s="125">
        <f t="shared" si="30"/>
        <v>0</v>
      </c>
      <c r="AA94" s="126">
        <f t="shared" si="30"/>
        <v>0</v>
      </c>
    </row>
    <row r="95" spans="1:28" s="199" customFormat="1" ht="15" hidden="1" customHeight="1" x14ac:dyDescent="0.25">
      <c r="A95" s="118" t="s">
        <v>882</v>
      </c>
      <c r="B95" s="181" t="s">
        <v>883</v>
      </c>
      <c r="C95" s="194"/>
      <c r="D95" s="247" t="s">
        <v>969</v>
      </c>
      <c r="E95" s="247"/>
      <c r="F95" s="183">
        <v>0</v>
      </c>
      <c r="G95" s="340">
        <v>0</v>
      </c>
      <c r="H95" s="310">
        <v>0</v>
      </c>
      <c r="I95" s="508">
        <v>0</v>
      </c>
      <c r="J95" s="251">
        <f>SUM(P95:AA95)</f>
        <v>0</v>
      </c>
      <c r="K95" s="182"/>
      <c r="L95" s="183">
        <f t="shared" si="27"/>
        <v>0</v>
      </c>
      <c r="M95" s="191"/>
      <c r="N95" s="185"/>
      <c r="O95" s="185"/>
      <c r="P95" s="191"/>
      <c r="Q95" s="185"/>
      <c r="R95" s="186"/>
      <c r="S95" s="186"/>
      <c r="T95" s="185"/>
      <c r="U95" s="186"/>
      <c r="V95" s="186"/>
      <c r="W95" s="560"/>
      <c r="X95" s="396"/>
      <c r="Y95" s="186"/>
      <c r="Z95" s="186"/>
      <c r="AA95" s="187"/>
    </row>
    <row r="96" spans="1:28" s="199" customFormat="1" ht="15" hidden="1" customHeight="1" x14ac:dyDescent="0.25">
      <c r="A96" s="118" t="s">
        <v>224</v>
      </c>
      <c r="B96" s="181" t="s">
        <v>658</v>
      </c>
      <c r="C96" s="194"/>
      <c r="D96" s="247" t="s">
        <v>225</v>
      </c>
      <c r="E96" s="247"/>
      <c r="F96" s="183">
        <v>0</v>
      </c>
      <c r="G96" s="340">
        <v>0</v>
      </c>
      <c r="H96" s="310">
        <v>0</v>
      </c>
      <c r="I96" s="508">
        <v>0</v>
      </c>
      <c r="J96" s="251">
        <f>SUM(P96:AA96)</f>
        <v>0</v>
      </c>
      <c r="K96" s="182"/>
      <c r="L96" s="183">
        <f t="shared" si="27"/>
        <v>0</v>
      </c>
      <c r="M96" s="191"/>
      <c r="N96" s="185"/>
      <c r="O96" s="185"/>
      <c r="P96" s="191"/>
      <c r="Q96" s="185"/>
      <c r="R96" s="186"/>
      <c r="S96" s="186"/>
      <c r="T96" s="185"/>
      <c r="U96" s="186"/>
      <c r="V96" s="186"/>
      <c r="W96" s="560"/>
      <c r="X96" s="396"/>
      <c r="Y96" s="186"/>
      <c r="Z96" s="186"/>
      <c r="AA96" s="187"/>
    </row>
    <row r="97" spans="1:27" s="199" customFormat="1" ht="15" hidden="1" customHeight="1" x14ac:dyDescent="0.25">
      <c r="A97" s="118" t="s">
        <v>226</v>
      </c>
      <c r="B97" s="181" t="s">
        <v>659</v>
      </c>
      <c r="C97" s="194"/>
      <c r="D97" s="247" t="s">
        <v>227</v>
      </c>
      <c r="E97" s="247"/>
      <c r="F97" s="183">
        <v>0</v>
      </c>
      <c r="G97" s="340">
        <v>0</v>
      </c>
      <c r="H97" s="310">
        <v>0</v>
      </c>
      <c r="I97" s="508">
        <v>0</v>
      </c>
      <c r="J97" s="251">
        <f>SUM(P97:AA97)</f>
        <v>0</v>
      </c>
      <c r="K97" s="182"/>
      <c r="L97" s="183">
        <f t="shared" si="27"/>
        <v>0</v>
      </c>
      <c r="M97" s="191"/>
      <c r="N97" s="185"/>
      <c r="O97" s="185"/>
      <c r="P97" s="191"/>
      <c r="Q97" s="185"/>
      <c r="R97" s="186"/>
      <c r="S97" s="186"/>
      <c r="T97" s="185"/>
      <c r="U97" s="186"/>
      <c r="V97" s="186"/>
      <c r="W97" s="560"/>
      <c r="X97" s="396"/>
      <c r="Y97" s="186"/>
      <c r="Z97" s="186"/>
      <c r="AA97" s="187"/>
    </row>
    <row r="98" spans="1:27" s="41" customFormat="1" ht="27.75" hidden="1" customHeight="1" x14ac:dyDescent="0.25">
      <c r="A98" s="118" t="s">
        <v>228</v>
      </c>
      <c r="B98" s="101" t="s">
        <v>660</v>
      </c>
      <c r="C98" s="708" t="s">
        <v>353</v>
      </c>
      <c r="D98" s="709"/>
      <c r="E98" s="709"/>
      <c r="F98" s="162">
        <v>0</v>
      </c>
      <c r="G98" s="345">
        <v>0</v>
      </c>
      <c r="H98" s="315">
        <v>0</v>
      </c>
      <c r="I98" s="516">
        <v>0</v>
      </c>
      <c r="J98" s="241">
        <f>SUM(P98:AA98)</f>
        <v>0</v>
      </c>
      <c r="K98" s="150"/>
      <c r="L98" s="162">
        <f t="shared" si="27"/>
        <v>0</v>
      </c>
      <c r="M98" s="102"/>
      <c r="N98" s="103"/>
      <c r="O98" s="103"/>
      <c r="P98" s="102"/>
      <c r="Q98" s="103"/>
      <c r="R98" s="106"/>
      <c r="S98" s="106"/>
      <c r="T98" s="103"/>
      <c r="U98" s="106"/>
      <c r="V98" s="106"/>
      <c r="W98" s="561"/>
      <c r="X98" s="397"/>
      <c r="Y98" s="106"/>
      <c r="Z98" s="106"/>
      <c r="AA98" s="107"/>
    </row>
    <row r="99" spans="1:27" s="41" customFormat="1" ht="15" hidden="1" customHeight="1" x14ac:dyDescent="0.25">
      <c r="A99" s="118" t="s">
        <v>229</v>
      </c>
      <c r="B99" s="101" t="s">
        <v>661</v>
      </c>
      <c r="C99" s="708" t="s">
        <v>803</v>
      </c>
      <c r="D99" s="709"/>
      <c r="E99" s="709"/>
      <c r="F99" s="162">
        <v>0</v>
      </c>
      <c r="G99" s="345">
        <v>0</v>
      </c>
      <c r="H99" s="315">
        <v>0</v>
      </c>
      <c r="I99" s="516">
        <v>0</v>
      </c>
      <c r="J99" s="241">
        <f>J100+J101+J102+J103+J104+J105+J106+J107+J108+J109</f>
        <v>0</v>
      </c>
      <c r="K99" s="150">
        <f t="shared" ref="K99:AA99" si="31">K100+K101+K102+K103+K104+K105+K106+K107+K108+K109</f>
        <v>0</v>
      </c>
      <c r="L99" s="162">
        <f t="shared" si="27"/>
        <v>0</v>
      </c>
      <c r="M99" s="102">
        <f>M100+M101+M102+M103+M104+M105+M106+M107+M108+M109</f>
        <v>0</v>
      </c>
      <c r="N99" s="103">
        <f>N100+N101+N102+N103+N104+N105+N106+N107+N108+N109</f>
        <v>0</v>
      </c>
      <c r="O99" s="103">
        <f>O100+O101+O102+O103+O104+O105+O106+O107+O108+O109</f>
        <v>0</v>
      </c>
      <c r="P99" s="102">
        <f t="shared" si="31"/>
        <v>0</v>
      </c>
      <c r="Q99" s="103">
        <f t="shared" si="31"/>
        <v>0</v>
      </c>
      <c r="R99" s="106">
        <f t="shared" si="31"/>
        <v>0</v>
      </c>
      <c r="S99" s="106">
        <f t="shared" si="31"/>
        <v>0</v>
      </c>
      <c r="T99" s="103">
        <f t="shared" si="31"/>
        <v>0</v>
      </c>
      <c r="U99" s="106">
        <f t="shared" si="31"/>
        <v>0</v>
      </c>
      <c r="V99" s="106">
        <f t="shared" si="31"/>
        <v>0</v>
      </c>
      <c r="W99" s="561">
        <f t="shared" si="31"/>
        <v>0</v>
      </c>
      <c r="X99" s="397">
        <f t="shared" si="31"/>
        <v>0</v>
      </c>
      <c r="Y99" s="106">
        <f t="shared" si="31"/>
        <v>0</v>
      </c>
      <c r="Z99" s="106">
        <f t="shared" si="31"/>
        <v>0</v>
      </c>
      <c r="AA99" s="107">
        <f t="shared" si="31"/>
        <v>0</v>
      </c>
    </row>
    <row r="100" spans="1:27" ht="15" hidden="1" customHeight="1" x14ac:dyDescent="0.25">
      <c r="B100" s="54"/>
      <c r="C100" s="2"/>
      <c r="D100" s="624" t="s">
        <v>370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ref="J100:J109" si="32">SUM(P100:AA100)</f>
        <v>0</v>
      </c>
      <c r="K100" s="141"/>
      <c r="L100" s="159">
        <f t="shared" si="27"/>
        <v>0</v>
      </c>
      <c r="M100" s="72"/>
      <c r="N100" s="1"/>
      <c r="O100" s="1"/>
      <c r="P100" s="72"/>
      <c r="Q100" s="1"/>
      <c r="R100" s="78"/>
      <c r="S100" s="78"/>
      <c r="T100" s="1"/>
      <c r="U100" s="78"/>
      <c r="V100" s="78"/>
      <c r="W100" s="557"/>
      <c r="X100" s="394"/>
      <c r="Y100" s="78"/>
      <c r="Z100" s="78"/>
      <c r="AA100" s="44"/>
    </row>
    <row r="101" spans="1:27" ht="15" hidden="1" customHeight="1" x14ac:dyDescent="0.25">
      <c r="B101" s="54"/>
      <c r="C101" s="2"/>
      <c r="D101" s="624" t="s">
        <v>506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32"/>
        <v>0</v>
      </c>
      <c r="K101" s="141"/>
      <c r="L101" s="159">
        <f t="shared" si="27"/>
        <v>0</v>
      </c>
      <c r="M101" s="72"/>
      <c r="N101" s="1"/>
      <c r="O101" s="1"/>
      <c r="P101" s="72"/>
      <c r="Q101" s="1"/>
      <c r="R101" s="78"/>
      <c r="S101" s="78"/>
      <c r="T101" s="1"/>
      <c r="U101" s="78"/>
      <c r="V101" s="78"/>
      <c r="W101" s="557"/>
      <c r="X101" s="394"/>
      <c r="Y101" s="78"/>
      <c r="Z101" s="78"/>
      <c r="AA101" s="44"/>
    </row>
    <row r="102" spans="1:27" ht="15" hidden="1" customHeight="1" x14ac:dyDescent="0.25">
      <c r="B102" s="54"/>
      <c r="C102" s="2"/>
      <c r="D102" s="624" t="s">
        <v>507</v>
      </c>
      <c r="E102" s="624"/>
      <c r="F102" s="159">
        <v>0</v>
      </c>
      <c r="G102" s="343">
        <v>0</v>
      </c>
      <c r="H102" s="313">
        <v>0</v>
      </c>
      <c r="I102" s="513">
        <v>0</v>
      </c>
      <c r="J102" s="232">
        <f t="shared" si="32"/>
        <v>0</v>
      </c>
      <c r="K102" s="141"/>
      <c r="L102" s="159">
        <f t="shared" si="27"/>
        <v>0</v>
      </c>
      <c r="M102" s="72"/>
      <c r="N102" s="1"/>
      <c r="O102" s="1"/>
      <c r="P102" s="72"/>
      <c r="Q102" s="1"/>
      <c r="R102" s="78"/>
      <c r="S102" s="78"/>
      <c r="T102" s="1"/>
      <c r="U102" s="78"/>
      <c r="V102" s="78"/>
      <c r="W102" s="557"/>
      <c r="X102" s="394"/>
      <c r="Y102" s="78"/>
      <c r="Z102" s="78"/>
      <c r="AA102" s="44"/>
    </row>
    <row r="103" spans="1:27" ht="15" hidden="1" customHeight="1" x14ac:dyDescent="0.25">
      <c r="B103" s="54"/>
      <c r="C103" s="2"/>
      <c r="D103" s="624" t="s">
        <v>508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32"/>
        <v>0</v>
      </c>
      <c r="K103" s="141"/>
      <c r="L103" s="159">
        <f t="shared" si="27"/>
        <v>0</v>
      </c>
      <c r="M103" s="72"/>
      <c r="N103" s="1"/>
      <c r="O103" s="1"/>
      <c r="P103" s="72"/>
      <c r="Q103" s="1"/>
      <c r="R103" s="78"/>
      <c r="S103" s="78"/>
      <c r="T103" s="1"/>
      <c r="U103" s="78"/>
      <c r="V103" s="78"/>
      <c r="W103" s="557"/>
      <c r="X103" s="394"/>
      <c r="Y103" s="78"/>
      <c r="Z103" s="78"/>
      <c r="AA103" s="44"/>
    </row>
    <row r="104" spans="1:27" ht="15" hidden="1" customHeight="1" x14ac:dyDescent="0.25">
      <c r="B104" s="54"/>
      <c r="C104" s="2"/>
      <c r="D104" s="624" t="s">
        <v>509</v>
      </c>
      <c r="E104" s="624"/>
      <c r="F104" s="159">
        <v>0</v>
      </c>
      <c r="G104" s="343">
        <v>0</v>
      </c>
      <c r="H104" s="313">
        <v>0</v>
      </c>
      <c r="I104" s="513">
        <v>0</v>
      </c>
      <c r="J104" s="232">
        <f t="shared" si="32"/>
        <v>0</v>
      </c>
      <c r="K104" s="141"/>
      <c r="L104" s="159">
        <f t="shared" si="27"/>
        <v>0</v>
      </c>
      <c r="M104" s="72"/>
      <c r="N104" s="1"/>
      <c r="O104" s="1"/>
      <c r="P104" s="72"/>
      <c r="Q104" s="1"/>
      <c r="R104" s="78"/>
      <c r="S104" s="78"/>
      <c r="T104" s="1"/>
      <c r="U104" s="78"/>
      <c r="V104" s="78"/>
      <c r="W104" s="557"/>
      <c r="X104" s="394"/>
      <c r="Y104" s="78"/>
      <c r="Z104" s="78"/>
      <c r="AA104" s="44"/>
    </row>
    <row r="105" spans="1:27" ht="15" hidden="1" customHeight="1" x14ac:dyDescent="0.25">
      <c r="B105" s="54"/>
      <c r="C105" s="2"/>
      <c r="D105" s="624" t="s">
        <v>510</v>
      </c>
      <c r="E105" s="624"/>
      <c r="F105" s="159">
        <v>0</v>
      </c>
      <c r="G105" s="343">
        <v>0</v>
      </c>
      <c r="H105" s="313">
        <v>0</v>
      </c>
      <c r="I105" s="513">
        <v>0</v>
      </c>
      <c r="J105" s="232">
        <f t="shared" si="32"/>
        <v>0</v>
      </c>
      <c r="K105" s="141"/>
      <c r="L105" s="159">
        <f t="shared" si="27"/>
        <v>0</v>
      </c>
      <c r="M105" s="72"/>
      <c r="N105" s="1"/>
      <c r="O105" s="1"/>
      <c r="P105" s="72"/>
      <c r="Q105" s="1"/>
      <c r="R105" s="78"/>
      <c r="S105" s="78"/>
      <c r="T105" s="1"/>
      <c r="U105" s="78"/>
      <c r="V105" s="78"/>
      <c r="W105" s="557"/>
      <c r="X105" s="394"/>
      <c r="Y105" s="78"/>
      <c r="Z105" s="78"/>
      <c r="AA105" s="44"/>
    </row>
    <row r="106" spans="1:27" ht="25.5" hidden="1" customHeight="1" x14ac:dyDescent="0.25">
      <c r="B106" s="54"/>
      <c r="C106" s="2"/>
      <c r="D106" s="625" t="s">
        <v>511</v>
      </c>
      <c r="E106" s="625"/>
      <c r="F106" s="159">
        <v>0</v>
      </c>
      <c r="G106" s="343">
        <v>0</v>
      </c>
      <c r="H106" s="313">
        <v>0</v>
      </c>
      <c r="I106" s="513">
        <v>0</v>
      </c>
      <c r="J106" s="242">
        <f t="shared" si="32"/>
        <v>0</v>
      </c>
      <c r="K106" s="151"/>
      <c r="L106" s="159">
        <f t="shared" si="27"/>
        <v>0</v>
      </c>
      <c r="M106" s="72"/>
      <c r="N106" s="1"/>
      <c r="O106" s="1"/>
      <c r="P106" s="72"/>
      <c r="Q106" s="1"/>
      <c r="R106" s="78"/>
      <c r="S106" s="78"/>
      <c r="T106" s="1"/>
      <c r="U106" s="78"/>
      <c r="V106" s="78"/>
      <c r="W106" s="557"/>
      <c r="X106" s="394"/>
      <c r="Y106" s="78"/>
      <c r="Z106" s="78"/>
      <c r="AA106" s="44"/>
    </row>
    <row r="107" spans="1:27" ht="15" hidden="1" customHeight="1" x14ac:dyDescent="0.25">
      <c r="B107" s="54"/>
      <c r="C107" s="2"/>
      <c r="D107" s="624" t="s">
        <v>804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si="32"/>
        <v>0</v>
      </c>
      <c r="K107" s="141"/>
      <c r="L107" s="159">
        <f t="shared" si="27"/>
        <v>0</v>
      </c>
      <c r="M107" s="72"/>
      <c r="N107" s="1"/>
      <c r="O107" s="1"/>
      <c r="P107" s="72"/>
      <c r="Q107" s="1"/>
      <c r="R107" s="78"/>
      <c r="S107" s="78"/>
      <c r="T107" s="1"/>
      <c r="U107" s="78"/>
      <c r="V107" s="78"/>
      <c r="W107" s="557"/>
      <c r="X107" s="394"/>
      <c r="Y107" s="78"/>
      <c r="Z107" s="78"/>
      <c r="AA107" s="44"/>
    </row>
    <row r="108" spans="1:27" ht="25.5" hidden="1" customHeight="1" x14ac:dyDescent="0.25">
      <c r="B108" s="54"/>
      <c r="C108" s="2"/>
      <c r="D108" s="625" t="s">
        <v>512</v>
      </c>
      <c r="E108" s="625"/>
      <c r="F108" s="159">
        <v>0</v>
      </c>
      <c r="G108" s="343">
        <v>0</v>
      </c>
      <c r="H108" s="313">
        <v>0</v>
      </c>
      <c r="I108" s="513">
        <v>0</v>
      </c>
      <c r="J108" s="242">
        <f t="shared" si="32"/>
        <v>0</v>
      </c>
      <c r="K108" s="151"/>
      <c r="L108" s="159">
        <f t="shared" si="27"/>
        <v>0</v>
      </c>
      <c r="M108" s="72"/>
      <c r="N108" s="1"/>
      <c r="O108" s="1"/>
      <c r="P108" s="72"/>
      <c r="Q108" s="1"/>
      <c r="R108" s="78"/>
      <c r="S108" s="78"/>
      <c r="T108" s="1"/>
      <c r="U108" s="78"/>
      <c r="V108" s="78"/>
      <c r="W108" s="557"/>
      <c r="X108" s="394"/>
      <c r="Y108" s="78"/>
      <c r="Z108" s="78"/>
      <c r="AA108" s="44"/>
    </row>
    <row r="109" spans="1:27" ht="25.5" hidden="1" customHeight="1" x14ac:dyDescent="0.25">
      <c r="B109" s="54"/>
      <c r="C109" s="2"/>
      <c r="D109" s="625" t="s">
        <v>513</v>
      </c>
      <c r="E109" s="625"/>
      <c r="F109" s="159">
        <v>0</v>
      </c>
      <c r="G109" s="343">
        <v>0</v>
      </c>
      <c r="H109" s="313">
        <v>0</v>
      </c>
      <c r="I109" s="513">
        <v>0</v>
      </c>
      <c r="J109" s="242">
        <f t="shared" si="32"/>
        <v>0</v>
      </c>
      <c r="K109" s="151"/>
      <c r="L109" s="159">
        <f t="shared" si="27"/>
        <v>0</v>
      </c>
      <c r="M109" s="72"/>
      <c r="N109" s="1"/>
      <c r="O109" s="1"/>
      <c r="P109" s="72"/>
      <c r="Q109" s="1"/>
      <c r="R109" s="78"/>
      <c r="S109" s="78"/>
      <c r="T109" s="1"/>
      <c r="U109" s="78"/>
      <c r="V109" s="78"/>
      <c r="W109" s="557"/>
      <c r="X109" s="394"/>
      <c r="Y109" s="78"/>
      <c r="Z109" s="78"/>
      <c r="AA109" s="44"/>
    </row>
    <row r="110" spans="1:27" s="41" customFormat="1" ht="15" hidden="1" customHeight="1" x14ac:dyDescent="0.25">
      <c r="A110" s="118" t="s">
        <v>230</v>
      </c>
      <c r="B110" s="101" t="s">
        <v>662</v>
      </c>
      <c r="C110" s="708" t="s">
        <v>805</v>
      </c>
      <c r="D110" s="709"/>
      <c r="E110" s="709"/>
      <c r="F110" s="162">
        <v>0</v>
      </c>
      <c r="G110" s="345">
        <v>0</v>
      </c>
      <c r="H110" s="315">
        <v>0</v>
      </c>
      <c r="I110" s="516">
        <v>0</v>
      </c>
      <c r="J110" s="241">
        <f>J111+J112+J113+J114+J115+J116+J117+J118+J119+J120</f>
        <v>0</v>
      </c>
      <c r="K110" s="150">
        <f t="shared" ref="K110:AA110" si="33">K111+K112+K113+K114+K115+K116+K117+K118+K119+K120</f>
        <v>0</v>
      </c>
      <c r="L110" s="162">
        <f t="shared" si="27"/>
        <v>0</v>
      </c>
      <c r="M110" s="102">
        <f>M111+M112+M113+M114+M115+M116+M117+M118+M119+M120</f>
        <v>0</v>
      </c>
      <c r="N110" s="103">
        <f>N111+N112+N113+N114+N115+N116+N117+N118+N119+N120</f>
        <v>0</v>
      </c>
      <c r="O110" s="103">
        <f>O111+O112+O113+O114+O115+O116+O117+O118+O119+O120</f>
        <v>0</v>
      </c>
      <c r="P110" s="102">
        <f t="shared" si="33"/>
        <v>0</v>
      </c>
      <c r="Q110" s="103">
        <f t="shared" si="33"/>
        <v>0</v>
      </c>
      <c r="R110" s="106">
        <f t="shared" si="33"/>
        <v>0</v>
      </c>
      <c r="S110" s="106">
        <f t="shared" si="33"/>
        <v>0</v>
      </c>
      <c r="T110" s="103">
        <f t="shared" si="33"/>
        <v>0</v>
      </c>
      <c r="U110" s="106">
        <f t="shared" si="33"/>
        <v>0</v>
      </c>
      <c r="V110" s="106">
        <f t="shared" si="33"/>
        <v>0</v>
      </c>
      <c r="W110" s="561">
        <f t="shared" si="33"/>
        <v>0</v>
      </c>
      <c r="X110" s="397">
        <f t="shared" si="33"/>
        <v>0</v>
      </c>
      <c r="Y110" s="106">
        <f t="shared" si="33"/>
        <v>0</v>
      </c>
      <c r="Z110" s="106">
        <f t="shared" si="33"/>
        <v>0</v>
      </c>
      <c r="AA110" s="107">
        <f t="shared" si="33"/>
        <v>0</v>
      </c>
    </row>
    <row r="111" spans="1:27" ht="15" hidden="1" customHeight="1" x14ac:dyDescent="0.25">
      <c r="B111" s="54"/>
      <c r="C111" s="2"/>
      <c r="D111" s="624" t="s">
        <v>369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ref="J111:J120" si="34">SUM(P111:AA111)</f>
        <v>0</v>
      </c>
      <c r="K111" s="141"/>
      <c r="L111" s="159">
        <f t="shared" si="27"/>
        <v>0</v>
      </c>
      <c r="M111" s="72"/>
      <c r="N111" s="1"/>
      <c r="O111" s="1"/>
      <c r="P111" s="72"/>
      <c r="Q111" s="1"/>
      <c r="R111" s="78"/>
      <c r="S111" s="78"/>
      <c r="T111" s="1"/>
      <c r="U111" s="78"/>
      <c r="V111" s="78"/>
      <c r="W111" s="557"/>
      <c r="X111" s="394"/>
      <c r="Y111" s="78"/>
      <c r="Z111" s="78"/>
      <c r="AA111" s="44"/>
    </row>
    <row r="112" spans="1:27" ht="15" hidden="1" customHeight="1" x14ac:dyDescent="0.25">
      <c r="B112" s="54"/>
      <c r="C112" s="2"/>
      <c r="D112" s="624" t="s">
        <v>514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34"/>
        <v>0</v>
      </c>
      <c r="K112" s="141"/>
      <c r="L112" s="159">
        <f t="shared" si="27"/>
        <v>0</v>
      </c>
      <c r="M112" s="72"/>
      <c r="N112" s="1"/>
      <c r="O112" s="1"/>
      <c r="P112" s="72"/>
      <c r="Q112" s="1"/>
      <c r="R112" s="78"/>
      <c r="S112" s="78"/>
      <c r="T112" s="1"/>
      <c r="U112" s="78"/>
      <c r="V112" s="78"/>
      <c r="W112" s="557"/>
      <c r="X112" s="394"/>
      <c r="Y112" s="78"/>
      <c r="Z112" s="78"/>
      <c r="AA112" s="44"/>
    </row>
    <row r="113" spans="1:27" ht="15" hidden="1" customHeight="1" x14ac:dyDescent="0.25">
      <c r="B113" s="54"/>
      <c r="C113" s="2"/>
      <c r="D113" s="624" t="s">
        <v>516</v>
      </c>
      <c r="E113" s="624"/>
      <c r="F113" s="159">
        <v>0</v>
      </c>
      <c r="G113" s="343">
        <v>0</v>
      </c>
      <c r="H113" s="313">
        <v>0</v>
      </c>
      <c r="I113" s="513">
        <v>0</v>
      </c>
      <c r="J113" s="232">
        <f t="shared" si="34"/>
        <v>0</v>
      </c>
      <c r="K113" s="141"/>
      <c r="L113" s="159">
        <f t="shared" si="27"/>
        <v>0</v>
      </c>
      <c r="M113" s="72"/>
      <c r="N113" s="1"/>
      <c r="O113" s="1"/>
      <c r="P113" s="72"/>
      <c r="Q113" s="1"/>
      <c r="R113" s="78"/>
      <c r="S113" s="78"/>
      <c r="T113" s="1"/>
      <c r="U113" s="78"/>
      <c r="V113" s="78"/>
      <c r="W113" s="557"/>
      <c r="X113" s="394"/>
      <c r="Y113" s="78"/>
      <c r="Z113" s="78"/>
      <c r="AA113" s="44"/>
    </row>
    <row r="114" spans="1:27" ht="15" hidden="1" customHeight="1" x14ac:dyDescent="0.25">
      <c r="B114" s="54"/>
      <c r="C114" s="2"/>
      <c r="D114" s="624" t="s">
        <v>807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34"/>
        <v>0</v>
      </c>
      <c r="K114" s="141"/>
      <c r="L114" s="159">
        <f t="shared" si="27"/>
        <v>0</v>
      </c>
      <c r="M114" s="72"/>
      <c r="N114" s="1"/>
      <c r="O114" s="1"/>
      <c r="P114" s="72"/>
      <c r="Q114" s="1"/>
      <c r="R114" s="78"/>
      <c r="S114" s="78"/>
      <c r="T114" s="1"/>
      <c r="U114" s="78"/>
      <c r="V114" s="78"/>
      <c r="W114" s="557"/>
      <c r="X114" s="394"/>
      <c r="Y114" s="78"/>
      <c r="Z114" s="78"/>
      <c r="AA114" s="44"/>
    </row>
    <row r="115" spans="1:27" ht="15" hidden="1" customHeight="1" x14ac:dyDescent="0.25">
      <c r="B115" s="54"/>
      <c r="C115" s="2"/>
      <c r="D115" s="624" t="s">
        <v>521</v>
      </c>
      <c r="E115" s="624"/>
      <c r="F115" s="159">
        <v>0</v>
      </c>
      <c r="G115" s="343">
        <v>0</v>
      </c>
      <c r="H115" s="313">
        <v>0</v>
      </c>
      <c r="I115" s="513">
        <v>0</v>
      </c>
      <c r="J115" s="232">
        <f t="shared" si="34"/>
        <v>0</v>
      </c>
      <c r="K115" s="141"/>
      <c r="L115" s="159">
        <f t="shared" si="27"/>
        <v>0</v>
      </c>
      <c r="M115" s="72"/>
      <c r="N115" s="1"/>
      <c r="O115" s="1"/>
      <c r="P115" s="72"/>
      <c r="Q115" s="1"/>
      <c r="R115" s="78"/>
      <c r="S115" s="78"/>
      <c r="T115" s="1"/>
      <c r="U115" s="78"/>
      <c r="V115" s="78"/>
      <c r="W115" s="557"/>
      <c r="X115" s="394"/>
      <c r="Y115" s="78"/>
      <c r="Z115" s="78"/>
      <c r="AA115" s="44"/>
    </row>
    <row r="116" spans="1:27" ht="15" hidden="1" customHeight="1" x14ac:dyDescent="0.25">
      <c r="B116" s="54"/>
      <c r="C116" s="2"/>
      <c r="D116" s="624" t="s">
        <v>519</v>
      </c>
      <c r="E116" s="624"/>
      <c r="F116" s="159">
        <v>0</v>
      </c>
      <c r="G116" s="343">
        <v>0</v>
      </c>
      <c r="H116" s="313">
        <v>0</v>
      </c>
      <c r="I116" s="513">
        <v>0</v>
      </c>
      <c r="J116" s="232">
        <f t="shared" si="34"/>
        <v>0</v>
      </c>
      <c r="K116" s="141"/>
      <c r="L116" s="159">
        <f t="shared" si="27"/>
        <v>0</v>
      </c>
      <c r="M116" s="72"/>
      <c r="N116" s="1"/>
      <c r="O116" s="1"/>
      <c r="P116" s="72"/>
      <c r="Q116" s="1"/>
      <c r="R116" s="78"/>
      <c r="S116" s="78"/>
      <c r="T116" s="1"/>
      <c r="U116" s="78"/>
      <c r="V116" s="78"/>
      <c r="W116" s="557"/>
      <c r="X116" s="394"/>
      <c r="Y116" s="78"/>
      <c r="Z116" s="78"/>
      <c r="AA116" s="44"/>
    </row>
    <row r="117" spans="1:27" ht="25.5" hidden="1" customHeight="1" x14ac:dyDescent="0.25">
      <c r="B117" s="54"/>
      <c r="C117" s="2"/>
      <c r="D117" s="625" t="s">
        <v>523</v>
      </c>
      <c r="E117" s="625"/>
      <c r="F117" s="159">
        <v>0</v>
      </c>
      <c r="G117" s="343">
        <v>0</v>
      </c>
      <c r="H117" s="313">
        <v>0</v>
      </c>
      <c r="I117" s="513">
        <v>0</v>
      </c>
      <c r="J117" s="242">
        <f t="shared" si="34"/>
        <v>0</v>
      </c>
      <c r="K117" s="151"/>
      <c r="L117" s="159">
        <f t="shared" si="27"/>
        <v>0</v>
      </c>
      <c r="M117" s="72"/>
      <c r="N117" s="1"/>
      <c r="O117" s="1"/>
      <c r="P117" s="72"/>
      <c r="Q117" s="1"/>
      <c r="R117" s="78"/>
      <c r="S117" s="78"/>
      <c r="T117" s="1"/>
      <c r="U117" s="78"/>
      <c r="V117" s="78"/>
      <c r="W117" s="557"/>
      <c r="X117" s="394"/>
      <c r="Y117" s="78"/>
      <c r="Z117" s="78"/>
      <c r="AA117" s="44"/>
    </row>
    <row r="118" spans="1:27" ht="15" hidden="1" customHeight="1" x14ac:dyDescent="0.25">
      <c r="B118" s="54"/>
      <c r="C118" s="2"/>
      <c r="D118" s="624" t="s">
        <v>806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 t="shared" si="34"/>
        <v>0</v>
      </c>
      <c r="K118" s="141"/>
      <c r="L118" s="159">
        <f t="shared" si="27"/>
        <v>0</v>
      </c>
      <c r="M118" s="72"/>
      <c r="N118" s="1"/>
      <c r="O118" s="1"/>
      <c r="P118" s="72"/>
      <c r="Q118" s="1"/>
      <c r="R118" s="78"/>
      <c r="S118" s="78"/>
      <c r="T118" s="1"/>
      <c r="U118" s="78"/>
      <c r="V118" s="78"/>
      <c r="W118" s="557"/>
      <c r="X118" s="394"/>
      <c r="Y118" s="78"/>
      <c r="Z118" s="78"/>
      <c r="AA118" s="44"/>
    </row>
    <row r="119" spans="1:27" ht="25.5" hidden="1" customHeight="1" x14ac:dyDescent="0.25">
      <c r="B119" s="54"/>
      <c r="C119" s="2"/>
      <c r="D119" s="625" t="s">
        <v>526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 t="shared" si="34"/>
        <v>0</v>
      </c>
      <c r="K119" s="151"/>
      <c r="L119" s="159">
        <f t="shared" si="27"/>
        <v>0</v>
      </c>
      <c r="M119" s="72"/>
      <c r="N119" s="1"/>
      <c r="O119" s="1"/>
      <c r="P119" s="72"/>
      <c r="Q119" s="1"/>
      <c r="R119" s="78"/>
      <c r="S119" s="78"/>
      <c r="T119" s="1"/>
      <c r="U119" s="78"/>
      <c r="V119" s="78"/>
      <c r="W119" s="557"/>
      <c r="X119" s="394"/>
      <c r="Y119" s="78"/>
      <c r="Z119" s="78"/>
      <c r="AA119" s="44"/>
    </row>
    <row r="120" spans="1:27" ht="25.5" hidden="1" customHeight="1" x14ac:dyDescent="0.25">
      <c r="B120" s="54"/>
      <c r="C120" s="2"/>
      <c r="D120" s="625" t="s">
        <v>528</v>
      </c>
      <c r="E120" s="625"/>
      <c r="F120" s="159">
        <v>0</v>
      </c>
      <c r="G120" s="343">
        <v>0</v>
      </c>
      <c r="H120" s="313">
        <v>0</v>
      </c>
      <c r="I120" s="513">
        <v>0</v>
      </c>
      <c r="J120" s="242">
        <f t="shared" si="34"/>
        <v>0</v>
      </c>
      <c r="K120" s="151"/>
      <c r="L120" s="159">
        <f t="shared" si="27"/>
        <v>0</v>
      </c>
      <c r="M120" s="72"/>
      <c r="N120" s="1"/>
      <c r="O120" s="1"/>
      <c r="P120" s="72"/>
      <c r="Q120" s="1"/>
      <c r="R120" s="78"/>
      <c r="S120" s="78"/>
      <c r="T120" s="1"/>
      <c r="U120" s="78"/>
      <c r="V120" s="78"/>
      <c r="W120" s="557"/>
      <c r="X120" s="394"/>
      <c r="Y120" s="78"/>
      <c r="Z120" s="78"/>
      <c r="AA120" s="44"/>
    </row>
    <row r="121" spans="1:27" s="41" customFormat="1" ht="15" hidden="1" customHeight="1" x14ac:dyDescent="0.25">
      <c r="A121" s="118" t="s">
        <v>231</v>
      </c>
      <c r="B121" s="101" t="s">
        <v>663</v>
      </c>
      <c r="C121" s="655" t="s">
        <v>232</v>
      </c>
      <c r="D121" s="656"/>
      <c r="E121" s="656"/>
      <c r="F121" s="162">
        <v>0</v>
      </c>
      <c r="G121" s="345">
        <v>0</v>
      </c>
      <c r="H121" s="315">
        <v>0</v>
      </c>
      <c r="I121" s="516">
        <v>0</v>
      </c>
      <c r="J121" s="243">
        <f>J122+J123+J124+J125+J126+J127+J128+J129+J130+J131</f>
        <v>0</v>
      </c>
      <c r="K121" s="152">
        <f t="shared" ref="K121:AA121" si="35">K122+K123+K124+K125+K126+K127+K128+K129+K130+K131</f>
        <v>0</v>
      </c>
      <c r="L121" s="162">
        <f t="shared" si="27"/>
        <v>0</v>
      </c>
      <c r="M121" s="102">
        <f>M122+M123+M124+M125+M126+M127+M128+M129+M130+M131</f>
        <v>0</v>
      </c>
      <c r="N121" s="103">
        <f>N122+N123+N124+N125+N126+N127+N128+N129+N130+N131</f>
        <v>0</v>
      </c>
      <c r="O121" s="103">
        <f>O122+O123+O124+O125+O126+O127+O128+O129+O130+O131</f>
        <v>0</v>
      </c>
      <c r="P121" s="102">
        <f t="shared" si="35"/>
        <v>0</v>
      </c>
      <c r="Q121" s="103">
        <f t="shared" si="35"/>
        <v>0</v>
      </c>
      <c r="R121" s="106">
        <f t="shared" si="35"/>
        <v>0</v>
      </c>
      <c r="S121" s="106">
        <f t="shared" si="35"/>
        <v>0</v>
      </c>
      <c r="T121" s="103">
        <f t="shared" si="35"/>
        <v>0</v>
      </c>
      <c r="U121" s="106">
        <f t="shared" si="35"/>
        <v>0</v>
      </c>
      <c r="V121" s="106">
        <f t="shared" si="35"/>
        <v>0</v>
      </c>
      <c r="W121" s="561">
        <f t="shared" si="35"/>
        <v>0</v>
      </c>
      <c r="X121" s="397">
        <f t="shared" si="35"/>
        <v>0</v>
      </c>
      <c r="Y121" s="106">
        <f t="shared" si="35"/>
        <v>0</v>
      </c>
      <c r="Z121" s="106">
        <f t="shared" si="35"/>
        <v>0</v>
      </c>
      <c r="AA121" s="107">
        <f t="shared" si="35"/>
        <v>0</v>
      </c>
    </row>
    <row r="122" spans="1:27" ht="15" hidden="1" customHeight="1" x14ac:dyDescent="0.25">
      <c r="B122" s="54"/>
      <c r="C122" s="2"/>
      <c r="D122" s="624" t="s">
        <v>368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ref="J122:J131" si="36">SUM(P122:AA122)</f>
        <v>0</v>
      </c>
      <c r="K122" s="141"/>
      <c r="L122" s="159">
        <f t="shared" si="27"/>
        <v>0</v>
      </c>
      <c r="M122" s="72"/>
      <c r="N122" s="1"/>
      <c r="O122" s="1"/>
      <c r="P122" s="72"/>
      <c r="Q122" s="1"/>
      <c r="R122" s="78"/>
      <c r="S122" s="78"/>
      <c r="T122" s="1"/>
      <c r="U122" s="78"/>
      <c r="V122" s="78"/>
      <c r="W122" s="557"/>
      <c r="X122" s="394"/>
      <c r="Y122" s="78"/>
      <c r="Z122" s="78"/>
      <c r="AA122" s="44"/>
    </row>
    <row r="123" spans="1:27" ht="15" hidden="1" customHeight="1" x14ac:dyDescent="0.25">
      <c r="B123" s="54"/>
      <c r="C123" s="2"/>
      <c r="D123" s="624" t="s">
        <v>515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6"/>
        <v>0</v>
      </c>
      <c r="K123" s="141"/>
      <c r="L123" s="159">
        <f t="shared" si="27"/>
        <v>0</v>
      </c>
      <c r="M123" s="72"/>
      <c r="N123" s="1"/>
      <c r="O123" s="1"/>
      <c r="P123" s="72"/>
      <c r="Q123" s="1"/>
      <c r="R123" s="78"/>
      <c r="S123" s="78"/>
      <c r="T123" s="1"/>
      <c r="U123" s="78"/>
      <c r="V123" s="78"/>
      <c r="W123" s="557"/>
      <c r="X123" s="394"/>
      <c r="Y123" s="78"/>
      <c r="Z123" s="78"/>
      <c r="AA123" s="44"/>
    </row>
    <row r="124" spans="1:27" ht="15" hidden="1" customHeight="1" x14ac:dyDescent="0.25">
      <c r="B124" s="54"/>
      <c r="C124" s="2"/>
      <c r="D124" s="624" t="s">
        <v>517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6"/>
        <v>0</v>
      </c>
      <c r="K124" s="141"/>
      <c r="L124" s="159">
        <f t="shared" si="27"/>
        <v>0</v>
      </c>
      <c r="M124" s="72"/>
      <c r="N124" s="1"/>
      <c r="O124" s="1"/>
      <c r="P124" s="72"/>
      <c r="Q124" s="1"/>
      <c r="R124" s="78"/>
      <c r="S124" s="78"/>
      <c r="T124" s="1"/>
      <c r="U124" s="78"/>
      <c r="V124" s="78"/>
      <c r="W124" s="557"/>
      <c r="X124" s="394"/>
      <c r="Y124" s="78"/>
      <c r="Z124" s="78"/>
      <c r="AA124" s="44"/>
    </row>
    <row r="125" spans="1:27" ht="15" hidden="1" customHeight="1" x14ac:dyDescent="0.25">
      <c r="B125" s="54"/>
      <c r="C125" s="2"/>
      <c r="D125" s="624" t="s">
        <v>518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6"/>
        <v>0</v>
      </c>
      <c r="K125" s="141"/>
      <c r="L125" s="159">
        <f t="shared" si="27"/>
        <v>0</v>
      </c>
      <c r="M125" s="72"/>
      <c r="N125" s="1"/>
      <c r="O125" s="1"/>
      <c r="P125" s="72"/>
      <c r="Q125" s="1"/>
      <c r="R125" s="78"/>
      <c r="S125" s="78"/>
      <c r="T125" s="1"/>
      <c r="U125" s="78"/>
      <c r="V125" s="78"/>
      <c r="W125" s="557"/>
      <c r="X125" s="394"/>
      <c r="Y125" s="78"/>
      <c r="Z125" s="78"/>
      <c r="AA125" s="44"/>
    </row>
    <row r="126" spans="1:27" ht="15" hidden="1" customHeight="1" x14ac:dyDescent="0.25">
      <c r="B126" s="54"/>
      <c r="C126" s="2"/>
      <c r="D126" s="624" t="s">
        <v>522</v>
      </c>
      <c r="E126" s="624"/>
      <c r="F126" s="159">
        <v>0</v>
      </c>
      <c r="G126" s="343">
        <v>0</v>
      </c>
      <c r="H126" s="313">
        <v>0</v>
      </c>
      <c r="I126" s="513">
        <v>0</v>
      </c>
      <c r="J126" s="232">
        <f t="shared" si="36"/>
        <v>0</v>
      </c>
      <c r="K126" s="141"/>
      <c r="L126" s="159">
        <f t="shared" si="27"/>
        <v>0</v>
      </c>
      <c r="M126" s="72"/>
      <c r="N126" s="1"/>
      <c r="O126" s="1"/>
      <c r="P126" s="72"/>
      <c r="Q126" s="1"/>
      <c r="R126" s="78"/>
      <c r="S126" s="78"/>
      <c r="T126" s="1"/>
      <c r="U126" s="78"/>
      <c r="V126" s="78"/>
      <c r="W126" s="557"/>
      <c r="X126" s="394"/>
      <c r="Y126" s="78"/>
      <c r="Z126" s="78"/>
      <c r="AA126" s="44"/>
    </row>
    <row r="127" spans="1:27" ht="15" hidden="1" customHeight="1" x14ac:dyDescent="0.25">
      <c r="B127" s="54"/>
      <c r="C127" s="2"/>
      <c r="D127" s="624" t="s">
        <v>520</v>
      </c>
      <c r="E127" s="624"/>
      <c r="F127" s="159">
        <v>0</v>
      </c>
      <c r="G127" s="343">
        <v>0</v>
      </c>
      <c r="H127" s="313">
        <v>0</v>
      </c>
      <c r="I127" s="513">
        <v>0</v>
      </c>
      <c r="J127" s="232">
        <f t="shared" si="36"/>
        <v>0</v>
      </c>
      <c r="K127" s="141"/>
      <c r="L127" s="159">
        <f t="shared" si="27"/>
        <v>0</v>
      </c>
      <c r="M127" s="72"/>
      <c r="N127" s="1"/>
      <c r="O127" s="1"/>
      <c r="P127" s="72"/>
      <c r="Q127" s="1"/>
      <c r="R127" s="78"/>
      <c r="S127" s="78"/>
      <c r="T127" s="1"/>
      <c r="U127" s="78"/>
      <c r="V127" s="78"/>
      <c r="W127" s="557"/>
      <c r="X127" s="394"/>
      <c r="Y127" s="78"/>
      <c r="Z127" s="78"/>
      <c r="AA127" s="44"/>
    </row>
    <row r="128" spans="1:27" ht="25.5" hidden="1" customHeight="1" x14ac:dyDescent="0.25">
      <c r="B128" s="54"/>
      <c r="C128" s="2"/>
      <c r="D128" s="625" t="s">
        <v>524</v>
      </c>
      <c r="E128" s="625"/>
      <c r="F128" s="159">
        <v>0</v>
      </c>
      <c r="G128" s="343">
        <v>0</v>
      </c>
      <c r="H128" s="313">
        <v>0</v>
      </c>
      <c r="I128" s="513">
        <v>0</v>
      </c>
      <c r="J128" s="242">
        <f t="shared" si="36"/>
        <v>0</v>
      </c>
      <c r="K128" s="151"/>
      <c r="L128" s="159">
        <f t="shared" si="27"/>
        <v>0</v>
      </c>
      <c r="M128" s="72"/>
      <c r="N128" s="1"/>
      <c r="O128" s="1"/>
      <c r="P128" s="72"/>
      <c r="Q128" s="1"/>
      <c r="R128" s="78"/>
      <c r="S128" s="78"/>
      <c r="T128" s="1"/>
      <c r="U128" s="78"/>
      <c r="V128" s="78"/>
      <c r="W128" s="557"/>
      <c r="X128" s="394"/>
      <c r="Y128" s="78"/>
      <c r="Z128" s="78"/>
      <c r="AA128" s="44"/>
    </row>
    <row r="129" spans="1:27" ht="15" hidden="1" customHeight="1" x14ac:dyDescent="0.25">
      <c r="B129" s="54"/>
      <c r="C129" s="2"/>
      <c r="D129" s="624" t="s">
        <v>525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6"/>
        <v>0</v>
      </c>
      <c r="K129" s="141"/>
      <c r="L129" s="159">
        <f t="shared" si="27"/>
        <v>0</v>
      </c>
      <c r="M129" s="72"/>
      <c r="N129" s="1"/>
      <c r="O129" s="1"/>
      <c r="P129" s="72"/>
      <c r="Q129" s="1"/>
      <c r="R129" s="78"/>
      <c r="S129" s="78"/>
      <c r="T129" s="1"/>
      <c r="U129" s="78"/>
      <c r="V129" s="78"/>
      <c r="W129" s="557"/>
      <c r="X129" s="394"/>
      <c r="Y129" s="78"/>
      <c r="Z129" s="78"/>
      <c r="AA129" s="44"/>
    </row>
    <row r="130" spans="1:27" ht="25.5" hidden="1" customHeight="1" x14ac:dyDescent="0.25">
      <c r="B130" s="54"/>
      <c r="C130" s="2"/>
      <c r="D130" s="625" t="s">
        <v>527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6"/>
        <v>0</v>
      </c>
      <c r="K130" s="151"/>
      <c r="L130" s="159">
        <f t="shared" si="27"/>
        <v>0</v>
      </c>
      <c r="M130" s="72"/>
      <c r="N130" s="1"/>
      <c r="O130" s="1"/>
      <c r="P130" s="72"/>
      <c r="Q130" s="1"/>
      <c r="R130" s="78"/>
      <c r="S130" s="78"/>
      <c r="T130" s="1"/>
      <c r="U130" s="78"/>
      <c r="V130" s="78"/>
      <c r="W130" s="557"/>
      <c r="X130" s="394"/>
      <c r="Y130" s="78"/>
      <c r="Z130" s="78"/>
      <c r="AA130" s="44"/>
    </row>
    <row r="131" spans="1:27" ht="25.5" hidden="1" customHeight="1" x14ac:dyDescent="0.25">
      <c r="B131" s="54"/>
      <c r="C131" s="2"/>
      <c r="D131" s="625" t="s">
        <v>529</v>
      </c>
      <c r="E131" s="625"/>
      <c r="F131" s="159">
        <v>0</v>
      </c>
      <c r="G131" s="343">
        <v>0</v>
      </c>
      <c r="H131" s="313">
        <v>0</v>
      </c>
      <c r="I131" s="513">
        <v>0</v>
      </c>
      <c r="J131" s="242">
        <f t="shared" si="36"/>
        <v>0</v>
      </c>
      <c r="K131" s="151"/>
      <c r="L131" s="159">
        <f t="shared" si="27"/>
        <v>0</v>
      </c>
      <c r="M131" s="72"/>
      <c r="N131" s="1"/>
      <c r="O131" s="1"/>
      <c r="P131" s="72"/>
      <c r="Q131" s="1"/>
      <c r="R131" s="78"/>
      <c r="S131" s="78"/>
      <c r="T131" s="1"/>
      <c r="U131" s="78"/>
      <c r="V131" s="78"/>
      <c r="W131" s="557"/>
      <c r="X131" s="394"/>
      <c r="Y131" s="78"/>
      <c r="Z131" s="78"/>
      <c r="AA131" s="44"/>
    </row>
    <row r="132" spans="1:27" s="41" customFormat="1" ht="27.75" hidden="1" customHeight="1" x14ac:dyDescent="0.25">
      <c r="A132" s="118" t="s">
        <v>233</v>
      </c>
      <c r="B132" s="101" t="s">
        <v>664</v>
      </c>
      <c r="C132" s="708" t="s">
        <v>808</v>
      </c>
      <c r="D132" s="709"/>
      <c r="E132" s="709"/>
      <c r="F132" s="162">
        <v>0</v>
      </c>
      <c r="G132" s="345">
        <v>0</v>
      </c>
      <c r="H132" s="315">
        <v>0</v>
      </c>
      <c r="I132" s="516">
        <v>0</v>
      </c>
      <c r="J132" s="241">
        <f>J133+J134</f>
        <v>0</v>
      </c>
      <c r="K132" s="150">
        <f t="shared" ref="K132:AA132" si="37">K133+K134</f>
        <v>0</v>
      </c>
      <c r="L132" s="162">
        <f t="shared" si="27"/>
        <v>0</v>
      </c>
      <c r="M132" s="102">
        <f>M133+M134</f>
        <v>0</v>
      </c>
      <c r="N132" s="103">
        <f>N133+N134</f>
        <v>0</v>
      </c>
      <c r="O132" s="103">
        <f>O133+O134</f>
        <v>0</v>
      </c>
      <c r="P132" s="102">
        <f t="shared" si="37"/>
        <v>0</v>
      </c>
      <c r="Q132" s="103">
        <f t="shared" si="37"/>
        <v>0</v>
      </c>
      <c r="R132" s="106">
        <f t="shared" si="37"/>
        <v>0</v>
      </c>
      <c r="S132" s="106">
        <f t="shared" si="37"/>
        <v>0</v>
      </c>
      <c r="T132" s="103">
        <f t="shared" si="37"/>
        <v>0</v>
      </c>
      <c r="U132" s="106">
        <f t="shared" si="37"/>
        <v>0</v>
      </c>
      <c r="V132" s="106">
        <f t="shared" si="37"/>
        <v>0</v>
      </c>
      <c r="W132" s="561">
        <f t="shared" si="37"/>
        <v>0</v>
      </c>
      <c r="X132" s="397">
        <f t="shared" si="37"/>
        <v>0</v>
      </c>
      <c r="Y132" s="106">
        <f t="shared" si="37"/>
        <v>0</v>
      </c>
      <c r="Z132" s="106">
        <f t="shared" si="37"/>
        <v>0</v>
      </c>
      <c r="AA132" s="107">
        <f t="shared" si="37"/>
        <v>0</v>
      </c>
    </row>
    <row r="133" spans="1:27" ht="15" hidden="1" customHeight="1" x14ac:dyDescent="0.25">
      <c r="B133" s="54"/>
      <c r="C133" s="2"/>
      <c r="D133" s="624" t="s">
        <v>531</v>
      </c>
      <c r="E133" s="624"/>
      <c r="F133" s="159">
        <v>0</v>
      </c>
      <c r="G133" s="343">
        <v>0</v>
      </c>
      <c r="H133" s="313">
        <v>0</v>
      </c>
      <c r="I133" s="513">
        <v>0</v>
      </c>
      <c r="J133" s="232">
        <f>SUM(P133:AA133)</f>
        <v>0</v>
      </c>
      <c r="K133" s="141"/>
      <c r="L133" s="159">
        <f t="shared" si="27"/>
        <v>0</v>
      </c>
      <c r="M133" s="72"/>
      <c r="N133" s="1"/>
      <c r="O133" s="1"/>
      <c r="P133" s="72"/>
      <c r="Q133" s="1"/>
      <c r="R133" s="78"/>
      <c r="S133" s="78"/>
      <c r="T133" s="1"/>
      <c r="U133" s="78"/>
      <c r="V133" s="78"/>
      <c r="W133" s="557"/>
      <c r="X133" s="394"/>
      <c r="Y133" s="78"/>
      <c r="Z133" s="78"/>
      <c r="AA133" s="44"/>
    </row>
    <row r="134" spans="1:27" ht="25.5" hidden="1" customHeight="1" x14ac:dyDescent="0.25">
      <c r="B134" s="54"/>
      <c r="C134" s="2"/>
      <c r="D134" s="625" t="s">
        <v>530</v>
      </c>
      <c r="E134" s="625"/>
      <c r="F134" s="159">
        <v>0</v>
      </c>
      <c r="G134" s="343">
        <v>0</v>
      </c>
      <c r="H134" s="313">
        <v>0</v>
      </c>
      <c r="I134" s="513">
        <v>0</v>
      </c>
      <c r="J134" s="242">
        <f>SUM(P134:AA134)</f>
        <v>0</v>
      </c>
      <c r="K134" s="151"/>
      <c r="L134" s="159">
        <f t="shared" si="27"/>
        <v>0</v>
      </c>
      <c r="M134" s="72"/>
      <c r="N134" s="1"/>
      <c r="O134" s="1"/>
      <c r="P134" s="72"/>
      <c r="Q134" s="1"/>
      <c r="R134" s="78"/>
      <c r="S134" s="78"/>
      <c r="T134" s="1"/>
      <c r="U134" s="78"/>
      <c r="V134" s="78"/>
      <c r="W134" s="557"/>
      <c r="X134" s="394"/>
      <c r="Y134" s="78"/>
      <c r="Z134" s="78"/>
      <c r="AA134" s="44"/>
    </row>
    <row r="135" spans="1:27" s="41" customFormat="1" ht="15" hidden="1" customHeight="1" x14ac:dyDescent="0.25">
      <c r="A135" s="118" t="s">
        <v>234</v>
      </c>
      <c r="B135" s="101" t="s">
        <v>666</v>
      </c>
      <c r="C135" s="708" t="s">
        <v>809</v>
      </c>
      <c r="D135" s="709"/>
      <c r="E135" s="709"/>
      <c r="F135" s="162">
        <v>0</v>
      </c>
      <c r="G135" s="345">
        <v>0</v>
      </c>
      <c r="H135" s="315">
        <v>0</v>
      </c>
      <c r="I135" s="516">
        <v>0</v>
      </c>
      <c r="J135" s="241">
        <f>J136+J137+J138+J139+J140+J141+J142+J143+J144+J145+J146</f>
        <v>0</v>
      </c>
      <c r="K135" s="150">
        <f t="shared" ref="K135:AA135" si="38">K136+K137+K138+K139+K140+K141+K142+K143+K144+K145+K146</f>
        <v>0</v>
      </c>
      <c r="L135" s="162">
        <f t="shared" si="27"/>
        <v>0</v>
      </c>
      <c r="M135" s="102">
        <f>M136+M137+M138+M139+M140+M141+M142+M143+M144+M145+M146</f>
        <v>0</v>
      </c>
      <c r="N135" s="103">
        <f>N136+N137+N138+N139+N140+N141+N142+N143+N144+N145+N146</f>
        <v>0</v>
      </c>
      <c r="O135" s="103">
        <f>O136+O137+O138+O139+O140+O141+O142+O143+O144+O145+O146</f>
        <v>0</v>
      </c>
      <c r="P135" s="102">
        <f t="shared" si="38"/>
        <v>0</v>
      </c>
      <c r="Q135" s="103">
        <f t="shared" si="38"/>
        <v>0</v>
      </c>
      <c r="R135" s="106">
        <f t="shared" si="38"/>
        <v>0</v>
      </c>
      <c r="S135" s="106">
        <f t="shared" si="38"/>
        <v>0</v>
      </c>
      <c r="T135" s="103">
        <f t="shared" si="38"/>
        <v>0</v>
      </c>
      <c r="U135" s="106">
        <f t="shared" si="38"/>
        <v>0</v>
      </c>
      <c r="V135" s="106">
        <f t="shared" si="38"/>
        <v>0</v>
      </c>
      <c r="W135" s="561">
        <f t="shared" si="38"/>
        <v>0</v>
      </c>
      <c r="X135" s="397">
        <f t="shared" si="38"/>
        <v>0</v>
      </c>
      <c r="Y135" s="106">
        <f t="shared" si="38"/>
        <v>0</v>
      </c>
      <c r="Z135" s="106">
        <f t="shared" si="38"/>
        <v>0</v>
      </c>
      <c r="AA135" s="107">
        <f t="shared" si="38"/>
        <v>0</v>
      </c>
    </row>
    <row r="136" spans="1:27" ht="15" hidden="1" customHeight="1" x14ac:dyDescent="0.25">
      <c r="B136" s="54"/>
      <c r="C136" s="2"/>
      <c r="D136" s="624" t="s">
        <v>354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9" si="39">SUM(P136:AA136)</f>
        <v>0</v>
      </c>
      <c r="K136" s="141"/>
      <c r="L136" s="159">
        <f t="shared" si="27"/>
        <v>0</v>
      </c>
      <c r="M136" s="72"/>
      <c r="N136" s="1"/>
      <c r="O136" s="1"/>
      <c r="P136" s="72"/>
      <c r="Q136" s="1"/>
      <c r="R136" s="78"/>
      <c r="S136" s="78"/>
      <c r="T136" s="1"/>
      <c r="U136" s="78"/>
      <c r="V136" s="78"/>
      <c r="W136" s="557"/>
      <c r="X136" s="394"/>
      <c r="Y136" s="78"/>
      <c r="Z136" s="78"/>
      <c r="AA136" s="44"/>
    </row>
    <row r="137" spans="1:27" ht="15" hidden="1" customHeight="1" x14ac:dyDescent="0.25">
      <c r="B137" s="54"/>
      <c r="C137" s="2"/>
      <c r="D137" s="624" t="s">
        <v>357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9"/>
        <v>0</v>
      </c>
      <c r="K137" s="141"/>
      <c r="L137" s="159">
        <f t="shared" si="27"/>
        <v>0</v>
      </c>
      <c r="M137" s="72"/>
      <c r="N137" s="1"/>
      <c r="O137" s="1"/>
      <c r="P137" s="72"/>
      <c r="Q137" s="1"/>
      <c r="R137" s="78"/>
      <c r="S137" s="78"/>
      <c r="T137" s="1"/>
      <c r="U137" s="78"/>
      <c r="V137" s="78"/>
      <c r="W137" s="557"/>
      <c r="X137" s="394"/>
      <c r="Y137" s="78"/>
      <c r="Z137" s="78"/>
      <c r="AA137" s="44"/>
    </row>
    <row r="138" spans="1:27" ht="15" hidden="1" customHeight="1" x14ac:dyDescent="0.25">
      <c r="B138" s="54"/>
      <c r="C138" s="2"/>
      <c r="D138" s="624" t="s">
        <v>358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9"/>
        <v>0</v>
      </c>
      <c r="K138" s="141"/>
      <c r="L138" s="159">
        <f t="shared" si="27"/>
        <v>0</v>
      </c>
      <c r="M138" s="72"/>
      <c r="N138" s="1"/>
      <c r="O138" s="1"/>
      <c r="P138" s="72"/>
      <c r="Q138" s="1"/>
      <c r="R138" s="78"/>
      <c r="S138" s="78"/>
      <c r="T138" s="1"/>
      <c r="U138" s="78"/>
      <c r="V138" s="78"/>
      <c r="W138" s="557"/>
      <c r="X138" s="394"/>
      <c r="Y138" s="78"/>
      <c r="Z138" s="78"/>
      <c r="AA138" s="44"/>
    </row>
    <row r="139" spans="1:27" ht="15" hidden="1" customHeight="1" x14ac:dyDescent="0.25">
      <c r="B139" s="54"/>
      <c r="C139" s="2"/>
      <c r="D139" s="624" t="s">
        <v>355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9"/>
        <v>0</v>
      </c>
      <c r="K139" s="141"/>
      <c r="L139" s="159">
        <f t="shared" si="27"/>
        <v>0</v>
      </c>
      <c r="M139" s="72"/>
      <c r="N139" s="1"/>
      <c r="O139" s="1"/>
      <c r="P139" s="72"/>
      <c r="Q139" s="1"/>
      <c r="R139" s="78"/>
      <c r="S139" s="78"/>
      <c r="T139" s="1"/>
      <c r="U139" s="78"/>
      <c r="V139" s="78"/>
      <c r="W139" s="557"/>
      <c r="X139" s="394"/>
      <c r="Y139" s="78"/>
      <c r="Z139" s="78"/>
      <c r="AA139" s="44"/>
    </row>
    <row r="140" spans="1:27" ht="15" hidden="1" customHeight="1" x14ac:dyDescent="0.25">
      <c r="B140" s="54"/>
      <c r="C140" s="2"/>
      <c r="D140" s="624" t="s">
        <v>810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9"/>
        <v>0</v>
      </c>
      <c r="K140" s="141"/>
      <c r="L140" s="159">
        <f t="shared" si="27"/>
        <v>0</v>
      </c>
      <c r="M140" s="72"/>
      <c r="N140" s="1"/>
      <c r="O140" s="1"/>
      <c r="P140" s="72"/>
      <c r="Q140" s="1"/>
      <c r="R140" s="78"/>
      <c r="S140" s="78"/>
      <c r="T140" s="1"/>
      <c r="U140" s="78"/>
      <c r="V140" s="78"/>
      <c r="W140" s="557"/>
      <c r="X140" s="394"/>
      <c r="Y140" s="78"/>
      <c r="Z140" s="78"/>
      <c r="AA140" s="44"/>
    </row>
    <row r="141" spans="1:27" ht="25.5" hidden="1" customHeight="1" x14ac:dyDescent="0.25">
      <c r="B141" s="54"/>
      <c r="C141" s="2"/>
      <c r="D141" s="625" t="s">
        <v>532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9"/>
        <v>0</v>
      </c>
      <c r="K141" s="151"/>
      <c r="L141" s="159">
        <f t="shared" si="27"/>
        <v>0</v>
      </c>
      <c r="M141" s="72"/>
      <c r="N141" s="1"/>
      <c r="O141" s="1"/>
      <c r="P141" s="72"/>
      <c r="Q141" s="1"/>
      <c r="R141" s="78"/>
      <c r="S141" s="78"/>
      <c r="T141" s="1"/>
      <c r="U141" s="78"/>
      <c r="V141" s="78"/>
      <c r="W141" s="557"/>
      <c r="X141" s="394"/>
      <c r="Y141" s="78"/>
      <c r="Z141" s="78"/>
      <c r="AA141" s="44"/>
    </row>
    <row r="142" spans="1:27" ht="25.5" hidden="1" customHeight="1" x14ac:dyDescent="0.25">
      <c r="B142" s="54"/>
      <c r="C142" s="2"/>
      <c r="D142" s="625" t="s">
        <v>533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9"/>
        <v>0</v>
      </c>
      <c r="K142" s="151"/>
      <c r="L142" s="159">
        <f t="shared" si="27"/>
        <v>0</v>
      </c>
      <c r="M142" s="72"/>
      <c r="N142" s="1"/>
      <c r="O142" s="1"/>
      <c r="P142" s="72"/>
      <c r="Q142" s="1"/>
      <c r="R142" s="78"/>
      <c r="S142" s="78"/>
      <c r="T142" s="1"/>
      <c r="U142" s="78"/>
      <c r="V142" s="78"/>
      <c r="W142" s="557"/>
      <c r="X142" s="394"/>
      <c r="Y142" s="78"/>
      <c r="Z142" s="78"/>
      <c r="AA142" s="44"/>
    </row>
    <row r="143" spans="1:27" ht="15" hidden="1" customHeight="1" x14ac:dyDescent="0.25">
      <c r="B143" s="54"/>
      <c r="C143" s="2"/>
      <c r="D143" s="624" t="s">
        <v>364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9"/>
        <v>0</v>
      </c>
      <c r="K143" s="141"/>
      <c r="L143" s="159">
        <f t="shared" si="27"/>
        <v>0</v>
      </c>
      <c r="M143" s="72"/>
      <c r="N143" s="1"/>
      <c r="O143" s="1"/>
      <c r="P143" s="72"/>
      <c r="Q143" s="1"/>
      <c r="R143" s="78"/>
      <c r="S143" s="78"/>
      <c r="T143" s="1"/>
      <c r="U143" s="78"/>
      <c r="V143" s="78"/>
      <c r="W143" s="557"/>
      <c r="X143" s="394"/>
      <c r="Y143" s="78"/>
      <c r="Z143" s="78"/>
      <c r="AA143" s="44"/>
    </row>
    <row r="144" spans="1:27" ht="15" hidden="1" customHeight="1" x14ac:dyDescent="0.25">
      <c r="B144" s="54"/>
      <c r="C144" s="2"/>
      <c r="D144" s="624" t="s">
        <v>356</v>
      </c>
      <c r="E144" s="624"/>
      <c r="F144" s="159">
        <v>0</v>
      </c>
      <c r="G144" s="343">
        <v>0</v>
      </c>
      <c r="H144" s="313">
        <v>0</v>
      </c>
      <c r="I144" s="513">
        <v>0</v>
      </c>
      <c r="J144" s="232">
        <f t="shared" si="39"/>
        <v>0</v>
      </c>
      <c r="K144" s="141"/>
      <c r="L144" s="159">
        <f t="shared" si="27"/>
        <v>0</v>
      </c>
      <c r="M144" s="72"/>
      <c r="N144" s="1"/>
      <c r="O144" s="1"/>
      <c r="P144" s="72"/>
      <c r="Q144" s="1"/>
      <c r="R144" s="78"/>
      <c r="S144" s="78"/>
      <c r="T144" s="1"/>
      <c r="U144" s="78"/>
      <c r="V144" s="78"/>
      <c r="W144" s="557"/>
      <c r="X144" s="394"/>
      <c r="Y144" s="78"/>
      <c r="Z144" s="78"/>
      <c r="AA144" s="44"/>
    </row>
    <row r="145" spans="1:27" ht="25.5" hidden="1" customHeight="1" x14ac:dyDescent="0.25">
      <c r="B145" s="54"/>
      <c r="C145" s="2"/>
      <c r="D145" s="625" t="s">
        <v>534</v>
      </c>
      <c r="E145" s="625"/>
      <c r="F145" s="159">
        <v>0</v>
      </c>
      <c r="G145" s="343">
        <v>0</v>
      </c>
      <c r="H145" s="313">
        <v>0</v>
      </c>
      <c r="I145" s="513">
        <v>0</v>
      </c>
      <c r="J145" s="242">
        <f t="shared" si="39"/>
        <v>0</v>
      </c>
      <c r="K145" s="151"/>
      <c r="L145" s="159">
        <f t="shared" si="27"/>
        <v>0</v>
      </c>
      <c r="M145" s="72"/>
      <c r="N145" s="1"/>
      <c r="O145" s="1"/>
      <c r="P145" s="72"/>
      <c r="Q145" s="1"/>
      <c r="R145" s="78"/>
      <c r="S145" s="78"/>
      <c r="T145" s="1"/>
      <c r="U145" s="78"/>
      <c r="V145" s="78"/>
      <c r="W145" s="557"/>
      <c r="X145" s="394"/>
      <c r="Y145" s="78"/>
      <c r="Z145" s="78"/>
      <c r="AA145" s="44"/>
    </row>
    <row r="146" spans="1:27" ht="15" hidden="1" customHeight="1" x14ac:dyDescent="0.25">
      <c r="B146" s="54"/>
      <c r="C146" s="2"/>
      <c r="D146" s="624" t="s">
        <v>535</v>
      </c>
      <c r="E146" s="624"/>
      <c r="F146" s="159">
        <v>0</v>
      </c>
      <c r="G146" s="343">
        <v>0</v>
      </c>
      <c r="H146" s="313">
        <v>0</v>
      </c>
      <c r="I146" s="513">
        <v>0</v>
      </c>
      <c r="J146" s="232">
        <f t="shared" si="39"/>
        <v>0</v>
      </c>
      <c r="K146" s="141"/>
      <c r="L146" s="159">
        <f t="shared" si="27"/>
        <v>0</v>
      </c>
      <c r="M146" s="72"/>
      <c r="N146" s="1"/>
      <c r="O146" s="1"/>
      <c r="P146" s="72"/>
      <c r="Q146" s="1"/>
      <c r="R146" s="78"/>
      <c r="S146" s="78"/>
      <c r="T146" s="1"/>
      <c r="U146" s="78"/>
      <c r="V146" s="78"/>
      <c r="W146" s="557"/>
      <c r="X146" s="394"/>
      <c r="Y146" s="78"/>
      <c r="Z146" s="78"/>
      <c r="AA146" s="44"/>
    </row>
    <row r="147" spans="1:27" s="41" customFormat="1" ht="15" hidden="1" customHeight="1" x14ac:dyDescent="0.25">
      <c r="A147" s="118" t="s">
        <v>235</v>
      </c>
      <c r="B147" s="101" t="s">
        <v>665</v>
      </c>
      <c r="C147" s="655" t="s">
        <v>236</v>
      </c>
      <c r="D147" s="656"/>
      <c r="E147" s="656"/>
      <c r="F147" s="162">
        <v>0</v>
      </c>
      <c r="G147" s="345">
        <v>0</v>
      </c>
      <c r="H147" s="315">
        <v>0</v>
      </c>
      <c r="I147" s="516">
        <v>0</v>
      </c>
      <c r="J147" s="243">
        <f t="shared" si="39"/>
        <v>0</v>
      </c>
      <c r="K147" s="152"/>
      <c r="L147" s="162">
        <f t="shared" si="27"/>
        <v>0</v>
      </c>
      <c r="M147" s="102"/>
      <c r="N147" s="103"/>
      <c r="O147" s="103"/>
      <c r="P147" s="102"/>
      <c r="Q147" s="103"/>
      <c r="R147" s="106"/>
      <c r="S147" s="106"/>
      <c r="T147" s="103"/>
      <c r="U147" s="106"/>
      <c r="V147" s="106"/>
      <c r="W147" s="561"/>
      <c r="X147" s="397"/>
      <c r="Y147" s="106"/>
      <c r="Z147" s="106"/>
      <c r="AA147" s="107"/>
    </row>
    <row r="148" spans="1:27" s="41" customFormat="1" ht="15" hidden="1" customHeight="1" x14ac:dyDescent="0.25">
      <c r="A148" s="118" t="s">
        <v>237</v>
      </c>
      <c r="B148" s="101" t="s">
        <v>667</v>
      </c>
      <c r="C148" s="655" t="s">
        <v>238</v>
      </c>
      <c r="D148" s="656"/>
      <c r="E148" s="656"/>
      <c r="F148" s="162">
        <v>0</v>
      </c>
      <c r="G148" s="345">
        <v>0</v>
      </c>
      <c r="H148" s="315">
        <v>0</v>
      </c>
      <c r="I148" s="516">
        <v>0</v>
      </c>
      <c r="J148" s="243">
        <f t="shared" si="39"/>
        <v>0</v>
      </c>
      <c r="K148" s="152"/>
      <c r="L148" s="162">
        <f t="shared" si="27"/>
        <v>0</v>
      </c>
      <c r="M148" s="102"/>
      <c r="N148" s="103"/>
      <c r="O148" s="103"/>
      <c r="P148" s="102"/>
      <c r="Q148" s="103"/>
      <c r="R148" s="106"/>
      <c r="S148" s="106"/>
      <c r="T148" s="103"/>
      <c r="U148" s="106"/>
      <c r="V148" s="106"/>
      <c r="W148" s="561"/>
      <c r="X148" s="397"/>
      <c r="Y148" s="106"/>
      <c r="Z148" s="106"/>
      <c r="AA148" s="107"/>
    </row>
    <row r="149" spans="1:27" s="41" customFormat="1" ht="15" hidden="1" customHeight="1" x14ac:dyDescent="0.25">
      <c r="A149" s="118" t="s">
        <v>239</v>
      </c>
      <c r="B149" s="101" t="s">
        <v>668</v>
      </c>
      <c r="C149" s="655" t="s">
        <v>240</v>
      </c>
      <c r="D149" s="656"/>
      <c r="E149" s="656"/>
      <c r="F149" s="162">
        <v>0</v>
      </c>
      <c r="G149" s="345">
        <v>0</v>
      </c>
      <c r="H149" s="315">
        <v>0</v>
      </c>
      <c r="I149" s="516">
        <v>0</v>
      </c>
      <c r="J149" s="243">
        <f t="shared" si="39"/>
        <v>0</v>
      </c>
      <c r="K149" s="152"/>
      <c r="L149" s="162">
        <f t="shared" ref="L149:L212" si="40">SUM(J149:K149)</f>
        <v>0</v>
      </c>
      <c r="M149" s="102"/>
      <c r="N149" s="103"/>
      <c r="O149" s="103"/>
      <c r="P149" s="102"/>
      <c r="Q149" s="103"/>
      <c r="R149" s="106"/>
      <c r="S149" s="106"/>
      <c r="T149" s="103"/>
      <c r="U149" s="106"/>
      <c r="V149" s="106"/>
      <c r="W149" s="561"/>
      <c r="X149" s="397"/>
      <c r="Y149" s="106"/>
      <c r="Z149" s="106"/>
      <c r="AA149" s="107"/>
    </row>
    <row r="150" spans="1:27" s="41" customFormat="1" ht="15" hidden="1" customHeight="1" x14ac:dyDescent="0.25">
      <c r="A150" s="118" t="s">
        <v>241</v>
      </c>
      <c r="B150" s="101" t="s">
        <v>669</v>
      </c>
      <c r="C150" s="655" t="s">
        <v>242</v>
      </c>
      <c r="D150" s="656"/>
      <c r="E150" s="656"/>
      <c r="F150" s="162">
        <v>0</v>
      </c>
      <c r="G150" s="345">
        <v>0</v>
      </c>
      <c r="H150" s="315">
        <v>0</v>
      </c>
      <c r="I150" s="516">
        <v>0</v>
      </c>
      <c r="J150" s="243">
        <f>J151+J152+J153+J154+J155+J156+J157+J158+J159+J160</f>
        <v>0</v>
      </c>
      <c r="K150" s="152">
        <f t="shared" ref="K150:AA150" si="41">K151+K152+K153+K154+K155+K156+K157+K158+K159+K160</f>
        <v>0</v>
      </c>
      <c r="L150" s="162">
        <f t="shared" si="40"/>
        <v>0</v>
      </c>
      <c r="M150" s="102">
        <f>M151+M152+M153+M154+M155+M156+M157+M158+M159+M160</f>
        <v>0</v>
      </c>
      <c r="N150" s="103">
        <f>N151+N152+N153+N154+N155+N156+N157+N158+N159+N160</f>
        <v>0</v>
      </c>
      <c r="O150" s="103">
        <f>O151+O152+O153+O154+O155+O156+O157+O158+O159+O160</f>
        <v>0</v>
      </c>
      <c r="P150" s="102">
        <f t="shared" si="41"/>
        <v>0</v>
      </c>
      <c r="Q150" s="103">
        <f t="shared" si="41"/>
        <v>0</v>
      </c>
      <c r="R150" s="106">
        <f t="shared" si="41"/>
        <v>0</v>
      </c>
      <c r="S150" s="106">
        <f t="shared" si="41"/>
        <v>0</v>
      </c>
      <c r="T150" s="103">
        <f t="shared" si="41"/>
        <v>0</v>
      </c>
      <c r="U150" s="106">
        <f t="shared" si="41"/>
        <v>0</v>
      </c>
      <c r="V150" s="106">
        <f t="shared" si="41"/>
        <v>0</v>
      </c>
      <c r="W150" s="561">
        <f t="shared" si="41"/>
        <v>0</v>
      </c>
      <c r="X150" s="397">
        <f t="shared" si="41"/>
        <v>0</v>
      </c>
      <c r="Y150" s="106">
        <f t="shared" si="41"/>
        <v>0</v>
      </c>
      <c r="Z150" s="106">
        <f t="shared" si="41"/>
        <v>0</v>
      </c>
      <c r="AA150" s="107">
        <f t="shared" si="41"/>
        <v>0</v>
      </c>
    </row>
    <row r="151" spans="1:27" ht="15" hidden="1" customHeight="1" x14ac:dyDescent="0.25">
      <c r="B151" s="54"/>
      <c r="C151" s="2"/>
      <c r="D151" s="624" t="s">
        <v>359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61" si="42">SUM(P151:AA151)</f>
        <v>0</v>
      </c>
      <c r="K151" s="141"/>
      <c r="L151" s="159">
        <f t="shared" si="40"/>
        <v>0</v>
      </c>
      <c r="M151" s="72"/>
      <c r="N151" s="1"/>
      <c r="O151" s="1"/>
      <c r="P151" s="72"/>
      <c r="Q151" s="1"/>
      <c r="R151" s="78"/>
      <c r="S151" s="78"/>
      <c r="T151" s="1"/>
      <c r="U151" s="78"/>
      <c r="V151" s="78"/>
      <c r="W151" s="557"/>
      <c r="X151" s="394"/>
      <c r="Y151" s="78"/>
      <c r="Z151" s="78"/>
      <c r="AA151" s="44"/>
    </row>
    <row r="152" spans="1:27" ht="15" hidden="1" customHeight="1" x14ac:dyDescent="0.25">
      <c r="B152" s="54"/>
      <c r="C152" s="2"/>
      <c r="D152" s="624" t="s">
        <v>360</v>
      </c>
      <c r="E152" s="624"/>
      <c r="F152" s="159">
        <v>0</v>
      </c>
      <c r="G152" s="343">
        <v>0</v>
      </c>
      <c r="H152" s="313">
        <v>0</v>
      </c>
      <c r="I152" s="513">
        <v>0</v>
      </c>
      <c r="J152" s="232">
        <f t="shared" si="42"/>
        <v>0</v>
      </c>
      <c r="K152" s="141"/>
      <c r="L152" s="159">
        <f t="shared" si="40"/>
        <v>0</v>
      </c>
      <c r="M152" s="72"/>
      <c r="N152" s="1"/>
      <c r="O152" s="1"/>
      <c r="P152" s="72"/>
      <c r="Q152" s="1"/>
      <c r="R152" s="78"/>
      <c r="S152" s="78"/>
      <c r="T152" s="1"/>
      <c r="U152" s="78"/>
      <c r="V152" s="78"/>
      <c r="W152" s="557"/>
      <c r="X152" s="394"/>
      <c r="Y152" s="78"/>
      <c r="Z152" s="78"/>
      <c r="AA152" s="44"/>
    </row>
    <row r="153" spans="1:27" ht="15" hidden="1" customHeight="1" x14ac:dyDescent="0.25">
      <c r="B153" s="54"/>
      <c r="C153" s="2"/>
      <c r="D153" s="624" t="s">
        <v>361</v>
      </c>
      <c r="E153" s="624"/>
      <c r="F153" s="159">
        <v>0</v>
      </c>
      <c r="G153" s="343">
        <v>0</v>
      </c>
      <c r="H153" s="313">
        <v>0</v>
      </c>
      <c r="I153" s="513">
        <v>0</v>
      </c>
      <c r="J153" s="232">
        <f t="shared" si="42"/>
        <v>0</v>
      </c>
      <c r="K153" s="141"/>
      <c r="L153" s="159">
        <f t="shared" si="40"/>
        <v>0</v>
      </c>
      <c r="M153" s="72"/>
      <c r="N153" s="1"/>
      <c r="O153" s="1"/>
      <c r="P153" s="72"/>
      <c r="Q153" s="1"/>
      <c r="R153" s="78"/>
      <c r="S153" s="78"/>
      <c r="T153" s="1"/>
      <c r="U153" s="78"/>
      <c r="V153" s="78"/>
      <c r="W153" s="557"/>
      <c r="X153" s="394"/>
      <c r="Y153" s="78"/>
      <c r="Z153" s="78"/>
      <c r="AA153" s="44"/>
    </row>
    <row r="154" spans="1:27" ht="15" hidden="1" customHeight="1" x14ac:dyDescent="0.25">
      <c r="B154" s="54"/>
      <c r="C154" s="2"/>
      <c r="D154" s="624" t="s">
        <v>362</v>
      </c>
      <c r="E154" s="624"/>
      <c r="F154" s="159">
        <v>0</v>
      </c>
      <c r="G154" s="343">
        <v>0</v>
      </c>
      <c r="H154" s="313">
        <v>0</v>
      </c>
      <c r="I154" s="513">
        <v>0</v>
      </c>
      <c r="J154" s="232">
        <f t="shared" si="42"/>
        <v>0</v>
      </c>
      <c r="K154" s="141"/>
      <c r="L154" s="159">
        <f t="shared" si="40"/>
        <v>0</v>
      </c>
      <c r="M154" s="72"/>
      <c r="N154" s="1"/>
      <c r="O154" s="1"/>
      <c r="P154" s="72"/>
      <c r="Q154" s="1"/>
      <c r="R154" s="78"/>
      <c r="S154" s="78"/>
      <c r="T154" s="1"/>
      <c r="U154" s="78"/>
      <c r="V154" s="78"/>
      <c r="W154" s="557"/>
      <c r="X154" s="394"/>
      <c r="Y154" s="78"/>
      <c r="Z154" s="78"/>
      <c r="AA154" s="44"/>
    </row>
    <row r="155" spans="1:27" ht="15" hidden="1" customHeight="1" x14ac:dyDescent="0.25">
      <c r="B155" s="54"/>
      <c r="C155" s="2"/>
      <c r="D155" s="624" t="s">
        <v>363</v>
      </c>
      <c r="E155" s="624"/>
      <c r="F155" s="159">
        <v>0</v>
      </c>
      <c r="G155" s="343">
        <v>0</v>
      </c>
      <c r="H155" s="313">
        <v>0</v>
      </c>
      <c r="I155" s="513">
        <v>0</v>
      </c>
      <c r="J155" s="232">
        <f t="shared" si="42"/>
        <v>0</v>
      </c>
      <c r="K155" s="141"/>
      <c r="L155" s="159">
        <f t="shared" si="40"/>
        <v>0</v>
      </c>
      <c r="M155" s="72"/>
      <c r="N155" s="1"/>
      <c r="O155" s="1"/>
      <c r="P155" s="72"/>
      <c r="Q155" s="1"/>
      <c r="R155" s="78"/>
      <c r="S155" s="78"/>
      <c r="T155" s="1"/>
      <c r="U155" s="78"/>
      <c r="V155" s="78"/>
      <c r="W155" s="557"/>
      <c r="X155" s="394"/>
      <c r="Y155" s="78"/>
      <c r="Z155" s="78"/>
      <c r="AA155" s="44"/>
    </row>
    <row r="156" spans="1:27" ht="25.5" hidden="1" customHeight="1" x14ac:dyDescent="0.25">
      <c r="B156" s="54"/>
      <c r="C156" s="2"/>
      <c r="D156" s="625" t="s">
        <v>536</v>
      </c>
      <c r="E156" s="625"/>
      <c r="F156" s="159">
        <v>0</v>
      </c>
      <c r="G156" s="343">
        <v>0</v>
      </c>
      <c r="H156" s="313">
        <v>0</v>
      </c>
      <c r="I156" s="513">
        <v>0</v>
      </c>
      <c r="J156" s="242">
        <f t="shared" si="42"/>
        <v>0</v>
      </c>
      <c r="K156" s="151"/>
      <c r="L156" s="159">
        <f t="shared" si="40"/>
        <v>0</v>
      </c>
      <c r="M156" s="72"/>
      <c r="N156" s="1"/>
      <c r="O156" s="1"/>
      <c r="P156" s="72"/>
      <c r="Q156" s="1"/>
      <c r="R156" s="78"/>
      <c r="S156" s="78"/>
      <c r="T156" s="1"/>
      <c r="U156" s="78"/>
      <c r="V156" s="78"/>
      <c r="W156" s="557"/>
      <c r="X156" s="394"/>
      <c r="Y156" s="78"/>
      <c r="Z156" s="78"/>
      <c r="AA156" s="44"/>
    </row>
    <row r="157" spans="1:27" ht="25.5" hidden="1" customHeight="1" x14ac:dyDescent="0.25">
      <c r="B157" s="54"/>
      <c r="C157" s="2"/>
      <c r="D157" s="625" t="s">
        <v>539</v>
      </c>
      <c r="E157" s="625"/>
      <c r="F157" s="159">
        <v>0</v>
      </c>
      <c r="G157" s="343">
        <v>0</v>
      </c>
      <c r="H157" s="313">
        <v>0</v>
      </c>
      <c r="I157" s="513">
        <v>0</v>
      </c>
      <c r="J157" s="242">
        <f t="shared" si="42"/>
        <v>0</v>
      </c>
      <c r="K157" s="151"/>
      <c r="L157" s="159">
        <f t="shared" si="40"/>
        <v>0</v>
      </c>
      <c r="M157" s="72"/>
      <c r="N157" s="1"/>
      <c r="O157" s="1"/>
      <c r="P157" s="72"/>
      <c r="Q157" s="1"/>
      <c r="R157" s="78"/>
      <c r="S157" s="78"/>
      <c r="T157" s="1"/>
      <c r="U157" s="78"/>
      <c r="V157" s="78"/>
      <c r="W157" s="557"/>
      <c r="X157" s="394"/>
      <c r="Y157" s="78"/>
      <c r="Z157" s="78"/>
      <c r="AA157" s="44"/>
    </row>
    <row r="158" spans="1:27" ht="15" hidden="1" customHeight="1" x14ac:dyDescent="0.25">
      <c r="B158" s="54"/>
      <c r="C158" s="2"/>
      <c r="D158" s="624" t="s">
        <v>365</v>
      </c>
      <c r="E158" s="624"/>
      <c r="F158" s="159">
        <v>0</v>
      </c>
      <c r="G158" s="343">
        <v>0</v>
      </c>
      <c r="H158" s="313">
        <v>0</v>
      </c>
      <c r="I158" s="513">
        <v>0</v>
      </c>
      <c r="J158" s="232">
        <f t="shared" si="42"/>
        <v>0</v>
      </c>
      <c r="K158" s="141"/>
      <c r="L158" s="159">
        <f t="shared" si="40"/>
        <v>0</v>
      </c>
      <c r="M158" s="72"/>
      <c r="N158" s="1"/>
      <c r="O158" s="1"/>
      <c r="P158" s="72"/>
      <c r="Q158" s="1"/>
      <c r="R158" s="78"/>
      <c r="S158" s="78"/>
      <c r="T158" s="1"/>
      <c r="U158" s="78"/>
      <c r="V158" s="78"/>
      <c r="W158" s="557"/>
      <c r="X158" s="394"/>
      <c r="Y158" s="78"/>
      <c r="Z158" s="78"/>
      <c r="AA158" s="44"/>
    </row>
    <row r="159" spans="1:27" ht="25.5" hidden="1" customHeight="1" x14ac:dyDescent="0.25">
      <c r="B159" s="54"/>
      <c r="C159" s="2"/>
      <c r="D159" s="625" t="s">
        <v>542</v>
      </c>
      <c r="E159" s="625"/>
      <c r="F159" s="159">
        <v>0</v>
      </c>
      <c r="G159" s="343">
        <v>0</v>
      </c>
      <c r="H159" s="313">
        <v>0</v>
      </c>
      <c r="I159" s="513">
        <v>0</v>
      </c>
      <c r="J159" s="242">
        <f t="shared" si="42"/>
        <v>0</v>
      </c>
      <c r="K159" s="151"/>
      <c r="L159" s="159">
        <f t="shared" si="40"/>
        <v>0</v>
      </c>
      <c r="M159" s="72"/>
      <c r="N159" s="1"/>
      <c r="O159" s="1"/>
      <c r="P159" s="72"/>
      <c r="Q159" s="1"/>
      <c r="R159" s="78"/>
      <c r="S159" s="78"/>
      <c r="T159" s="1"/>
      <c r="U159" s="78"/>
      <c r="V159" s="78"/>
      <c r="W159" s="557"/>
      <c r="X159" s="394"/>
      <c r="Y159" s="78"/>
      <c r="Z159" s="78"/>
      <c r="AA159" s="44"/>
    </row>
    <row r="160" spans="1:27" ht="15" hidden="1" customHeight="1" x14ac:dyDescent="0.25">
      <c r="B160" s="54"/>
      <c r="C160" s="2"/>
      <c r="D160" s="624" t="s">
        <v>543</v>
      </c>
      <c r="E160" s="624"/>
      <c r="F160" s="159">
        <v>0</v>
      </c>
      <c r="G160" s="343">
        <v>0</v>
      </c>
      <c r="H160" s="313">
        <v>0</v>
      </c>
      <c r="I160" s="513">
        <v>0</v>
      </c>
      <c r="J160" s="232">
        <f t="shared" si="42"/>
        <v>0</v>
      </c>
      <c r="K160" s="141"/>
      <c r="L160" s="159">
        <f t="shared" si="40"/>
        <v>0</v>
      </c>
      <c r="M160" s="72"/>
      <c r="N160" s="1"/>
      <c r="O160" s="1"/>
      <c r="P160" s="72"/>
      <c r="Q160" s="1"/>
      <c r="R160" s="78"/>
      <c r="S160" s="78"/>
      <c r="T160" s="1"/>
      <c r="U160" s="78"/>
      <c r="V160" s="78"/>
      <c r="W160" s="557"/>
      <c r="X160" s="394"/>
      <c r="Y160" s="78"/>
      <c r="Z160" s="78"/>
      <c r="AA160" s="44"/>
    </row>
    <row r="161" spans="1:27" s="41" customFormat="1" ht="15.75" hidden="1" customHeight="1" thickBot="1" x14ac:dyDescent="0.3">
      <c r="A161" s="118" t="s">
        <v>243</v>
      </c>
      <c r="B161" s="127" t="s">
        <v>670</v>
      </c>
      <c r="C161" s="710" t="s">
        <v>244</v>
      </c>
      <c r="D161" s="711"/>
      <c r="E161" s="711"/>
      <c r="F161" s="162">
        <v>0</v>
      </c>
      <c r="G161" s="471">
        <v>0</v>
      </c>
      <c r="H161" s="491">
        <v>0</v>
      </c>
      <c r="I161" s="521">
        <v>0</v>
      </c>
      <c r="J161" s="244">
        <f t="shared" si="42"/>
        <v>0</v>
      </c>
      <c r="K161" s="153"/>
      <c r="L161" s="162">
        <f t="shared" si="40"/>
        <v>0</v>
      </c>
      <c r="M161" s="102"/>
      <c r="N161" s="103"/>
      <c r="O161" s="103"/>
      <c r="P161" s="102"/>
      <c r="Q161" s="103"/>
      <c r="R161" s="106"/>
      <c r="S161" s="106"/>
      <c r="T161" s="103"/>
      <c r="U161" s="106"/>
      <c r="V161" s="106"/>
      <c r="W161" s="561"/>
      <c r="X161" s="397"/>
      <c r="Y161" s="106"/>
      <c r="Z161" s="106"/>
      <c r="AA161" s="107"/>
    </row>
    <row r="162" spans="1:27" ht="15.75" thickBot="1" x14ac:dyDescent="0.3">
      <c r="B162" s="96" t="s">
        <v>245</v>
      </c>
      <c r="C162" s="632" t="s">
        <v>246</v>
      </c>
      <c r="D162" s="633"/>
      <c r="E162" s="633"/>
      <c r="F162" s="156">
        <v>0</v>
      </c>
      <c r="G162" s="338">
        <v>0</v>
      </c>
      <c r="H162" s="308">
        <v>0</v>
      </c>
      <c r="I162" s="506">
        <v>0</v>
      </c>
      <c r="J162" s="235">
        <f>J163+J164+J167+J168+J169+J170+J171</f>
        <v>0</v>
      </c>
      <c r="K162" s="144">
        <f t="shared" ref="K162:AA162" si="43">K163+K164+K167+K168+K169+K170+K171</f>
        <v>0</v>
      </c>
      <c r="L162" s="156">
        <f t="shared" si="40"/>
        <v>0</v>
      </c>
      <c r="M162" s="82">
        <f>M163+M164+M167+M168+M169+M170+M171</f>
        <v>0</v>
      </c>
      <c r="N162" s="83">
        <f>N163+N164+N167+N168+N169+N170+N171</f>
        <v>0</v>
      </c>
      <c r="O162" s="83">
        <f>O163+O164+O167+O168+O169+O170+O171</f>
        <v>0</v>
      </c>
      <c r="P162" s="82">
        <f t="shared" si="43"/>
        <v>0</v>
      </c>
      <c r="Q162" s="83">
        <f t="shared" si="43"/>
        <v>0</v>
      </c>
      <c r="R162" s="86">
        <f t="shared" si="43"/>
        <v>0</v>
      </c>
      <c r="S162" s="86">
        <f t="shared" si="43"/>
        <v>0</v>
      </c>
      <c r="T162" s="83">
        <f t="shared" si="43"/>
        <v>0</v>
      </c>
      <c r="U162" s="86">
        <f t="shared" si="43"/>
        <v>0</v>
      </c>
      <c r="V162" s="86">
        <f t="shared" si="43"/>
        <v>0</v>
      </c>
      <c r="W162" s="87">
        <f t="shared" si="43"/>
        <v>0</v>
      </c>
      <c r="X162" s="338">
        <f t="shared" si="43"/>
        <v>0</v>
      </c>
      <c r="Y162" s="86">
        <f t="shared" si="43"/>
        <v>0</v>
      </c>
      <c r="Z162" s="86">
        <f t="shared" si="43"/>
        <v>0</v>
      </c>
      <c r="AA162" s="87">
        <f t="shared" si="43"/>
        <v>0</v>
      </c>
    </row>
    <row r="163" spans="1:27" s="18" customFormat="1" ht="15" hidden="1" customHeight="1" x14ac:dyDescent="0.25">
      <c r="A163" s="118" t="s">
        <v>247</v>
      </c>
      <c r="B163" s="108" t="s">
        <v>671</v>
      </c>
      <c r="C163" s="634" t="s">
        <v>248</v>
      </c>
      <c r="D163" s="635"/>
      <c r="E163" s="635"/>
      <c r="F163" s="158">
        <v>0</v>
      </c>
      <c r="G163" s="339">
        <v>0</v>
      </c>
      <c r="H163" s="309">
        <v>0</v>
      </c>
      <c r="I163" s="507">
        <v>0</v>
      </c>
      <c r="J163" s="231">
        <f>SUM(P163:AA163)</f>
        <v>0</v>
      </c>
      <c r="K163" s="140"/>
      <c r="L163" s="158">
        <f t="shared" si="40"/>
        <v>0</v>
      </c>
      <c r="M163" s="90"/>
      <c r="N163" s="91"/>
      <c r="O163" s="91"/>
      <c r="P163" s="90"/>
      <c r="Q163" s="91"/>
      <c r="R163" s="94"/>
      <c r="S163" s="94"/>
      <c r="T163" s="91"/>
      <c r="U163" s="94"/>
      <c r="V163" s="94"/>
      <c r="W163" s="261"/>
      <c r="X163" s="346"/>
      <c r="Y163" s="94"/>
      <c r="Z163" s="94"/>
      <c r="AA163" s="95"/>
    </row>
    <row r="164" spans="1:27" s="18" customFormat="1" ht="15" hidden="1" customHeight="1" x14ac:dyDescent="0.25">
      <c r="A164" s="118" t="s">
        <v>249</v>
      </c>
      <c r="B164" s="88" t="s">
        <v>672</v>
      </c>
      <c r="C164" s="626" t="s">
        <v>250</v>
      </c>
      <c r="D164" s="627"/>
      <c r="E164" s="627"/>
      <c r="F164" s="158">
        <v>0</v>
      </c>
      <c r="G164" s="341">
        <v>0</v>
      </c>
      <c r="H164" s="311">
        <v>0</v>
      </c>
      <c r="I164" s="509">
        <v>0</v>
      </c>
      <c r="J164" s="233">
        <f>J165+J166</f>
        <v>0</v>
      </c>
      <c r="K164" s="142">
        <f t="shared" ref="K164:AA164" si="44">K165+K166</f>
        <v>0</v>
      </c>
      <c r="L164" s="158">
        <f t="shared" si="40"/>
        <v>0</v>
      </c>
      <c r="M164" s="90">
        <f>M165+M166</f>
        <v>0</v>
      </c>
      <c r="N164" s="91">
        <f>N165+N166</f>
        <v>0</v>
      </c>
      <c r="O164" s="91">
        <f>O165+O166</f>
        <v>0</v>
      </c>
      <c r="P164" s="90">
        <f t="shared" si="44"/>
        <v>0</v>
      </c>
      <c r="Q164" s="91">
        <f t="shared" si="44"/>
        <v>0</v>
      </c>
      <c r="R164" s="94">
        <f t="shared" si="44"/>
        <v>0</v>
      </c>
      <c r="S164" s="94">
        <f t="shared" si="44"/>
        <v>0</v>
      </c>
      <c r="T164" s="91">
        <f t="shared" si="44"/>
        <v>0</v>
      </c>
      <c r="U164" s="94">
        <f t="shared" si="44"/>
        <v>0</v>
      </c>
      <c r="V164" s="94">
        <f t="shared" si="44"/>
        <v>0</v>
      </c>
      <c r="W164" s="261">
        <f t="shared" si="44"/>
        <v>0</v>
      </c>
      <c r="X164" s="346">
        <f t="shared" si="44"/>
        <v>0</v>
      </c>
      <c r="Y164" s="94">
        <f t="shared" si="44"/>
        <v>0</v>
      </c>
      <c r="Z164" s="94">
        <f t="shared" si="44"/>
        <v>0</v>
      </c>
      <c r="AA164" s="95">
        <f t="shared" si="44"/>
        <v>0</v>
      </c>
    </row>
    <row r="165" spans="1:27" ht="15" hidden="1" customHeight="1" x14ac:dyDescent="0.25">
      <c r="B165" s="54"/>
      <c r="C165" s="2"/>
      <c r="D165" s="624" t="s">
        <v>250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1" si="45">SUM(P165:AA165)</f>
        <v>0</v>
      </c>
      <c r="K165" s="141"/>
      <c r="L165" s="159">
        <f t="shared" si="40"/>
        <v>0</v>
      </c>
      <c r="M165" s="72"/>
      <c r="N165" s="1"/>
      <c r="O165" s="1"/>
      <c r="P165" s="72"/>
      <c r="Q165" s="1"/>
      <c r="R165" s="78"/>
      <c r="S165" s="78"/>
      <c r="T165" s="1"/>
      <c r="U165" s="78"/>
      <c r="V165" s="78"/>
      <c r="W165" s="44"/>
      <c r="X165" s="343"/>
      <c r="Y165" s="78"/>
      <c r="Z165" s="78"/>
      <c r="AA165" s="44"/>
    </row>
    <row r="166" spans="1:27" ht="15" hidden="1" customHeight="1" x14ac:dyDescent="0.25">
      <c r="B166" s="54"/>
      <c r="C166" s="2"/>
      <c r="D166" s="624" t="s">
        <v>349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45"/>
        <v>0</v>
      </c>
      <c r="K166" s="141"/>
      <c r="L166" s="159">
        <f t="shared" si="40"/>
        <v>0</v>
      </c>
      <c r="M166" s="72"/>
      <c r="N166" s="1"/>
      <c r="O166" s="1"/>
      <c r="P166" s="72"/>
      <c r="Q166" s="1"/>
      <c r="R166" s="78"/>
      <c r="S166" s="78"/>
      <c r="T166" s="1"/>
      <c r="U166" s="78"/>
      <c r="V166" s="78"/>
      <c r="W166" s="44"/>
      <c r="X166" s="343"/>
      <c r="Y166" s="78"/>
      <c r="Z166" s="78"/>
      <c r="AA166" s="44"/>
    </row>
    <row r="167" spans="1:27" s="18" customFormat="1" ht="15" hidden="1" customHeight="1" x14ac:dyDescent="0.25">
      <c r="A167" s="118" t="s">
        <v>251</v>
      </c>
      <c r="B167" s="88" t="s">
        <v>673</v>
      </c>
      <c r="C167" s="626" t="s">
        <v>252</v>
      </c>
      <c r="D167" s="627"/>
      <c r="E167" s="627"/>
      <c r="F167" s="158">
        <v>0</v>
      </c>
      <c r="G167" s="341">
        <v>0</v>
      </c>
      <c r="H167" s="311">
        <v>0</v>
      </c>
      <c r="I167" s="509">
        <v>0</v>
      </c>
      <c r="J167" s="233">
        <f t="shared" si="45"/>
        <v>0</v>
      </c>
      <c r="K167" s="142"/>
      <c r="L167" s="158">
        <f t="shared" si="40"/>
        <v>0</v>
      </c>
      <c r="M167" s="90"/>
      <c r="N167" s="91"/>
      <c r="O167" s="91"/>
      <c r="P167" s="90"/>
      <c r="Q167" s="91"/>
      <c r="R167" s="94"/>
      <c r="S167" s="94"/>
      <c r="T167" s="91"/>
      <c r="U167" s="94"/>
      <c r="V167" s="94"/>
      <c r="W167" s="261"/>
      <c r="X167" s="346"/>
      <c r="Y167" s="94"/>
      <c r="Z167" s="94"/>
      <c r="AA167" s="95"/>
    </row>
    <row r="168" spans="1:27" s="18" customFormat="1" hidden="1" x14ac:dyDescent="0.25">
      <c r="A168" s="118" t="s">
        <v>253</v>
      </c>
      <c r="B168" s="88" t="s">
        <v>674</v>
      </c>
      <c r="C168" s="626" t="s">
        <v>254</v>
      </c>
      <c r="D168" s="627"/>
      <c r="E168" s="627"/>
      <c r="F168" s="158">
        <v>0</v>
      </c>
      <c r="G168" s="341">
        <v>0</v>
      </c>
      <c r="H168" s="311">
        <v>0</v>
      </c>
      <c r="I168" s="509">
        <v>0</v>
      </c>
      <c r="J168" s="233">
        <f t="shared" si="45"/>
        <v>0</v>
      </c>
      <c r="K168" s="142"/>
      <c r="L168" s="158">
        <f t="shared" si="40"/>
        <v>0</v>
      </c>
      <c r="M168" s="90"/>
      <c r="N168" s="91"/>
      <c r="O168" s="91">
        <f>L168</f>
        <v>0</v>
      </c>
      <c r="P168" s="90"/>
      <c r="Q168" s="91"/>
      <c r="R168" s="94"/>
      <c r="S168" s="94"/>
      <c r="T168" s="91"/>
      <c r="U168" s="94"/>
      <c r="V168" s="94"/>
      <c r="W168" s="95"/>
      <c r="X168" s="341"/>
      <c r="Y168" s="94"/>
      <c r="Z168" s="94"/>
      <c r="AA168" s="95"/>
    </row>
    <row r="169" spans="1:27" s="18" customFormat="1" ht="15" hidden="1" customHeight="1" x14ac:dyDescent="0.25">
      <c r="A169" s="118" t="s">
        <v>255</v>
      </c>
      <c r="B169" s="88" t="s">
        <v>675</v>
      </c>
      <c r="C169" s="626" t="s">
        <v>256</v>
      </c>
      <c r="D169" s="627"/>
      <c r="E169" s="627"/>
      <c r="F169" s="158">
        <v>0</v>
      </c>
      <c r="G169" s="341">
        <v>0</v>
      </c>
      <c r="H169" s="311">
        <v>0</v>
      </c>
      <c r="I169" s="509">
        <v>0</v>
      </c>
      <c r="J169" s="233">
        <f t="shared" si="45"/>
        <v>0</v>
      </c>
      <c r="K169" s="142"/>
      <c r="L169" s="158">
        <f t="shared" si="40"/>
        <v>0</v>
      </c>
      <c r="M169" s="90"/>
      <c r="N169" s="91"/>
      <c r="O169" s="91"/>
      <c r="P169" s="90"/>
      <c r="Q169" s="91"/>
      <c r="R169" s="94"/>
      <c r="S169" s="94"/>
      <c r="T169" s="91"/>
      <c r="U169" s="94"/>
      <c r="V169" s="94"/>
      <c r="W169" s="95"/>
      <c r="X169" s="341"/>
      <c r="Y169" s="94"/>
      <c r="Z169" s="94"/>
      <c r="AA169" s="95"/>
    </row>
    <row r="170" spans="1:27" s="18" customFormat="1" ht="15" hidden="1" customHeight="1" x14ac:dyDescent="0.25">
      <c r="A170" s="118" t="s">
        <v>257</v>
      </c>
      <c r="B170" s="88" t="s">
        <v>676</v>
      </c>
      <c r="C170" s="626" t="s">
        <v>258</v>
      </c>
      <c r="D170" s="627"/>
      <c r="E170" s="627"/>
      <c r="F170" s="158">
        <v>0</v>
      </c>
      <c r="G170" s="341">
        <v>0</v>
      </c>
      <c r="H170" s="311">
        <v>0</v>
      </c>
      <c r="I170" s="509">
        <v>0</v>
      </c>
      <c r="J170" s="233">
        <f t="shared" si="45"/>
        <v>0</v>
      </c>
      <c r="K170" s="142"/>
      <c r="L170" s="158">
        <f t="shared" si="40"/>
        <v>0</v>
      </c>
      <c r="M170" s="90"/>
      <c r="N170" s="91"/>
      <c r="O170" s="91"/>
      <c r="P170" s="90"/>
      <c r="Q170" s="91"/>
      <c r="R170" s="94"/>
      <c r="S170" s="94"/>
      <c r="T170" s="91"/>
      <c r="U170" s="94"/>
      <c r="V170" s="94"/>
      <c r="W170" s="95"/>
      <c r="X170" s="341"/>
      <c r="Y170" s="94"/>
      <c r="Z170" s="94"/>
      <c r="AA170" s="95"/>
    </row>
    <row r="171" spans="1:27" s="18" customFormat="1" ht="15.75" hidden="1" thickBot="1" x14ac:dyDescent="0.3">
      <c r="A171" s="118" t="s">
        <v>259</v>
      </c>
      <c r="B171" s="117" t="s">
        <v>677</v>
      </c>
      <c r="C171" s="718" t="s">
        <v>260</v>
      </c>
      <c r="D171" s="719"/>
      <c r="E171" s="719"/>
      <c r="F171" s="158">
        <v>0</v>
      </c>
      <c r="G171" s="469">
        <v>0</v>
      </c>
      <c r="H171" s="488">
        <v>0</v>
      </c>
      <c r="I171" s="518">
        <v>0</v>
      </c>
      <c r="J171" s="245">
        <f t="shared" si="45"/>
        <v>0</v>
      </c>
      <c r="K171" s="154"/>
      <c r="L171" s="158">
        <f t="shared" si="40"/>
        <v>0</v>
      </c>
      <c r="M171" s="90"/>
      <c r="N171" s="91"/>
      <c r="O171" s="91">
        <f>L171</f>
        <v>0</v>
      </c>
      <c r="P171" s="90"/>
      <c r="Q171" s="91"/>
      <c r="R171" s="94"/>
      <c r="S171" s="94"/>
      <c r="T171" s="91"/>
      <c r="U171" s="94"/>
      <c r="V171" s="94"/>
      <c r="W171" s="95"/>
      <c r="X171" s="341"/>
      <c r="Y171" s="94"/>
      <c r="Z171" s="94"/>
      <c r="AA171" s="95"/>
    </row>
    <row r="172" spans="1:27" ht="15.75" thickBot="1" x14ac:dyDescent="0.3">
      <c r="B172" s="96" t="s">
        <v>261</v>
      </c>
      <c r="C172" s="632" t="s">
        <v>262</v>
      </c>
      <c r="D172" s="633"/>
      <c r="E172" s="633"/>
      <c r="F172" s="156">
        <v>0</v>
      </c>
      <c r="G172" s="338">
        <v>0</v>
      </c>
      <c r="H172" s="308">
        <v>0</v>
      </c>
      <c r="I172" s="506">
        <v>0</v>
      </c>
      <c r="J172" s="235">
        <f>J173+J174+J175+J176</f>
        <v>0</v>
      </c>
      <c r="K172" s="144">
        <f t="shared" ref="K172:AA172" si="46">K173+K174+K175+K176</f>
        <v>0</v>
      </c>
      <c r="L172" s="156">
        <f t="shared" si="40"/>
        <v>0</v>
      </c>
      <c r="M172" s="82">
        <f>M173+M174+M175+M176</f>
        <v>0</v>
      </c>
      <c r="N172" s="83">
        <f>N173+N174+N175+N176</f>
        <v>0</v>
      </c>
      <c r="O172" s="83">
        <f>O173+O174+O175+O176</f>
        <v>0</v>
      </c>
      <c r="P172" s="82">
        <f t="shared" si="46"/>
        <v>0</v>
      </c>
      <c r="Q172" s="83">
        <f t="shared" si="46"/>
        <v>0</v>
      </c>
      <c r="R172" s="86">
        <f t="shared" si="46"/>
        <v>0</v>
      </c>
      <c r="S172" s="86">
        <f t="shared" si="46"/>
        <v>0</v>
      </c>
      <c r="T172" s="83">
        <f t="shared" si="46"/>
        <v>0</v>
      </c>
      <c r="U172" s="86">
        <f t="shared" si="46"/>
        <v>0</v>
      </c>
      <c r="V172" s="86">
        <f t="shared" si="46"/>
        <v>0</v>
      </c>
      <c r="W172" s="87">
        <f t="shared" si="46"/>
        <v>0</v>
      </c>
      <c r="X172" s="338">
        <f t="shared" si="46"/>
        <v>0</v>
      </c>
      <c r="Y172" s="86">
        <f t="shared" si="46"/>
        <v>0</v>
      </c>
      <c r="Z172" s="86">
        <f t="shared" si="46"/>
        <v>0</v>
      </c>
      <c r="AA172" s="87">
        <f t="shared" si="46"/>
        <v>0</v>
      </c>
    </row>
    <row r="173" spans="1:27" s="18" customFormat="1" ht="15" hidden="1" customHeight="1" x14ac:dyDescent="0.25">
      <c r="A173" s="118" t="s">
        <v>263</v>
      </c>
      <c r="B173" s="253" t="s">
        <v>678</v>
      </c>
      <c r="C173" s="720" t="s">
        <v>264</v>
      </c>
      <c r="D173" s="721"/>
      <c r="E173" s="721"/>
      <c r="F173" s="256">
        <v>0</v>
      </c>
      <c r="G173" s="381">
        <v>0</v>
      </c>
      <c r="H173" s="489">
        <v>0</v>
      </c>
      <c r="I173" s="519">
        <v>0</v>
      </c>
      <c r="J173" s="254">
        <f>SUM(P173:AA173)</f>
        <v>0</v>
      </c>
      <c r="K173" s="255"/>
      <c r="L173" s="256">
        <f t="shared" si="40"/>
        <v>0</v>
      </c>
      <c r="M173" s="257"/>
      <c r="N173" s="258"/>
      <c r="O173" s="258"/>
      <c r="P173" s="257"/>
      <c r="Q173" s="258"/>
      <c r="R173" s="259"/>
      <c r="S173" s="259"/>
      <c r="T173" s="258"/>
      <c r="U173" s="259"/>
      <c r="V173" s="259"/>
      <c r="W173" s="556"/>
      <c r="X173" s="393"/>
      <c r="Y173" s="259"/>
      <c r="Z173" s="259"/>
      <c r="AA173" s="261"/>
    </row>
    <row r="174" spans="1:27" s="18" customFormat="1" ht="15" hidden="1" customHeight="1" x14ac:dyDescent="0.25">
      <c r="A174" s="118" t="s">
        <v>265</v>
      </c>
      <c r="B174" s="262" t="s">
        <v>679</v>
      </c>
      <c r="C174" s="712" t="s">
        <v>884</v>
      </c>
      <c r="D174" s="713"/>
      <c r="E174" s="713"/>
      <c r="F174" s="256">
        <v>0</v>
      </c>
      <c r="G174" s="346">
        <v>0</v>
      </c>
      <c r="H174" s="318">
        <v>0</v>
      </c>
      <c r="I174" s="517">
        <v>0</v>
      </c>
      <c r="J174" s="263">
        <f>SUM(P174:AA174)</f>
        <v>0</v>
      </c>
      <c r="K174" s="264"/>
      <c r="L174" s="256">
        <f t="shared" si="40"/>
        <v>0</v>
      </c>
      <c r="M174" s="257"/>
      <c r="N174" s="258"/>
      <c r="O174" s="258"/>
      <c r="P174" s="257"/>
      <c r="Q174" s="258"/>
      <c r="R174" s="259"/>
      <c r="S174" s="259"/>
      <c r="T174" s="258"/>
      <c r="U174" s="259"/>
      <c r="V174" s="259"/>
      <c r="W174" s="556"/>
      <c r="X174" s="393"/>
      <c r="Y174" s="259"/>
      <c r="Z174" s="259"/>
      <c r="AA174" s="261"/>
    </row>
    <row r="175" spans="1:27" s="18" customFormat="1" ht="15" hidden="1" customHeight="1" x14ac:dyDescent="0.25">
      <c r="A175" s="118" t="s">
        <v>266</v>
      </c>
      <c r="B175" s="262" t="s">
        <v>680</v>
      </c>
      <c r="C175" s="712" t="s">
        <v>267</v>
      </c>
      <c r="D175" s="713"/>
      <c r="E175" s="713"/>
      <c r="F175" s="256">
        <v>0</v>
      </c>
      <c r="G175" s="346">
        <v>0</v>
      </c>
      <c r="H175" s="318">
        <v>0</v>
      </c>
      <c r="I175" s="517">
        <v>0</v>
      </c>
      <c r="J175" s="263">
        <f>SUM(P175:AA175)</f>
        <v>0</v>
      </c>
      <c r="K175" s="264"/>
      <c r="L175" s="256">
        <f t="shared" si="40"/>
        <v>0</v>
      </c>
      <c r="M175" s="257"/>
      <c r="N175" s="258"/>
      <c r="O175" s="258"/>
      <c r="P175" s="257"/>
      <c r="Q175" s="258"/>
      <c r="R175" s="259"/>
      <c r="S175" s="259"/>
      <c r="T175" s="258"/>
      <c r="U175" s="259"/>
      <c r="V175" s="259"/>
      <c r="W175" s="556"/>
      <c r="X175" s="393"/>
      <c r="Y175" s="259"/>
      <c r="Z175" s="259"/>
      <c r="AA175" s="261"/>
    </row>
    <row r="176" spans="1:27" s="18" customFormat="1" ht="15.75" hidden="1" customHeight="1" thickBot="1" x14ac:dyDescent="0.3">
      <c r="A176" s="118" t="s">
        <v>268</v>
      </c>
      <c r="B176" s="265" t="s">
        <v>681</v>
      </c>
      <c r="C176" s="714" t="s">
        <v>366</v>
      </c>
      <c r="D176" s="715"/>
      <c r="E176" s="715"/>
      <c r="F176" s="256">
        <v>0</v>
      </c>
      <c r="G176" s="470">
        <v>0</v>
      </c>
      <c r="H176" s="490">
        <v>0</v>
      </c>
      <c r="I176" s="520">
        <v>0</v>
      </c>
      <c r="J176" s="266">
        <f>SUM(P176:AA176)</f>
        <v>0</v>
      </c>
      <c r="K176" s="267"/>
      <c r="L176" s="256">
        <f t="shared" si="40"/>
        <v>0</v>
      </c>
      <c r="M176" s="257"/>
      <c r="N176" s="258"/>
      <c r="O176" s="258"/>
      <c r="P176" s="257"/>
      <c r="Q176" s="258"/>
      <c r="R176" s="259"/>
      <c r="S176" s="259"/>
      <c r="T176" s="258"/>
      <c r="U176" s="259"/>
      <c r="V176" s="259"/>
      <c r="W176" s="556"/>
      <c r="X176" s="393"/>
      <c r="Y176" s="259"/>
      <c r="Z176" s="259"/>
      <c r="AA176" s="261"/>
    </row>
    <row r="177" spans="1:27" ht="15.75" thickBot="1" x14ac:dyDescent="0.3">
      <c r="B177" s="96" t="s">
        <v>269</v>
      </c>
      <c r="C177" s="632" t="s">
        <v>270</v>
      </c>
      <c r="D177" s="633"/>
      <c r="E177" s="633"/>
      <c r="F177" s="156">
        <v>0</v>
      </c>
      <c r="G177" s="338">
        <v>0</v>
      </c>
      <c r="H177" s="308">
        <v>0</v>
      </c>
      <c r="I177" s="506">
        <v>0</v>
      </c>
      <c r="J177" s="235">
        <f>J178+J179+J190+J201+J212+J215+J227+J228+J229</f>
        <v>0</v>
      </c>
      <c r="K177" s="144">
        <f t="shared" ref="K177:AA177" si="47">K178+K179+K190+K201+K212+K215+K227+K228+K229</f>
        <v>0</v>
      </c>
      <c r="L177" s="156">
        <f t="shared" si="40"/>
        <v>0</v>
      </c>
      <c r="M177" s="82">
        <f>M178+M179+M190+M201+M212+M215+M227+M228+M229</f>
        <v>0</v>
      </c>
      <c r="N177" s="83">
        <f>N178+N179+N190+N201+N212+N215+N227+N228+N229</f>
        <v>0</v>
      </c>
      <c r="O177" s="83">
        <f>O178+O179+O190+O201+O212+O215+O227+O228+O229</f>
        <v>0</v>
      </c>
      <c r="P177" s="82">
        <f t="shared" si="47"/>
        <v>0</v>
      </c>
      <c r="Q177" s="83">
        <f t="shared" si="47"/>
        <v>0</v>
      </c>
      <c r="R177" s="86">
        <f t="shared" si="47"/>
        <v>0</v>
      </c>
      <c r="S177" s="86">
        <f t="shared" si="47"/>
        <v>0</v>
      </c>
      <c r="T177" s="83">
        <f t="shared" si="47"/>
        <v>0</v>
      </c>
      <c r="U177" s="86">
        <f t="shared" si="47"/>
        <v>0</v>
      </c>
      <c r="V177" s="86">
        <f t="shared" si="47"/>
        <v>0</v>
      </c>
      <c r="W177" s="87">
        <f t="shared" si="47"/>
        <v>0</v>
      </c>
      <c r="X177" s="338">
        <f t="shared" si="47"/>
        <v>0</v>
      </c>
      <c r="Y177" s="86">
        <f t="shared" si="47"/>
        <v>0</v>
      </c>
      <c r="Z177" s="86">
        <f t="shared" si="47"/>
        <v>0</v>
      </c>
      <c r="AA177" s="87">
        <f t="shared" si="47"/>
        <v>0</v>
      </c>
    </row>
    <row r="178" spans="1:27" s="18" customFormat="1" ht="25.5" hidden="1" customHeight="1" x14ac:dyDescent="0.25">
      <c r="A178" s="118" t="s">
        <v>271</v>
      </c>
      <c r="B178" s="88" t="s">
        <v>682</v>
      </c>
      <c r="C178" s="646" t="s">
        <v>367</v>
      </c>
      <c r="D178" s="647"/>
      <c r="E178" s="647"/>
      <c r="F178" s="158">
        <v>0</v>
      </c>
      <c r="G178" s="341">
        <v>0</v>
      </c>
      <c r="H178" s="311">
        <v>0</v>
      </c>
      <c r="I178" s="509">
        <v>0</v>
      </c>
      <c r="J178" s="246">
        <f>SUM(P178:AA178)</f>
        <v>0</v>
      </c>
      <c r="K178" s="155"/>
      <c r="L178" s="158">
        <f t="shared" si="40"/>
        <v>0</v>
      </c>
      <c r="M178" s="90"/>
      <c r="N178" s="91"/>
      <c r="O178" s="91"/>
      <c r="P178" s="90"/>
      <c r="Q178" s="91"/>
      <c r="R178" s="94"/>
      <c r="S178" s="94"/>
      <c r="T178" s="91"/>
      <c r="U178" s="94"/>
      <c r="V178" s="94"/>
      <c r="W178" s="556"/>
      <c r="X178" s="393"/>
      <c r="Y178" s="94"/>
      <c r="Z178" s="94"/>
      <c r="AA178" s="95"/>
    </row>
    <row r="179" spans="1:27" s="18" customFormat="1" ht="16.350000000000001" hidden="1" customHeight="1" x14ac:dyDescent="0.25">
      <c r="A179" s="118" t="s">
        <v>272</v>
      </c>
      <c r="B179" s="88" t="s">
        <v>683</v>
      </c>
      <c r="C179" s="716" t="s">
        <v>811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AA179" si="48">K180+K181+K182+K183+K184+K185+K186+K187+K188+K189</f>
        <v>0</v>
      </c>
      <c r="L179" s="158">
        <f t="shared" si="40"/>
        <v>0</v>
      </c>
      <c r="M179" s="90">
        <f>M180+M181+M182+M183+M184+M185+M186+M187+M188+M189</f>
        <v>0</v>
      </c>
      <c r="N179" s="91">
        <f>N180+N181+N182+N183+N184+N185+N186+N187+N188+N189</f>
        <v>0</v>
      </c>
      <c r="O179" s="91">
        <f>O180+O181+O182+O183+O184+O185+O186+O187+O188+O189</f>
        <v>0</v>
      </c>
      <c r="P179" s="90">
        <f t="shared" si="48"/>
        <v>0</v>
      </c>
      <c r="Q179" s="91">
        <f t="shared" si="48"/>
        <v>0</v>
      </c>
      <c r="R179" s="94">
        <f t="shared" si="48"/>
        <v>0</v>
      </c>
      <c r="S179" s="94">
        <f t="shared" si="48"/>
        <v>0</v>
      </c>
      <c r="T179" s="91">
        <f t="shared" si="48"/>
        <v>0</v>
      </c>
      <c r="U179" s="94">
        <f t="shared" si="48"/>
        <v>0</v>
      </c>
      <c r="V179" s="94">
        <f t="shared" si="48"/>
        <v>0</v>
      </c>
      <c r="W179" s="556">
        <f t="shared" si="48"/>
        <v>0</v>
      </c>
      <c r="X179" s="393">
        <f t="shared" si="48"/>
        <v>0</v>
      </c>
      <c r="Y179" s="94">
        <f t="shared" si="48"/>
        <v>0</v>
      </c>
      <c r="Z179" s="94">
        <f t="shared" si="48"/>
        <v>0</v>
      </c>
      <c r="AA179" s="95">
        <f t="shared" si="48"/>
        <v>0</v>
      </c>
    </row>
    <row r="180" spans="1:27" ht="15" hidden="1" customHeight="1" x14ac:dyDescent="0.25">
      <c r="B180" s="54"/>
      <c r="C180" s="2"/>
      <c r="D180" s="624" t="s">
        <v>812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9">SUM(P180:AA180)</f>
        <v>0</v>
      </c>
      <c r="K180" s="141"/>
      <c r="L180" s="159">
        <f t="shared" si="40"/>
        <v>0</v>
      </c>
      <c r="M180" s="72"/>
      <c r="N180" s="1"/>
      <c r="O180" s="1"/>
      <c r="P180" s="72"/>
      <c r="Q180" s="1"/>
      <c r="R180" s="78"/>
      <c r="S180" s="78"/>
      <c r="T180" s="1"/>
      <c r="U180" s="78"/>
      <c r="V180" s="78"/>
      <c r="W180" s="557"/>
      <c r="X180" s="394"/>
      <c r="Y180" s="78"/>
      <c r="Z180" s="78"/>
      <c r="AA180" s="44"/>
    </row>
    <row r="181" spans="1:27" ht="15" hidden="1" customHeight="1" x14ac:dyDescent="0.25">
      <c r="B181" s="54"/>
      <c r="C181" s="2"/>
      <c r="D181" s="624" t="s">
        <v>813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9"/>
        <v>0</v>
      </c>
      <c r="K181" s="141"/>
      <c r="L181" s="159">
        <f t="shared" si="40"/>
        <v>0</v>
      </c>
      <c r="M181" s="72"/>
      <c r="N181" s="1"/>
      <c r="O181" s="1"/>
      <c r="P181" s="72"/>
      <c r="Q181" s="1"/>
      <c r="R181" s="78"/>
      <c r="S181" s="78"/>
      <c r="T181" s="1"/>
      <c r="U181" s="78"/>
      <c r="V181" s="78"/>
      <c r="W181" s="557"/>
      <c r="X181" s="394"/>
      <c r="Y181" s="78"/>
      <c r="Z181" s="78"/>
      <c r="AA181" s="44"/>
    </row>
    <row r="182" spans="1:27" ht="15" hidden="1" customHeight="1" x14ac:dyDescent="0.25">
      <c r="B182" s="54"/>
      <c r="C182" s="2"/>
      <c r="D182" s="624" t="s">
        <v>545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9"/>
        <v>0</v>
      </c>
      <c r="K182" s="141"/>
      <c r="L182" s="159">
        <f t="shared" si="40"/>
        <v>0</v>
      </c>
      <c r="M182" s="72"/>
      <c r="N182" s="1"/>
      <c r="O182" s="1"/>
      <c r="P182" s="72"/>
      <c r="Q182" s="1"/>
      <c r="R182" s="78"/>
      <c r="S182" s="78"/>
      <c r="T182" s="1"/>
      <c r="U182" s="78"/>
      <c r="V182" s="78"/>
      <c r="W182" s="557"/>
      <c r="X182" s="394"/>
      <c r="Y182" s="78"/>
      <c r="Z182" s="78"/>
      <c r="AA182" s="44"/>
    </row>
    <row r="183" spans="1:27" ht="25.5" hidden="1" customHeight="1" x14ac:dyDescent="0.25">
      <c r="B183" s="54"/>
      <c r="C183" s="2"/>
      <c r="D183" s="625" t="s">
        <v>548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9"/>
        <v>0</v>
      </c>
      <c r="K183" s="151"/>
      <c r="L183" s="159">
        <f t="shared" si="40"/>
        <v>0</v>
      </c>
      <c r="M183" s="72"/>
      <c r="N183" s="1"/>
      <c r="O183" s="1"/>
      <c r="P183" s="72"/>
      <c r="Q183" s="1"/>
      <c r="R183" s="78"/>
      <c r="S183" s="78"/>
      <c r="T183" s="1"/>
      <c r="U183" s="78"/>
      <c r="V183" s="78"/>
      <c r="W183" s="557"/>
      <c r="X183" s="394"/>
      <c r="Y183" s="78"/>
      <c r="Z183" s="78"/>
      <c r="AA183" s="44"/>
    </row>
    <row r="184" spans="1:27" ht="15" hidden="1" customHeight="1" x14ac:dyDescent="0.25">
      <c r="B184" s="54"/>
      <c r="C184" s="2"/>
      <c r="D184" s="624" t="s">
        <v>550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49"/>
        <v>0</v>
      </c>
      <c r="K184" s="141"/>
      <c r="L184" s="159">
        <f t="shared" si="40"/>
        <v>0</v>
      </c>
      <c r="M184" s="72"/>
      <c r="N184" s="1"/>
      <c r="O184" s="1"/>
      <c r="P184" s="72"/>
      <c r="Q184" s="1"/>
      <c r="R184" s="78"/>
      <c r="S184" s="78"/>
      <c r="T184" s="1"/>
      <c r="U184" s="78"/>
      <c r="V184" s="78"/>
      <c r="W184" s="557"/>
      <c r="X184" s="394"/>
      <c r="Y184" s="78"/>
      <c r="Z184" s="78"/>
      <c r="AA184" s="44"/>
    </row>
    <row r="185" spans="1:27" ht="15" hidden="1" customHeight="1" x14ac:dyDescent="0.25">
      <c r="B185" s="54"/>
      <c r="C185" s="2"/>
      <c r="D185" s="624" t="s">
        <v>551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49"/>
        <v>0</v>
      </c>
      <c r="K185" s="141"/>
      <c r="L185" s="159">
        <f t="shared" si="40"/>
        <v>0</v>
      </c>
      <c r="M185" s="72"/>
      <c r="N185" s="1"/>
      <c r="O185" s="1"/>
      <c r="P185" s="72"/>
      <c r="Q185" s="1"/>
      <c r="R185" s="78"/>
      <c r="S185" s="78"/>
      <c r="T185" s="1"/>
      <c r="U185" s="78"/>
      <c r="V185" s="78"/>
      <c r="W185" s="557"/>
      <c r="X185" s="394"/>
      <c r="Y185" s="78"/>
      <c r="Z185" s="78"/>
      <c r="AA185" s="44"/>
    </row>
    <row r="186" spans="1:27" ht="25.5" hidden="1" customHeight="1" x14ac:dyDescent="0.25">
      <c r="B186" s="54"/>
      <c r="C186" s="2"/>
      <c r="D186" s="625" t="s">
        <v>555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9"/>
        <v>0</v>
      </c>
      <c r="K186" s="151"/>
      <c r="L186" s="159">
        <f t="shared" si="40"/>
        <v>0</v>
      </c>
      <c r="M186" s="72"/>
      <c r="N186" s="1"/>
      <c r="O186" s="1"/>
      <c r="P186" s="72"/>
      <c r="Q186" s="1"/>
      <c r="R186" s="78"/>
      <c r="S186" s="78"/>
      <c r="T186" s="1"/>
      <c r="U186" s="78"/>
      <c r="V186" s="78"/>
      <c r="W186" s="557"/>
      <c r="X186" s="394"/>
      <c r="Y186" s="78"/>
      <c r="Z186" s="78"/>
      <c r="AA186" s="44"/>
    </row>
    <row r="187" spans="1:27" ht="25.5" hidden="1" customHeight="1" x14ac:dyDescent="0.25">
      <c r="B187" s="54"/>
      <c r="C187" s="2"/>
      <c r="D187" s="625" t="s">
        <v>558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9"/>
        <v>0</v>
      </c>
      <c r="K187" s="151"/>
      <c r="L187" s="159">
        <f t="shared" si="40"/>
        <v>0</v>
      </c>
      <c r="M187" s="72"/>
      <c r="N187" s="1"/>
      <c r="O187" s="1"/>
      <c r="P187" s="72"/>
      <c r="Q187" s="1"/>
      <c r="R187" s="78"/>
      <c r="S187" s="78"/>
      <c r="T187" s="1"/>
      <c r="U187" s="78"/>
      <c r="V187" s="78"/>
      <c r="W187" s="557"/>
      <c r="X187" s="394"/>
      <c r="Y187" s="78"/>
      <c r="Z187" s="78"/>
      <c r="AA187" s="44"/>
    </row>
    <row r="188" spans="1:27" ht="25.5" hidden="1" customHeight="1" x14ac:dyDescent="0.25">
      <c r="B188" s="54"/>
      <c r="C188" s="2"/>
      <c r="D188" s="625" t="s">
        <v>560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49"/>
        <v>0</v>
      </c>
      <c r="K188" s="151"/>
      <c r="L188" s="159">
        <f t="shared" si="40"/>
        <v>0</v>
      </c>
      <c r="M188" s="72"/>
      <c r="N188" s="1"/>
      <c r="O188" s="1"/>
      <c r="P188" s="72"/>
      <c r="Q188" s="1"/>
      <c r="R188" s="78"/>
      <c r="S188" s="78"/>
      <c r="T188" s="1"/>
      <c r="U188" s="78"/>
      <c r="V188" s="78"/>
      <c r="W188" s="557"/>
      <c r="X188" s="394"/>
      <c r="Y188" s="78"/>
      <c r="Z188" s="78"/>
      <c r="AA188" s="44"/>
    </row>
    <row r="189" spans="1:27" ht="25.5" hidden="1" customHeight="1" x14ac:dyDescent="0.25">
      <c r="B189" s="54"/>
      <c r="C189" s="2"/>
      <c r="D189" s="625" t="s">
        <v>563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49"/>
        <v>0</v>
      </c>
      <c r="K189" s="151"/>
      <c r="L189" s="159">
        <f t="shared" si="40"/>
        <v>0</v>
      </c>
      <c r="M189" s="72"/>
      <c r="N189" s="1"/>
      <c r="O189" s="1"/>
      <c r="P189" s="72"/>
      <c r="Q189" s="1"/>
      <c r="R189" s="78"/>
      <c r="S189" s="78"/>
      <c r="T189" s="1"/>
      <c r="U189" s="78"/>
      <c r="V189" s="78"/>
      <c r="W189" s="557"/>
      <c r="X189" s="394"/>
      <c r="Y189" s="78"/>
      <c r="Z189" s="78"/>
      <c r="AA189" s="44"/>
    </row>
    <row r="190" spans="1:27" s="18" customFormat="1" ht="25.5" hidden="1" customHeight="1" x14ac:dyDescent="0.25">
      <c r="A190" s="121" t="s">
        <v>273</v>
      </c>
      <c r="B190" s="88" t="s">
        <v>684</v>
      </c>
      <c r="C190" s="716" t="s">
        <v>605</v>
      </c>
      <c r="D190" s="717"/>
      <c r="E190" s="717"/>
      <c r="F190" s="158">
        <v>0</v>
      </c>
      <c r="G190" s="341">
        <v>0</v>
      </c>
      <c r="H190" s="311">
        <v>0</v>
      </c>
      <c r="I190" s="509">
        <v>0</v>
      </c>
      <c r="J190" s="246">
        <f>J191+J192+J193+J194+J195+J196+J197+J198+J199+J200</f>
        <v>0</v>
      </c>
      <c r="K190" s="155">
        <f t="shared" ref="K190:AA190" si="50">K191+K192+K193+K194+K195+K196+K197+K198+K199+K200</f>
        <v>0</v>
      </c>
      <c r="L190" s="158">
        <f t="shared" si="40"/>
        <v>0</v>
      </c>
      <c r="M190" s="90">
        <f>M191+M192+M193+M194+M195+M196+M197+M198+M199+M200</f>
        <v>0</v>
      </c>
      <c r="N190" s="91">
        <f>N191+N192+N193+N194+N195+N196+N197+N198+N199+N200</f>
        <v>0</v>
      </c>
      <c r="O190" s="91">
        <f>O191+O192+O193+O194+O195+O196+O197+O198+O199+O200</f>
        <v>0</v>
      </c>
      <c r="P190" s="90">
        <f t="shared" si="50"/>
        <v>0</v>
      </c>
      <c r="Q190" s="91">
        <f t="shared" si="50"/>
        <v>0</v>
      </c>
      <c r="R190" s="94">
        <f t="shared" si="50"/>
        <v>0</v>
      </c>
      <c r="S190" s="94">
        <f t="shared" si="50"/>
        <v>0</v>
      </c>
      <c r="T190" s="91">
        <f t="shared" si="50"/>
        <v>0</v>
      </c>
      <c r="U190" s="94">
        <f t="shared" si="50"/>
        <v>0</v>
      </c>
      <c r="V190" s="94">
        <f t="shared" si="50"/>
        <v>0</v>
      </c>
      <c r="W190" s="556">
        <f t="shared" si="50"/>
        <v>0</v>
      </c>
      <c r="X190" s="393">
        <f t="shared" si="50"/>
        <v>0</v>
      </c>
      <c r="Y190" s="94">
        <f t="shared" si="50"/>
        <v>0</v>
      </c>
      <c r="Z190" s="94">
        <f t="shared" si="50"/>
        <v>0</v>
      </c>
      <c r="AA190" s="95">
        <f t="shared" si="50"/>
        <v>0</v>
      </c>
    </row>
    <row r="191" spans="1:27" ht="15" hidden="1" customHeight="1" x14ac:dyDescent="0.25">
      <c r="B191" s="54"/>
      <c r="C191" s="2"/>
      <c r="D191" s="624" t="s">
        <v>814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51">SUM(P191:AA191)</f>
        <v>0</v>
      </c>
      <c r="K191" s="141"/>
      <c r="L191" s="159">
        <f t="shared" si="40"/>
        <v>0</v>
      </c>
      <c r="M191" s="72"/>
      <c r="N191" s="1"/>
      <c r="O191" s="1"/>
      <c r="P191" s="72"/>
      <c r="Q191" s="1"/>
      <c r="R191" s="78"/>
      <c r="S191" s="78"/>
      <c r="T191" s="1"/>
      <c r="U191" s="78"/>
      <c r="V191" s="78"/>
      <c r="W191" s="557"/>
      <c r="X191" s="394"/>
      <c r="Y191" s="78"/>
      <c r="Z191" s="78"/>
      <c r="AA191" s="44"/>
    </row>
    <row r="192" spans="1:27" ht="15" hidden="1" customHeight="1" x14ac:dyDescent="0.25">
      <c r="B192" s="54"/>
      <c r="C192" s="2"/>
      <c r="D192" s="624" t="s">
        <v>815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51"/>
        <v>0</v>
      </c>
      <c r="K192" s="141"/>
      <c r="L192" s="159">
        <f t="shared" si="40"/>
        <v>0</v>
      </c>
      <c r="M192" s="72"/>
      <c r="N192" s="1"/>
      <c r="O192" s="1"/>
      <c r="P192" s="72"/>
      <c r="Q192" s="1"/>
      <c r="R192" s="78"/>
      <c r="S192" s="78"/>
      <c r="T192" s="1"/>
      <c r="U192" s="78"/>
      <c r="V192" s="78"/>
      <c r="W192" s="557"/>
      <c r="X192" s="394"/>
      <c r="Y192" s="78"/>
      <c r="Z192" s="78"/>
      <c r="AA192" s="44"/>
    </row>
    <row r="193" spans="1:27" ht="15" hidden="1" customHeight="1" x14ac:dyDescent="0.25">
      <c r="B193" s="54"/>
      <c r="C193" s="2"/>
      <c r="D193" s="624" t="s">
        <v>546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51"/>
        <v>0</v>
      </c>
      <c r="K193" s="141"/>
      <c r="L193" s="159">
        <f t="shared" si="40"/>
        <v>0</v>
      </c>
      <c r="M193" s="72"/>
      <c r="N193" s="1"/>
      <c r="O193" s="1"/>
      <c r="P193" s="72"/>
      <c r="Q193" s="1"/>
      <c r="R193" s="78"/>
      <c r="S193" s="78"/>
      <c r="T193" s="1"/>
      <c r="U193" s="78"/>
      <c r="V193" s="78"/>
      <c r="W193" s="557"/>
      <c r="X193" s="394"/>
      <c r="Y193" s="78"/>
      <c r="Z193" s="78"/>
      <c r="AA193" s="44"/>
    </row>
    <row r="194" spans="1:27" ht="25.5" hidden="1" customHeight="1" x14ac:dyDescent="0.25">
      <c r="B194" s="54"/>
      <c r="C194" s="2"/>
      <c r="D194" s="625" t="s">
        <v>549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51"/>
        <v>0</v>
      </c>
      <c r="K194" s="151"/>
      <c r="L194" s="159">
        <f t="shared" si="40"/>
        <v>0</v>
      </c>
      <c r="M194" s="72"/>
      <c r="N194" s="1"/>
      <c r="O194" s="1"/>
      <c r="P194" s="72"/>
      <c r="Q194" s="1"/>
      <c r="R194" s="78"/>
      <c r="S194" s="78"/>
      <c r="T194" s="1"/>
      <c r="U194" s="78"/>
      <c r="V194" s="78"/>
      <c r="W194" s="557"/>
      <c r="X194" s="394"/>
      <c r="Y194" s="78"/>
      <c r="Z194" s="78"/>
      <c r="AA194" s="44"/>
    </row>
    <row r="195" spans="1:27" ht="15" hidden="1" customHeight="1" x14ac:dyDescent="0.25">
      <c r="B195" s="54"/>
      <c r="C195" s="2"/>
      <c r="D195" s="624" t="s">
        <v>552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51"/>
        <v>0</v>
      </c>
      <c r="K195" s="141"/>
      <c r="L195" s="159">
        <f t="shared" si="40"/>
        <v>0</v>
      </c>
      <c r="M195" s="72"/>
      <c r="N195" s="1"/>
      <c r="O195" s="1"/>
      <c r="P195" s="72"/>
      <c r="Q195" s="1"/>
      <c r="R195" s="78"/>
      <c r="S195" s="78"/>
      <c r="T195" s="1"/>
      <c r="U195" s="78"/>
      <c r="V195" s="78"/>
      <c r="W195" s="557"/>
      <c r="X195" s="394"/>
      <c r="Y195" s="78"/>
      <c r="Z195" s="78"/>
      <c r="AA195" s="44"/>
    </row>
    <row r="196" spans="1:27" ht="15" hidden="1" customHeight="1" x14ac:dyDescent="0.25">
      <c r="B196" s="54"/>
      <c r="C196" s="2"/>
      <c r="D196" s="624" t="s">
        <v>816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51"/>
        <v>0</v>
      </c>
      <c r="K196" s="141"/>
      <c r="L196" s="159">
        <f t="shared" si="40"/>
        <v>0</v>
      </c>
      <c r="M196" s="72"/>
      <c r="N196" s="1"/>
      <c r="O196" s="1"/>
      <c r="P196" s="72"/>
      <c r="Q196" s="1"/>
      <c r="R196" s="78"/>
      <c r="S196" s="78"/>
      <c r="T196" s="1"/>
      <c r="U196" s="78"/>
      <c r="V196" s="78"/>
      <c r="W196" s="557"/>
      <c r="X196" s="394"/>
      <c r="Y196" s="78"/>
      <c r="Z196" s="78"/>
      <c r="AA196" s="44"/>
    </row>
    <row r="197" spans="1:27" ht="25.5" hidden="1" customHeight="1" x14ac:dyDescent="0.25">
      <c r="B197" s="54"/>
      <c r="C197" s="2"/>
      <c r="D197" s="625" t="s">
        <v>556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51"/>
        <v>0</v>
      </c>
      <c r="K197" s="151"/>
      <c r="L197" s="159">
        <f t="shared" si="40"/>
        <v>0</v>
      </c>
      <c r="M197" s="72"/>
      <c r="N197" s="1"/>
      <c r="O197" s="1"/>
      <c r="P197" s="72"/>
      <c r="Q197" s="1"/>
      <c r="R197" s="78"/>
      <c r="S197" s="78"/>
      <c r="T197" s="1"/>
      <c r="U197" s="78"/>
      <c r="V197" s="78"/>
      <c r="W197" s="557"/>
      <c r="X197" s="394"/>
      <c r="Y197" s="78"/>
      <c r="Z197" s="78"/>
      <c r="AA197" s="44"/>
    </row>
    <row r="198" spans="1:27" ht="25.5" hidden="1" customHeight="1" x14ac:dyDescent="0.25">
      <c r="B198" s="54"/>
      <c r="C198" s="2"/>
      <c r="D198" s="625" t="s">
        <v>559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 t="shared" si="51"/>
        <v>0</v>
      </c>
      <c r="K198" s="151"/>
      <c r="L198" s="159">
        <f t="shared" si="40"/>
        <v>0</v>
      </c>
      <c r="M198" s="72"/>
      <c r="N198" s="1"/>
      <c r="O198" s="1"/>
      <c r="P198" s="72"/>
      <c r="Q198" s="1"/>
      <c r="R198" s="78"/>
      <c r="S198" s="78"/>
      <c r="T198" s="1"/>
      <c r="U198" s="78"/>
      <c r="V198" s="78"/>
      <c r="W198" s="557"/>
      <c r="X198" s="394"/>
      <c r="Y198" s="78"/>
      <c r="Z198" s="78"/>
      <c r="AA198" s="44"/>
    </row>
    <row r="199" spans="1:27" ht="25.5" hidden="1" customHeight="1" x14ac:dyDescent="0.25">
      <c r="B199" s="54"/>
      <c r="C199" s="2"/>
      <c r="D199" s="625" t="s">
        <v>561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51"/>
        <v>0</v>
      </c>
      <c r="K199" s="151"/>
      <c r="L199" s="159">
        <f t="shared" si="40"/>
        <v>0</v>
      </c>
      <c r="M199" s="72"/>
      <c r="N199" s="1"/>
      <c r="O199" s="1"/>
      <c r="P199" s="72"/>
      <c r="Q199" s="1"/>
      <c r="R199" s="78"/>
      <c r="S199" s="78"/>
      <c r="T199" s="1"/>
      <c r="U199" s="78"/>
      <c r="V199" s="78"/>
      <c r="W199" s="557"/>
      <c r="X199" s="394"/>
      <c r="Y199" s="78"/>
      <c r="Z199" s="78"/>
      <c r="AA199" s="44"/>
    </row>
    <row r="200" spans="1:27" ht="25.5" hidden="1" customHeight="1" x14ac:dyDescent="0.25">
      <c r="B200" s="54"/>
      <c r="C200" s="2"/>
      <c r="D200" s="625" t="s">
        <v>564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51"/>
        <v>0</v>
      </c>
      <c r="K200" s="151"/>
      <c r="L200" s="159">
        <f t="shared" si="40"/>
        <v>0</v>
      </c>
      <c r="M200" s="72"/>
      <c r="N200" s="1"/>
      <c r="O200" s="1"/>
      <c r="P200" s="72"/>
      <c r="Q200" s="1"/>
      <c r="R200" s="78"/>
      <c r="S200" s="78"/>
      <c r="T200" s="1"/>
      <c r="U200" s="78"/>
      <c r="V200" s="78"/>
      <c r="W200" s="557"/>
      <c r="X200" s="394"/>
      <c r="Y200" s="78"/>
      <c r="Z200" s="78"/>
      <c r="AA200" s="44"/>
    </row>
    <row r="201" spans="1:27" s="18" customFormat="1" ht="15" hidden="1" customHeight="1" x14ac:dyDescent="0.25">
      <c r="A201" s="118" t="s">
        <v>274</v>
      </c>
      <c r="B201" s="88" t="s">
        <v>685</v>
      </c>
      <c r="C201" s="626" t="s">
        <v>275</v>
      </c>
      <c r="D201" s="627"/>
      <c r="E201" s="627"/>
      <c r="F201" s="158">
        <v>0</v>
      </c>
      <c r="G201" s="341">
        <v>0</v>
      </c>
      <c r="H201" s="311">
        <v>0</v>
      </c>
      <c r="I201" s="509">
        <v>0</v>
      </c>
      <c r="J201" s="233">
        <f>J202+J203+J204+J205+J206+J207+J208+J209+J210+J211</f>
        <v>0</v>
      </c>
      <c r="K201" s="142">
        <f t="shared" ref="K201:AA201" si="52">K202+K203+K204+K205+K206+K207+K208+K209+K210+K211</f>
        <v>0</v>
      </c>
      <c r="L201" s="158">
        <f t="shared" si="40"/>
        <v>0</v>
      </c>
      <c r="M201" s="90">
        <f>M202+M203+M204+M205+M206+M207+M208+M209+M210+M211</f>
        <v>0</v>
      </c>
      <c r="N201" s="91">
        <f>N202+N203+N204+N205+N206+N207+N208+N209+N210+N211</f>
        <v>0</v>
      </c>
      <c r="O201" s="91">
        <f>O202+O203+O204+O205+O206+O207+O208+O209+O210+O211</f>
        <v>0</v>
      </c>
      <c r="P201" s="90">
        <f t="shared" si="52"/>
        <v>0</v>
      </c>
      <c r="Q201" s="91">
        <f t="shared" si="52"/>
        <v>0</v>
      </c>
      <c r="R201" s="94">
        <f t="shared" si="52"/>
        <v>0</v>
      </c>
      <c r="S201" s="94">
        <f t="shared" si="52"/>
        <v>0</v>
      </c>
      <c r="T201" s="91">
        <f t="shared" si="52"/>
        <v>0</v>
      </c>
      <c r="U201" s="94">
        <f t="shared" si="52"/>
        <v>0</v>
      </c>
      <c r="V201" s="94">
        <f t="shared" si="52"/>
        <v>0</v>
      </c>
      <c r="W201" s="556">
        <f t="shared" si="52"/>
        <v>0</v>
      </c>
      <c r="X201" s="393">
        <f t="shared" si="52"/>
        <v>0</v>
      </c>
      <c r="Y201" s="94">
        <f t="shared" si="52"/>
        <v>0</v>
      </c>
      <c r="Z201" s="94">
        <f t="shared" si="52"/>
        <v>0</v>
      </c>
      <c r="AA201" s="95">
        <f t="shared" si="52"/>
        <v>0</v>
      </c>
    </row>
    <row r="202" spans="1:27" ht="15" hidden="1" customHeight="1" x14ac:dyDescent="0.25">
      <c r="B202" s="54"/>
      <c r="C202" s="2"/>
      <c r="D202" s="624" t="s">
        <v>371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ref="J202:J211" si="53">SUM(P202:AA202)</f>
        <v>0</v>
      </c>
      <c r="K202" s="141"/>
      <c r="L202" s="159">
        <f t="shared" si="40"/>
        <v>0</v>
      </c>
      <c r="M202" s="72"/>
      <c r="N202" s="1"/>
      <c r="O202" s="1"/>
      <c r="P202" s="72"/>
      <c r="Q202" s="1"/>
      <c r="R202" s="78"/>
      <c r="S202" s="78"/>
      <c r="T202" s="1"/>
      <c r="U202" s="78"/>
      <c r="V202" s="78"/>
      <c r="W202" s="557"/>
      <c r="X202" s="394"/>
      <c r="Y202" s="78"/>
      <c r="Z202" s="78"/>
      <c r="AA202" s="44"/>
    </row>
    <row r="203" spans="1:27" ht="15" hidden="1" customHeight="1" x14ac:dyDescent="0.25">
      <c r="B203" s="54"/>
      <c r="C203" s="2"/>
      <c r="D203" s="624" t="s">
        <v>544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53"/>
        <v>0</v>
      </c>
      <c r="K203" s="141"/>
      <c r="L203" s="159">
        <f t="shared" si="40"/>
        <v>0</v>
      </c>
      <c r="M203" s="72"/>
      <c r="N203" s="1"/>
      <c r="O203" s="1"/>
      <c r="P203" s="72"/>
      <c r="Q203" s="1"/>
      <c r="R203" s="78"/>
      <c r="S203" s="78"/>
      <c r="T203" s="1"/>
      <c r="U203" s="78"/>
      <c r="V203" s="78"/>
      <c r="W203" s="557"/>
      <c r="X203" s="394"/>
      <c r="Y203" s="78"/>
      <c r="Z203" s="78"/>
      <c r="AA203" s="44"/>
    </row>
    <row r="204" spans="1:27" ht="15" hidden="1" customHeight="1" x14ac:dyDescent="0.25">
      <c r="B204" s="54"/>
      <c r="C204" s="2"/>
      <c r="D204" s="624" t="s">
        <v>547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53"/>
        <v>0</v>
      </c>
      <c r="K204" s="141"/>
      <c r="L204" s="159">
        <f t="shared" si="40"/>
        <v>0</v>
      </c>
      <c r="M204" s="72"/>
      <c r="N204" s="1"/>
      <c r="O204" s="1"/>
      <c r="P204" s="72"/>
      <c r="Q204" s="1"/>
      <c r="R204" s="78"/>
      <c r="S204" s="78"/>
      <c r="T204" s="1"/>
      <c r="U204" s="78"/>
      <c r="V204" s="78"/>
      <c r="W204" s="557"/>
      <c r="X204" s="394"/>
      <c r="Y204" s="78"/>
      <c r="Z204" s="78"/>
      <c r="AA204" s="44"/>
    </row>
    <row r="205" spans="1:27" ht="15" hidden="1" customHeight="1" x14ac:dyDescent="0.25">
      <c r="B205" s="54"/>
      <c r="C205" s="2"/>
      <c r="D205" s="625" t="s">
        <v>817</v>
      </c>
      <c r="E205" s="625"/>
      <c r="F205" s="159">
        <v>0</v>
      </c>
      <c r="G205" s="343">
        <v>0</v>
      </c>
      <c r="H205" s="313">
        <v>0</v>
      </c>
      <c r="I205" s="513">
        <v>0</v>
      </c>
      <c r="J205" s="242">
        <f t="shared" si="53"/>
        <v>0</v>
      </c>
      <c r="K205" s="151"/>
      <c r="L205" s="159">
        <f t="shared" si="40"/>
        <v>0</v>
      </c>
      <c r="M205" s="72"/>
      <c r="N205" s="1"/>
      <c r="O205" s="1"/>
      <c r="P205" s="72"/>
      <c r="Q205" s="1"/>
      <c r="R205" s="78"/>
      <c r="S205" s="78"/>
      <c r="T205" s="1"/>
      <c r="U205" s="78"/>
      <c r="V205" s="78"/>
      <c r="W205" s="557"/>
      <c r="X205" s="394"/>
      <c r="Y205" s="78"/>
      <c r="Z205" s="78"/>
      <c r="AA205" s="44"/>
    </row>
    <row r="206" spans="1:27" ht="15" hidden="1" customHeight="1" x14ac:dyDescent="0.25">
      <c r="B206" s="54"/>
      <c r="C206" s="2"/>
      <c r="D206" s="624" t="s">
        <v>554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53"/>
        <v>0</v>
      </c>
      <c r="K206" s="141"/>
      <c r="L206" s="159">
        <f t="shared" si="40"/>
        <v>0</v>
      </c>
      <c r="M206" s="72"/>
      <c r="N206" s="1"/>
      <c r="O206" s="1"/>
      <c r="P206" s="72"/>
      <c r="Q206" s="1"/>
      <c r="R206" s="78"/>
      <c r="S206" s="78"/>
      <c r="T206" s="1"/>
      <c r="U206" s="78"/>
      <c r="V206" s="78"/>
      <c r="W206" s="557"/>
      <c r="X206" s="394"/>
      <c r="Y206" s="78"/>
      <c r="Z206" s="78"/>
      <c r="AA206" s="44"/>
    </row>
    <row r="207" spans="1:27" ht="15" hidden="1" customHeight="1" x14ac:dyDescent="0.25">
      <c r="B207" s="54"/>
      <c r="C207" s="2"/>
      <c r="D207" s="624" t="s">
        <v>553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53"/>
        <v>0</v>
      </c>
      <c r="K207" s="141"/>
      <c r="L207" s="159">
        <f t="shared" si="40"/>
        <v>0</v>
      </c>
      <c r="M207" s="72"/>
      <c r="N207" s="1"/>
      <c r="O207" s="1"/>
      <c r="P207" s="72"/>
      <c r="Q207" s="1"/>
      <c r="R207" s="78"/>
      <c r="S207" s="78"/>
      <c r="T207" s="1"/>
      <c r="U207" s="78"/>
      <c r="V207" s="78"/>
      <c r="W207" s="557"/>
      <c r="X207" s="394"/>
      <c r="Y207" s="78"/>
      <c r="Z207" s="78"/>
      <c r="AA207" s="44"/>
    </row>
    <row r="208" spans="1:27" ht="25.5" hidden="1" customHeight="1" x14ac:dyDescent="0.25">
      <c r="B208" s="54"/>
      <c r="C208" s="2"/>
      <c r="D208" s="625" t="s">
        <v>557</v>
      </c>
      <c r="E208" s="625"/>
      <c r="F208" s="159">
        <v>0</v>
      </c>
      <c r="G208" s="343">
        <v>0</v>
      </c>
      <c r="H208" s="313">
        <v>0</v>
      </c>
      <c r="I208" s="513">
        <v>0</v>
      </c>
      <c r="J208" s="242">
        <f t="shared" si="53"/>
        <v>0</v>
      </c>
      <c r="K208" s="151"/>
      <c r="L208" s="159">
        <f t="shared" si="40"/>
        <v>0</v>
      </c>
      <c r="M208" s="72"/>
      <c r="N208" s="1"/>
      <c r="O208" s="1"/>
      <c r="P208" s="72"/>
      <c r="Q208" s="1"/>
      <c r="R208" s="78"/>
      <c r="S208" s="78"/>
      <c r="T208" s="1"/>
      <c r="U208" s="78"/>
      <c r="V208" s="78"/>
      <c r="W208" s="557"/>
      <c r="X208" s="394"/>
      <c r="Y208" s="78"/>
      <c r="Z208" s="78"/>
      <c r="AA208" s="44"/>
    </row>
    <row r="209" spans="1:27" ht="15" hidden="1" customHeight="1" x14ac:dyDescent="0.25">
      <c r="B209" s="54"/>
      <c r="C209" s="2"/>
      <c r="D209" s="624" t="s">
        <v>818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53"/>
        <v>0</v>
      </c>
      <c r="K209" s="141"/>
      <c r="L209" s="159">
        <f t="shared" si="40"/>
        <v>0</v>
      </c>
      <c r="M209" s="72"/>
      <c r="N209" s="1"/>
      <c r="O209" s="1"/>
      <c r="P209" s="72"/>
      <c r="Q209" s="1"/>
      <c r="R209" s="78"/>
      <c r="S209" s="78"/>
      <c r="T209" s="1"/>
      <c r="U209" s="78"/>
      <c r="V209" s="78"/>
      <c r="W209" s="557"/>
      <c r="X209" s="394"/>
      <c r="Y209" s="78"/>
      <c r="Z209" s="78"/>
      <c r="AA209" s="44"/>
    </row>
    <row r="210" spans="1:27" ht="25.5" hidden="1" customHeight="1" x14ac:dyDescent="0.25">
      <c r="B210" s="54"/>
      <c r="C210" s="2"/>
      <c r="D210" s="625" t="s">
        <v>562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53"/>
        <v>0</v>
      </c>
      <c r="K210" s="151"/>
      <c r="L210" s="159">
        <f t="shared" si="40"/>
        <v>0</v>
      </c>
      <c r="M210" s="72"/>
      <c r="N210" s="1"/>
      <c r="O210" s="1"/>
      <c r="P210" s="72"/>
      <c r="Q210" s="1"/>
      <c r="R210" s="78"/>
      <c r="S210" s="78"/>
      <c r="T210" s="1"/>
      <c r="U210" s="78"/>
      <c r="V210" s="78"/>
      <c r="W210" s="557"/>
      <c r="X210" s="394"/>
      <c r="Y210" s="78"/>
      <c r="Z210" s="78"/>
      <c r="AA210" s="44"/>
    </row>
    <row r="211" spans="1:27" ht="25.5" hidden="1" customHeight="1" x14ac:dyDescent="0.25">
      <c r="B211" s="54"/>
      <c r="C211" s="2"/>
      <c r="D211" s="625" t="s">
        <v>565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53"/>
        <v>0</v>
      </c>
      <c r="K211" s="151"/>
      <c r="L211" s="159">
        <f t="shared" si="40"/>
        <v>0</v>
      </c>
      <c r="M211" s="72"/>
      <c r="N211" s="1"/>
      <c r="O211" s="1"/>
      <c r="P211" s="72"/>
      <c r="Q211" s="1"/>
      <c r="R211" s="78"/>
      <c r="S211" s="78"/>
      <c r="T211" s="1"/>
      <c r="U211" s="78"/>
      <c r="V211" s="78"/>
      <c r="W211" s="557"/>
      <c r="X211" s="394"/>
      <c r="Y211" s="78"/>
      <c r="Z211" s="78"/>
      <c r="AA211" s="44"/>
    </row>
    <row r="212" spans="1:27" s="18" customFormat="1" ht="25.5" hidden="1" customHeight="1" x14ac:dyDescent="0.25">
      <c r="A212" s="118" t="s">
        <v>276</v>
      </c>
      <c r="B212" s="88" t="s">
        <v>686</v>
      </c>
      <c r="C212" s="716" t="s">
        <v>606</v>
      </c>
      <c r="D212" s="717"/>
      <c r="E212" s="717"/>
      <c r="F212" s="158">
        <v>0</v>
      </c>
      <c r="G212" s="341">
        <v>0</v>
      </c>
      <c r="H212" s="311">
        <v>0</v>
      </c>
      <c r="I212" s="509">
        <v>0</v>
      </c>
      <c r="J212" s="246">
        <f>J213+J214</f>
        <v>0</v>
      </c>
      <c r="K212" s="155">
        <f t="shared" ref="K212:AA212" si="54">K213+K214</f>
        <v>0</v>
      </c>
      <c r="L212" s="158">
        <f t="shared" si="40"/>
        <v>0</v>
      </c>
      <c r="M212" s="90">
        <f>M213+M214</f>
        <v>0</v>
      </c>
      <c r="N212" s="91">
        <f>N213+N214</f>
        <v>0</v>
      </c>
      <c r="O212" s="91">
        <f>O213+O214</f>
        <v>0</v>
      </c>
      <c r="P212" s="90">
        <f t="shared" si="54"/>
        <v>0</v>
      </c>
      <c r="Q212" s="91">
        <f t="shared" si="54"/>
        <v>0</v>
      </c>
      <c r="R212" s="94">
        <f t="shared" si="54"/>
        <v>0</v>
      </c>
      <c r="S212" s="94">
        <f t="shared" si="54"/>
        <v>0</v>
      </c>
      <c r="T212" s="91">
        <f t="shared" si="54"/>
        <v>0</v>
      </c>
      <c r="U212" s="94">
        <f t="shared" si="54"/>
        <v>0</v>
      </c>
      <c r="V212" s="94">
        <f t="shared" si="54"/>
        <v>0</v>
      </c>
      <c r="W212" s="556">
        <f t="shared" si="54"/>
        <v>0</v>
      </c>
      <c r="X212" s="393">
        <f t="shared" si="54"/>
        <v>0</v>
      </c>
      <c r="Y212" s="94">
        <f t="shared" si="54"/>
        <v>0</v>
      </c>
      <c r="Z212" s="94">
        <f t="shared" si="54"/>
        <v>0</v>
      </c>
      <c r="AA212" s="95">
        <f t="shared" si="54"/>
        <v>0</v>
      </c>
    </row>
    <row r="213" spans="1:27" ht="25.5" hidden="1" customHeight="1" x14ac:dyDescent="0.25">
      <c r="B213" s="54"/>
      <c r="C213" s="2"/>
      <c r="D213" s="625" t="s">
        <v>568</v>
      </c>
      <c r="E213" s="625"/>
      <c r="F213" s="159">
        <v>0</v>
      </c>
      <c r="G213" s="343">
        <v>0</v>
      </c>
      <c r="H213" s="313">
        <v>0</v>
      </c>
      <c r="I213" s="513">
        <v>0</v>
      </c>
      <c r="J213" s="242">
        <f>SUM(P213:AA213)</f>
        <v>0</v>
      </c>
      <c r="K213" s="151"/>
      <c r="L213" s="159">
        <f t="shared" ref="L213:L270" si="55">SUM(J213:K213)</f>
        <v>0</v>
      </c>
      <c r="M213" s="72"/>
      <c r="N213" s="1"/>
      <c r="O213" s="1"/>
      <c r="P213" s="72"/>
      <c r="Q213" s="1"/>
      <c r="R213" s="78"/>
      <c r="S213" s="78"/>
      <c r="T213" s="1"/>
      <c r="U213" s="78"/>
      <c r="V213" s="78"/>
      <c r="W213" s="557"/>
      <c r="X213" s="394"/>
      <c r="Y213" s="78"/>
      <c r="Z213" s="78"/>
      <c r="AA213" s="44"/>
    </row>
    <row r="214" spans="1:27" ht="25.5" hidden="1" customHeight="1" x14ac:dyDescent="0.25">
      <c r="B214" s="54"/>
      <c r="C214" s="2"/>
      <c r="D214" s="625" t="s">
        <v>569</v>
      </c>
      <c r="E214" s="625"/>
      <c r="F214" s="159">
        <v>0</v>
      </c>
      <c r="G214" s="343">
        <v>0</v>
      </c>
      <c r="H214" s="313">
        <v>0</v>
      </c>
      <c r="I214" s="513">
        <v>0</v>
      </c>
      <c r="J214" s="242">
        <f>SUM(P214:AA214)</f>
        <v>0</v>
      </c>
      <c r="K214" s="151"/>
      <c r="L214" s="159">
        <f t="shared" si="55"/>
        <v>0</v>
      </c>
      <c r="M214" s="72"/>
      <c r="N214" s="1"/>
      <c r="O214" s="1"/>
      <c r="P214" s="72"/>
      <c r="Q214" s="1"/>
      <c r="R214" s="78"/>
      <c r="S214" s="78"/>
      <c r="T214" s="1"/>
      <c r="U214" s="78"/>
      <c r="V214" s="78"/>
      <c r="W214" s="557"/>
      <c r="X214" s="394"/>
      <c r="Y214" s="78"/>
      <c r="Z214" s="78"/>
      <c r="AA214" s="44"/>
    </row>
    <row r="215" spans="1:27" s="18" customFormat="1" ht="15" hidden="1" customHeight="1" x14ac:dyDescent="0.25">
      <c r="A215" s="118" t="s">
        <v>277</v>
      </c>
      <c r="B215" s="88" t="s">
        <v>687</v>
      </c>
      <c r="C215" s="716" t="s">
        <v>819</v>
      </c>
      <c r="D215" s="717"/>
      <c r="E215" s="717"/>
      <c r="F215" s="158">
        <v>0</v>
      </c>
      <c r="G215" s="341">
        <v>0</v>
      </c>
      <c r="H215" s="311">
        <v>0</v>
      </c>
      <c r="I215" s="509">
        <v>0</v>
      </c>
      <c r="J215" s="246">
        <f>J216+J217+J218+J219+J220+J221+J222+J223+J224+J225+J226</f>
        <v>0</v>
      </c>
      <c r="K215" s="155">
        <f t="shared" ref="K215:AA215" si="56">K216+K217+K218+K219+K220+K221+K222+K223+K224+K225+K226</f>
        <v>0</v>
      </c>
      <c r="L215" s="158">
        <f t="shared" si="55"/>
        <v>0</v>
      </c>
      <c r="M215" s="90">
        <f>M216+M217+M218+M219+M220+M221+M222+M223+M224+M225+M226</f>
        <v>0</v>
      </c>
      <c r="N215" s="91">
        <f>N216+N217+N218+N219+N220+N221+N222+N223+N224+N225+N226</f>
        <v>0</v>
      </c>
      <c r="O215" s="91">
        <f>O216+O217+O218+O219+O220+O221+O222+O223+O224+O225+O226</f>
        <v>0</v>
      </c>
      <c r="P215" s="90">
        <f t="shared" si="56"/>
        <v>0</v>
      </c>
      <c r="Q215" s="91">
        <f t="shared" si="56"/>
        <v>0</v>
      </c>
      <c r="R215" s="94">
        <f t="shared" si="56"/>
        <v>0</v>
      </c>
      <c r="S215" s="94">
        <f t="shared" si="56"/>
        <v>0</v>
      </c>
      <c r="T215" s="91">
        <f t="shared" si="56"/>
        <v>0</v>
      </c>
      <c r="U215" s="94">
        <f t="shared" si="56"/>
        <v>0</v>
      </c>
      <c r="V215" s="94">
        <f t="shared" si="56"/>
        <v>0</v>
      </c>
      <c r="W215" s="556">
        <f t="shared" si="56"/>
        <v>0</v>
      </c>
      <c r="X215" s="393">
        <f t="shared" si="56"/>
        <v>0</v>
      </c>
      <c r="Y215" s="94">
        <f t="shared" si="56"/>
        <v>0</v>
      </c>
      <c r="Z215" s="94">
        <f t="shared" si="56"/>
        <v>0</v>
      </c>
      <c r="AA215" s="95">
        <f t="shared" si="56"/>
        <v>0</v>
      </c>
    </row>
    <row r="216" spans="1:27" ht="15" hidden="1" customHeight="1" x14ac:dyDescent="0.25">
      <c r="B216" s="54"/>
      <c r="C216" s="2"/>
      <c r="D216" s="624" t="s">
        <v>372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ref="J216:J228" si="57">SUM(P216:AA216)</f>
        <v>0</v>
      </c>
      <c r="K216" s="141"/>
      <c r="L216" s="159">
        <f t="shared" si="55"/>
        <v>0</v>
      </c>
      <c r="M216" s="72"/>
      <c r="N216" s="1"/>
      <c r="O216" s="1"/>
      <c r="P216" s="72"/>
      <c r="Q216" s="1"/>
      <c r="R216" s="78"/>
      <c r="S216" s="78"/>
      <c r="T216" s="1"/>
      <c r="U216" s="78"/>
      <c r="V216" s="78"/>
      <c r="W216" s="557"/>
      <c r="X216" s="394"/>
      <c r="Y216" s="78"/>
      <c r="Z216" s="78"/>
      <c r="AA216" s="44"/>
    </row>
    <row r="217" spans="1:27" ht="15" hidden="1" customHeight="1" x14ac:dyDescent="0.25">
      <c r="B217" s="54"/>
      <c r="C217" s="2"/>
      <c r="D217" s="624" t="s">
        <v>820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7"/>
        <v>0</v>
      </c>
      <c r="K217" s="141"/>
      <c r="L217" s="159">
        <f t="shared" si="55"/>
        <v>0</v>
      </c>
      <c r="M217" s="72"/>
      <c r="N217" s="1"/>
      <c r="O217" s="1"/>
      <c r="P217" s="72"/>
      <c r="Q217" s="1"/>
      <c r="R217" s="78"/>
      <c r="S217" s="78"/>
      <c r="T217" s="1"/>
      <c r="U217" s="78"/>
      <c r="V217" s="78"/>
      <c r="W217" s="557"/>
      <c r="X217" s="394"/>
      <c r="Y217" s="78"/>
      <c r="Z217" s="78"/>
      <c r="AA217" s="44"/>
    </row>
    <row r="218" spans="1:27" ht="15" hidden="1" customHeight="1" x14ac:dyDescent="0.25">
      <c r="B218" s="54"/>
      <c r="C218" s="2"/>
      <c r="D218" s="624" t="s">
        <v>375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7"/>
        <v>0</v>
      </c>
      <c r="K218" s="141"/>
      <c r="L218" s="159">
        <f t="shared" si="55"/>
        <v>0</v>
      </c>
      <c r="M218" s="72"/>
      <c r="N218" s="1"/>
      <c r="O218" s="1"/>
      <c r="P218" s="72"/>
      <c r="Q218" s="1"/>
      <c r="R218" s="78"/>
      <c r="S218" s="78"/>
      <c r="T218" s="1"/>
      <c r="U218" s="78"/>
      <c r="V218" s="78"/>
      <c r="W218" s="557"/>
      <c r="X218" s="394"/>
      <c r="Y218" s="78"/>
      <c r="Z218" s="78"/>
      <c r="AA218" s="44"/>
    </row>
    <row r="219" spans="1:27" ht="15" hidden="1" customHeight="1" x14ac:dyDescent="0.25">
      <c r="B219" s="54"/>
      <c r="C219" s="2"/>
      <c r="D219" s="624" t="s">
        <v>373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7"/>
        <v>0</v>
      </c>
      <c r="K219" s="141"/>
      <c r="L219" s="159">
        <f t="shared" si="55"/>
        <v>0</v>
      </c>
      <c r="M219" s="72"/>
      <c r="N219" s="1"/>
      <c r="O219" s="1"/>
      <c r="P219" s="72"/>
      <c r="Q219" s="1"/>
      <c r="R219" s="78"/>
      <c r="S219" s="78"/>
      <c r="T219" s="1"/>
      <c r="U219" s="78"/>
      <c r="V219" s="78"/>
      <c r="W219" s="557"/>
      <c r="X219" s="394"/>
      <c r="Y219" s="78"/>
      <c r="Z219" s="78"/>
      <c r="AA219" s="44"/>
    </row>
    <row r="220" spans="1:27" ht="15" hidden="1" customHeight="1" x14ac:dyDescent="0.25">
      <c r="B220" s="54"/>
      <c r="C220" s="2"/>
      <c r="D220" s="624" t="s">
        <v>821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7"/>
        <v>0</v>
      </c>
      <c r="K220" s="141"/>
      <c r="L220" s="159">
        <f t="shared" si="55"/>
        <v>0</v>
      </c>
      <c r="M220" s="72"/>
      <c r="N220" s="1"/>
      <c r="O220" s="1"/>
      <c r="P220" s="72"/>
      <c r="Q220" s="1"/>
      <c r="R220" s="78"/>
      <c r="S220" s="78"/>
      <c r="T220" s="1"/>
      <c r="U220" s="78"/>
      <c r="V220" s="78"/>
      <c r="W220" s="557"/>
      <c r="X220" s="394"/>
      <c r="Y220" s="78"/>
      <c r="Z220" s="78"/>
      <c r="AA220" s="44"/>
    </row>
    <row r="221" spans="1:27" ht="25.5" hidden="1" customHeight="1" x14ac:dyDescent="0.25">
      <c r="B221" s="54"/>
      <c r="C221" s="2"/>
      <c r="D221" s="625" t="s">
        <v>537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57"/>
        <v>0</v>
      </c>
      <c r="K221" s="151"/>
      <c r="L221" s="159">
        <f t="shared" si="55"/>
        <v>0</v>
      </c>
      <c r="M221" s="72"/>
      <c r="N221" s="1"/>
      <c r="O221" s="1"/>
      <c r="P221" s="72"/>
      <c r="Q221" s="1"/>
      <c r="R221" s="78"/>
      <c r="S221" s="78"/>
      <c r="T221" s="1"/>
      <c r="U221" s="78"/>
      <c r="V221" s="78"/>
      <c r="W221" s="557"/>
      <c r="X221" s="394"/>
      <c r="Y221" s="78"/>
      <c r="Z221" s="78"/>
      <c r="AA221" s="44"/>
    </row>
    <row r="222" spans="1:27" ht="25.5" hidden="1" customHeight="1" x14ac:dyDescent="0.25">
      <c r="B222" s="54"/>
      <c r="C222" s="2"/>
      <c r="D222" s="625" t="s">
        <v>540</v>
      </c>
      <c r="E222" s="625"/>
      <c r="F222" s="159">
        <v>0</v>
      </c>
      <c r="G222" s="343">
        <v>0</v>
      </c>
      <c r="H222" s="313">
        <v>0</v>
      </c>
      <c r="I222" s="513">
        <v>0</v>
      </c>
      <c r="J222" s="242">
        <f t="shared" si="57"/>
        <v>0</v>
      </c>
      <c r="K222" s="151"/>
      <c r="L222" s="159">
        <f t="shared" si="55"/>
        <v>0</v>
      </c>
      <c r="M222" s="72"/>
      <c r="N222" s="1"/>
      <c r="O222" s="1"/>
      <c r="P222" s="72"/>
      <c r="Q222" s="1"/>
      <c r="R222" s="78"/>
      <c r="S222" s="78"/>
      <c r="T222" s="1"/>
      <c r="U222" s="78"/>
      <c r="V222" s="78"/>
      <c r="W222" s="557"/>
      <c r="X222" s="394"/>
      <c r="Y222" s="78"/>
      <c r="Z222" s="78"/>
      <c r="AA222" s="44"/>
    </row>
    <row r="223" spans="1:27" ht="15" hidden="1" customHeight="1" x14ac:dyDescent="0.25">
      <c r="B223" s="54"/>
      <c r="C223" s="2"/>
      <c r="D223" s="624" t="s">
        <v>822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7"/>
        <v>0</v>
      </c>
      <c r="K223" s="141"/>
      <c r="L223" s="159">
        <f t="shared" si="55"/>
        <v>0</v>
      </c>
      <c r="M223" s="72"/>
      <c r="N223" s="1"/>
      <c r="O223" s="1"/>
      <c r="P223" s="72"/>
      <c r="Q223" s="1"/>
      <c r="R223" s="78"/>
      <c r="S223" s="78"/>
      <c r="T223" s="1"/>
      <c r="U223" s="78"/>
      <c r="V223" s="78"/>
      <c r="W223" s="557"/>
      <c r="X223" s="394"/>
      <c r="Y223" s="78"/>
      <c r="Z223" s="78"/>
      <c r="AA223" s="44"/>
    </row>
    <row r="224" spans="1:27" ht="15" hidden="1" customHeight="1" x14ac:dyDescent="0.25">
      <c r="B224" s="54"/>
      <c r="C224" s="2"/>
      <c r="D224" s="624" t="s">
        <v>374</v>
      </c>
      <c r="E224" s="624"/>
      <c r="F224" s="159">
        <v>0</v>
      </c>
      <c r="G224" s="343">
        <v>0</v>
      </c>
      <c r="H224" s="313">
        <v>0</v>
      </c>
      <c r="I224" s="513">
        <v>0</v>
      </c>
      <c r="J224" s="232">
        <f t="shared" si="57"/>
        <v>0</v>
      </c>
      <c r="K224" s="141"/>
      <c r="L224" s="159">
        <f t="shared" si="55"/>
        <v>0</v>
      </c>
      <c r="M224" s="72"/>
      <c r="N224" s="1"/>
      <c r="O224" s="1"/>
      <c r="P224" s="72"/>
      <c r="Q224" s="1"/>
      <c r="R224" s="78"/>
      <c r="S224" s="78"/>
      <c r="T224" s="1"/>
      <c r="U224" s="78"/>
      <c r="V224" s="78"/>
      <c r="W224" s="557"/>
      <c r="X224" s="394"/>
      <c r="Y224" s="78"/>
      <c r="Z224" s="78"/>
      <c r="AA224" s="44"/>
    </row>
    <row r="225" spans="1:27" ht="15" hidden="1" customHeight="1" x14ac:dyDescent="0.25">
      <c r="B225" s="54"/>
      <c r="C225" s="2"/>
      <c r="D225" s="624" t="s">
        <v>823</v>
      </c>
      <c r="E225" s="624"/>
      <c r="F225" s="159">
        <v>0</v>
      </c>
      <c r="G225" s="343">
        <v>0</v>
      </c>
      <c r="H225" s="313">
        <v>0</v>
      </c>
      <c r="I225" s="513">
        <v>0</v>
      </c>
      <c r="J225" s="232">
        <f t="shared" si="57"/>
        <v>0</v>
      </c>
      <c r="K225" s="141"/>
      <c r="L225" s="159">
        <f t="shared" si="55"/>
        <v>0</v>
      </c>
      <c r="M225" s="72"/>
      <c r="N225" s="1"/>
      <c r="O225" s="1"/>
      <c r="P225" s="72"/>
      <c r="Q225" s="1"/>
      <c r="R225" s="78"/>
      <c r="S225" s="78"/>
      <c r="T225" s="1"/>
      <c r="U225" s="78"/>
      <c r="V225" s="78"/>
      <c r="W225" s="557"/>
      <c r="X225" s="394"/>
      <c r="Y225" s="78"/>
      <c r="Z225" s="78"/>
      <c r="AA225" s="44"/>
    </row>
    <row r="226" spans="1:27" ht="15" hidden="1" customHeight="1" x14ac:dyDescent="0.25">
      <c r="B226" s="54"/>
      <c r="C226" s="2"/>
      <c r="D226" s="624" t="s">
        <v>566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57"/>
        <v>0</v>
      </c>
      <c r="K226" s="141"/>
      <c r="L226" s="159">
        <f t="shared" si="55"/>
        <v>0</v>
      </c>
      <c r="M226" s="72"/>
      <c r="N226" s="1"/>
      <c r="O226" s="1"/>
      <c r="P226" s="72"/>
      <c r="Q226" s="1"/>
      <c r="R226" s="78"/>
      <c r="S226" s="78"/>
      <c r="T226" s="1"/>
      <c r="U226" s="78"/>
      <c r="V226" s="78"/>
      <c r="W226" s="557"/>
      <c r="X226" s="394"/>
      <c r="Y226" s="78"/>
      <c r="Z226" s="78"/>
      <c r="AA226" s="44"/>
    </row>
    <row r="227" spans="1:27" s="18" customFormat="1" ht="15" hidden="1" customHeight="1" x14ac:dyDescent="0.25">
      <c r="A227" s="118" t="s">
        <v>278</v>
      </c>
      <c r="B227" s="88" t="s">
        <v>688</v>
      </c>
      <c r="C227" s="626" t="s">
        <v>279</v>
      </c>
      <c r="D227" s="627"/>
      <c r="E227" s="627"/>
      <c r="F227" s="158">
        <v>0</v>
      </c>
      <c r="G227" s="341">
        <v>0</v>
      </c>
      <c r="H227" s="311">
        <v>0</v>
      </c>
      <c r="I227" s="509">
        <v>0</v>
      </c>
      <c r="J227" s="233">
        <f t="shared" si="57"/>
        <v>0</v>
      </c>
      <c r="K227" s="142"/>
      <c r="L227" s="158">
        <f t="shared" si="55"/>
        <v>0</v>
      </c>
      <c r="M227" s="90"/>
      <c r="N227" s="91"/>
      <c r="O227" s="91"/>
      <c r="P227" s="90"/>
      <c r="Q227" s="91"/>
      <c r="R227" s="94"/>
      <c r="S227" s="94"/>
      <c r="T227" s="91"/>
      <c r="U227" s="94"/>
      <c r="V227" s="94"/>
      <c r="W227" s="556"/>
      <c r="X227" s="393"/>
      <c r="Y227" s="94"/>
      <c r="Z227" s="94"/>
      <c r="AA227" s="95"/>
    </row>
    <row r="228" spans="1:27" s="18" customFormat="1" ht="15" hidden="1" customHeight="1" x14ac:dyDescent="0.25">
      <c r="A228" s="118" t="s">
        <v>280</v>
      </c>
      <c r="B228" s="88" t="s">
        <v>689</v>
      </c>
      <c r="C228" s="626" t="s">
        <v>281</v>
      </c>
      <c r="D228" s="627"/>
      <c r="E228" s="627"/>
      <c r="F228" s="158">
        <v>0</v>
      </c>
      <c r="G228" s="341">
        <v>0</v>
      </c>
      <c r="H228" s="311">
        <v>0</v>
      </c>
      <c r="I228" s="509">
        <v>0</v>
      </c>
      <c r="J228" s="233">
        <f t="shared" si="57"/>
        <v>0</v>
      </c>
      <c r="K228" s="142"/>
      <c r="L228" s="158">
        <f t="shared" si="55"/>
        <v>0</v>
      </c>
      <c r="M228" s="90"/>
      <c r="N228" s="91"/>
      <c r="O228" s="91"/>
      <c r="P228" s="90"/>
      <c r="Q228" s="91"/>
      <c r="R228" s="94"/>
      <c r="S228" s="94"/>
      <c r="T228" s="91"/>
      <c r="U228" s="94"/>
      <c r="V228" s="94"/>
      <c r="W228" s="556"/>
      <c r="X228" s="393"/>
      <c r="Y228" s="94"/>
      <c r="Z228" s="94"/>
      <c r="AA228" s="95"/>
    </row>
    <row r="229" spans="1:27" s="18" customFormat="1" ht="15" hidden="1" customHeight="1" x14ac:dyDescent="0.25">
      <c r="A229" s="118" t="s">
        <v>282</v>
      </c>
      <c r="B229" s="88" t="s">
        <v>690</v>
      </c>
      <c r="C229" s="626" t="s">
        <v>283</v>
      </c>
      <c r="D229" s="627"/>
      <c r="E229" s="627"/>
      <c r="F229" s="158">
        <v>0</v>
      </c>
      <c r="G229" s="341">
        <v>0</v>
      </c>
      <c r="H229" s="311">
        <v>0</v>
      </c>
      <c r="I229" s="509">
        <v>0</v>
      </c>
      <c r="J229" s="233">
        <f>J230+J231+J232+J233+J234+J235+J236+J237+J238+J239</f>
        <v>0</v>
      </c>
      <c r="K229" s="142">
        <f t="shared" ref="K229:AA229" si="58">K230+K231+K232+K233+K234+K235+K236+K237+K238+K239</f>
        <v>0</v>
      </c>
      <c r="L229" s="158">
        <f t="shared" si="55"/>
        <v>0</v>
      </c>
      <c r="M229" s="90">
        <f>M230+M231+M232+M233+M234+M235+M236+M237+M238+M239</f>
        <v>0</v>
      </c>
      <c r="N229" s="91">
        <f>N230+N231+N232+N233+N234+N235+N236+N237+N238+N239</f>
        <v>0</v>
      </c>
      <c r="O229" s="91">
        <f>O230+O231+O232+O233+O234+O235+O236+O237+O238+O239</f>
        <v>0</v>
      </c>
      <c r="P229" s="90">
        <f t="shared" si="58"/>
        <v>0</v>
      </c>
      <c r="Q229" s="91">
        <f t="shared" si="58"/>
        <v>0</v>
      </c>
      <c r="R229" s="94">
        <f t="shared" si="58"/>
        <v>0</v>
      </c>
      <c r="S229" s="94">
        <f t="shared" si="58"/>
        <v>0</v>
      </c>
      <c r="T229" s="91">
        <f t="shared" si="58"/>
        <v>0</v>
      </c>
      <c r="U229" s="94">
        <f t="shared" si="58"/>
        <v>0</v>
      </c>
      <c r="V229" s="94">
        <f t="shared" si="58"/>
        <v>0</v>
      </c>
      <c r="W229" s="556">
        <f t="shared" si="58"/>
        <v>0</v>
      </c>
      <c r="X229" s="393">
        <f t="shared" si="58"/>
        <v>0</v>
      </c>
      <c r="Y229" s="94">
        <f t="shared" si="58"/>
        <v>0</v>
      </c>
      <c r="Z229" s="94">
        <f t="shared" si="58"/>
        <v>0</v>
      </c>
      <c r="AA229" s="95">
        <f t="shared" si="58"/>
        <v>0</v>
      </c>
    </row>
    <row r="230" spans="1:27" ht="15" hidden="1" customHeight="1" x14ac:dyDescent="0.25">
      <c r="B230" s="54"/>
      <c r="C230" s="2"/>
      <c r="D230" s="624" t="s">
        <v>376</v>
      </c>
      <c r="E230" s="624"/>
      <c r="F230" s="159">
        <v>0</v>
      </c>
      <c r="G230" s="343">
        <v>0</v>
      </c>
      <c r="H230" s="313">
        <v>0</v>
      </c>
      <c r="I230" s="513">
        <v>0</v>
      </c>
      <c r="J230" s="232">
        <f t="shared" ref="J230:J239" si="59">SUM(P230:AA230)</f>
        <v>0</v>
      </c>
      <c r="K230" s="141"/>
      <c r="L230" s="159">
        <f t="shared" si="55"/>
        <v>0</v>
      </c>
      <c r="M230" s="72"/>
      <c r="N230" s="1"/>
      <c r="O230" s="1"/>
      <c r="P230" s="72"/>
      <c r="Q230" s="1"/>
      <c r="R230" s="78"/>
      <c r="S230" s="78"/>
      <c r="T230" s="1"/>
      <c r="U230" s="78"/>
      <c r="V230" s="78"/>
      <c r="W230" s="557"/>
      <c r="X230" s="394"/>
      <c r="Y230" s="78"/>
      <c r="Z230" s="78"/>
      <c r="AA230" s="44"/>
    </row>
    <row r="231" spans="1:27" ht="15" hidden="1" customHeight="1" x14ac:dyDescent="0.25">
      <c r="B231" s="54"/>
      <c r="C231" s="2"/>
      <c r="D231" s="624" t="s">
        <v>377</v>
      </c>
      <c r="E231" s="624"/>
      <c r="F231" s="159">
        <v>0</v>
      </c>
      <c r="G231" s="343">
        <v>0</v>
      </c>
      <c r="H231" s="313">
        <v>0</v>
      </c>
      <c r="I231" s="513">
        <v>0</v>
      </c>
      <c r="J231" s="232">
        <f t="shared" si="59"/>
        <v>0</v>
      </c>
      <c r="K231" s="141"/>
      <c r="L231" s="159">
        <f t="shared" si="55"/>
        <v>0</v>
      </c>
      <c r="M231" s="72"/>
      <c r="N231" s="1"/>
      <c r="O231" s="1"/>
      <c r="P231" s="72"/>
      <c r="Q231" s="1"/>
      <c r="R231" s="78"/>
      <c r="S231" s="78"/>
      <c r="T231" s="1"/>
      <c r="U231" s="78"/>
      <c r="V231" s="78"/>
      <c r="W231" s="557"/>
      <c r="X231" s="394"/>
      <c r="Y231" s="78"/>
      <c r="Z231" s="78"/>
      <c r="AA231" s="44"/>
    </row>
    <row r="232" spans="1:27" ht="15" hidden="1" customHeight="1" x14ac:dyDescent="0.25">
      <c r="B232" s="54"/>
      <c r="C232" s="2"/>
      <c r="D232" s="624" t="s">
        <v>378</v>
      </c>
      <c r="E232" s="624"/>
      <c r="F232" s="159">
        <v>0</v>
      </c>
      <c r="G232" s="343">
        <v>0</v>
      </c>
      <c r="H232" s="313">
        <v>0</v>
      </c>
      <c r="I232" s="513">
        <v>0</v>
      </c>
      <c r="J232" s="232">
        <f t="shared" si="59"/>
        <v>0</v>
      </c>
      <c r="K232" s="141"/>
      <c r="L232" s="159">
        <f t="shared" si="55"/>
        <v>0</v>
      </c>
      <c r="M232" s="72"/>
      <c r="N232" s="1"/>
      <c r="O232" s="1"/>
      <c r="P232" s="72"/>
      <c r="Q232" s="1"/>
      <c r="R232" s="78"/>
      <c r="S232" s="78"/>
      <c r="T232" s="1"/>
      <c r="U232" s="78"/>
      <c r="V232" s="78"/>
      <c r="W232" s="557"/>
      <c r="X232" s="394"/>
      <c r="Y232" s="78"/>
      <c r="Z232" s="78"/>
      <c r="AA232" s="44"/>
    </row>
    <row r="233" spans="1:27" ht="15" hidden="1" customHeight="1" x14ac:dyDescent="0.25">
      <c r="B233" s="54"/>
      <c r="C233" s="2"/>
      <c r="D233" s="624" t="s">
        <v>379</v>
      </c>
      <c r="E233" s="624"/>
      <c r="F233" s="159">
        <v>0</v>
      </c>
      <c r="G233" s="343">
        <v>0</v>
      </c>
      <c r="H233" s="313">
        <v>0</v>
      </c>
      <c r="I233" s="513">
        <v>0</v>
      </c>
      <c r="J233" s="232">
        <f t="shared" si="59"/>
        <v>0</v>
      </c>
      <c r="K233" s="141"/>
      <c r="L233" s="159">
        <f t="shared" si="55"/>
        <v>0</v>
      </c>
      <c r="M233" s="72"/>
      <c r="N233" s="1"/>
      <c r="O233" s="1"/>
      <c r="P233" s="72"/>
      <c r="Q233" s="1"/>
      <c r="R233" s="78"/>
      <c r="S233" s="78"/>
      <c r="T233" s="1"/>
      <c r="U233" s="78"/>
      <c r="V233" s="78"/>
      <c r="W233" s="557"/>
      <c r="X233" s="394"/>
      <c r="Y233" s="78"/>
      <c r="Z233" s="78"/>
      <c r="AA233" s="44"/>
    </row>
    <row r="234" spans="1:27" ht="15" hidden="1" customHeight="1" x14ac:dyDescent="0.25">
      <c r="B234" s="54"/>
      <c r="C234" s="2"/>
      <c r="D234" s="624" t="s">
        <v>380</v>
      </c>
      <c r="E234" s="624"/>
      <c r="F234" s="159">
        <v>0</v>
      </c>
      <c r="G234" s="343">
        <v>0</v>
      </c>
      <c r="H234" s="313">
        <v>0</v>
      </c>
      <c r="I234" s="513">
        <v>0</v>
      </c>
      <c r="J234" s="232">
        <f t="shared" si="59"/>
        <v>0</v>
      </c>
      <c r="K234" s="141"/>
      <c r="L234" s="159">
        <f t="shared" si="55"/>
        <v>0</v>
      </c>
      <c r="M234" s="72"/>
      <c r="N234" s="1"/>
      <c r="O234" s="1"/>
      <c r="P234" s="72"/>
      <c r="Q234" s="1"/>
      <c r="R234" s="78"/>
      <c r="S234" s="78"/>
      <c r="T234" s="1"/>
      <c r="U234" s="78"/>
      <c r="V234" s="78"/>
      <c r="W234" s="557"/>
      <c r="X234" s="394"/>
      <c r="Y234" s="78"/>
      <c r="Z234" s="78"/>
      <c r="AA234" s="44"/>
    </row>
    <row r="235" spans="1:27" ht="25.5" hidden="1" customHeight="1" x14ac:dyDescent="0.25">
      <c r="B235" s="54"/>
      <c r="C235" s="2"/>
      <c r="D235" s="625" t="s">
        <v>538</v>
      </c>
      <c r="E235" s="625"/>
      <c r="F235" s="159">
        <v>0</v>
      </c>
      <c r="G235" s="343">
        <v>0</v>
      </c>
      <c r="H235" s="313">
        <v>0</v>
      </c>
      <c r="I235" s="513">
        <v>0</v>
      </c>
      <c r="J235" s="242">
        <f t="shared" si="59"/>
        <v>0</v>
      </c>
      <c r="K235" s="151"/>
      <c r="L235" s="159">
        <f t="shared" si="55"/>
        <v>0</v>
      </c>
      <c r="M235" s="72"/>
      <c r="N235" s="1"/>
      <c r="O235" s="1"/>
      <c r="P235" s="72"/>
      <c r="Q235" s="1"/>
      <c r="R235" s="78"/>
      <c r="S235" s="78"/>
      <c r="T235" s="1"/>
      <c r="U235" s="78"/>
      <c r="V235" s="78"/>
      <c r="W235" s="557"/>
      <c r="X235" s="394"/>
      <c r="Y235" s="78"/>
      <c r="Z235" s="78"/>
      <c r="AA235" s="44"/>
    </row>
    <row r="236" spans="1:27" ht="25.5" hidden="1" customHeight="1" x14ac:dyDescent="0.25">
      <c r="B236" s="54"/>
      <c r="C236" s="2"/>
      <c r="D236" s="625" t="s">
        <v>541</v>
      </c>
      <c r="E236" s="625"/>
      <c r="F236" s="159">
        <v>0</v>
      </c>
      <c r="G236" s="343">
        <v>0</v>
      </c>
      <c r="H236" s="313">
        <v>0</v>
      </c>
      <c r="I236" s="513">
        <v>0</v>
      </c>
      <c r="J236" s="242">
        <f t="shared" si="59"/>
        <v>0</v>
      </c>
      <c r="K236" s="151"/>
      <c r="L236" s="159">
        <f t="shared" si="55"/>
        <v>0</v>
      </c>
      <c r="M236" s="72"/>
      <c r="N236" s="1"/>
      <c r="O236" s="1"/>
      <c r="P236" s="72"/>
      <c r="Q236" s="1"/>
      <c r="R236" s="78"/>
      <c r="S236" s="78"/>
      <c r="T236" s="1"/>
      <c r="U236" s="78"/>
      <c r="V236" s="78"/>
      <c r="W236" s="557"/>
      <c r="X236" s="394"/>
      <c r="Y236" s="78"/>
      <c r="Z236" s="78"/>
      <c r="AA236" s="44"/>
    </row>
    <row r="237" spans="1:27" ht="15" hidden="1" customHeight="1" x14ac:dyDescent="0.25">
      <c r="B237" s="54"/>
      <c r="C237" s="2"/>
      <c r="D237" s="624" t="s">
        <v>381</v>
      </c>
      <c r="E237" s="624"/>
      <c r="F237" s="159">
        <v>0</v>
      </c>
      <c r="G237" s="343">
        <v>0</v>
      </c>
      <c r="H237" s="313">
        <v>0</v>
      </c>
      <c r="I237" s="513">
        <v>0</v>
      </c>
      <c r="J237" s="232">
        <f t="shared" si="59"/>
        <v>0</v>
      </c>
      <c r="K237" s="141"/>
      <c r="L237" s="159">
        <f t="shared" si="55"/>
        <v>0</v>
      </c>
      <c r="M237" s="72"/>
      <c r="N237" s="1"/>
      <c r="O237" s="1"/>
      <c r="P237" s="72"/>
      <c r="Q237" s="1"/>
      <c r="R237" s="78"/>
      <c r="S237" s="78"/>
      <c r="T237" s="1"/>
      <c r="U237" s="78"/>
      <c r="V237" s="78"/>
      <c r="W237" s="557"/>
      <c r="X237" s="394"/>
      <c r="Y237" s="78"/>
      <c r="Z237" s="78"/>
      <c r="AA237" s="44"/>
    </row>
    <row r="238" spans="1:27" ht="15" hidden="1" customHeight="1" x14ac:dyDescent="0.25">
      <c r="B238" s="54"/>
      <c r="C238" s="2"/>
      <c r="D238" s="624" t="s">
        <v>382</v>
      </c>
      <c r="E238" s="624"/>
      <c r="F238" s="159">
        <v>0</v>
      </c>
      <c r="G238" s="343">
        <v>0</v>
      </c>
      <c r="H238" s="313">
        <v>0</v>
      </c>
      <c r="I238" s="513">
        <v>0</v>
      </c>
      <c r="J238" s="232">
        <f t="shared" si="59"/>
        <v>0</v>
      </c>
      <c r="K238" s="141"/>
      <c r="L238" s="159">
        <f t="shared" si="55"/>
        <v>0</v>
      </c>
      <c r="M238" s="72"/>
      <c r="N238" s="1"/>
      <c r="O238" s="1"/>
      <c r="P238" s="72"/>
      <c r="Q238" s="1"/>
      <c r="R238" s="78"/>
      <c r="S238" s="78"/>
      <c r="T238" s="1"/>
      <c r="U238" s="78"/>
      <c r="V238" s="78"/>
      <c r="W238" s="557"/>
      <c r="X238" s="394"/>
      <c r="Y238" s="78"/>
      <c r="Z238" s="78"/>
      <c r="AA238" s="44"/>
    </row>
    <row r="239" spans="1:27" ht="15.75" hidden="1" customHeight="1" thickBot="1" x14ac:dyDescent="0.3">
      <c r="B239" s="56"/>
      <c r="C239" s="20"/>
      <c r="D239" s="631" t="s">
        <v>567</v>
      </c>
      <c r="E239" s="631"/>
      <c r="F239" s="159">
        <v>0</v>
      </c>
      <c r="G239" s="467">
        <v>0</v>
      </c>
      <c r="H239" s="486">
        <v>0</v>
      </c>
      <c r="I239" s="514">
        <v>0</v>
      </c>
      <c r="J239" s="234">
        <f t="shared" si="59"/>
        <v>0</v>
      </c>
      <c r="K239" s="143"/>
      <c r="L239" s="159">
        <f t="shared" si="55"/>
        <v>0</v>
      </c>
      <c r="M239" s="72"/>
      <c r="N239" s="1"/>
      <c r="O239" s="1"/>
      <c r="P239" s="72"/>
      <c r="Q239" s="1"/>
      <c r="R239" s="78"/>
      <c r="S239" s="78"/>
      <c r="T239" s="1"/>
      <c r="U239" s="78"/>
      <c r="V239" s="78"/>
      <c r="W239" s="557"/>
      <c r="X239" s="394"/>
      <c r="Y239" s="78"/>
      <c r="Z239" s="78"/>
      <c r="AA239" s="44"/>
    </row>
    <row r="240" spans="1:27" ht="15.75" thickBot="1" x14ac:dyDescent="0.3">
      <c r="B240" s="96" t="s">
        <v>284</v>
      </c>
      <c r="C240" s="632" t="s">
        <v>285</v>
      </c>
      <c r="D240" s="633"/>
      <c r="E240" s="633"/>
      <c r="F240" s="156">
        <v>0</v>
      </c>
      <c r="G240" s="338">
        <v>0</v>
      </c>
      <c r="H240" s="308">
        <v>0</v>
      </c>
      <c r="I240" s="506">
        <v>0</v>
      </c>
      <c r="J240" s="235">
        <f>J241+J262+J268+J269</f>
        <v>0</v>
      </c>
      <c r="K240" s="144">
        <f t="shared" ref="K240:AA240" si="60">K241+K262+K268+K269</f>
        <v>0</v>
      </c>
      <c r="L240" s="156">
        <f t="shared" si="55"/>
        <v>0</v>
      </c>
      <c r="M240" s="82">
        <f>M241+M262+M268+M269</f>
        <v>0</v>
      </c>
      <c r="N240" s="83">
        <f>N241+N262+N268+N269</f>
        <v>0</v>
      </c>
      <c r="O240" s="83">
        <f>O241+O262+O268+O269</f>
        <v>0</v>
      </c>
      <c r="P240" s="82">
        <f t="shared" si="60"/>
        <v>0</v>
      </c>
      <c r="Q240" s="83">
        <f t="shared" si="60"/>
        <v>0</v>
      </c>
      <c r="R240" s="86">
        <f t="shared" si="60"/>
        <v>0</v>
      </c>
      <c r="S240" s="86">
        <f t="shared" si="60"/>
        <v>0</v>
      </c>
      <c r="T240" s="83">
        <f t="shared" si="60"/>
        <v>0</v>
      </c>
      <c r="U240" s="86">
        <f t="shared" si="60"/>
        <v>0</v>
      </c>
      <c r="V240" s="86">
        <f t="shared" si="60"/>
        <v>0</v>
      </c>
      <c r="W240" s="87">
        <f t="shared" si="60"/>
        <v>0</v>
      </c>
      <c r="X240" s="338">
        <f t="shared" si="60"/>
        <v>0</v>
      </c>
      <c r="Y240" s="86">
        <f t="shared" si="60"/>
        <v>0</v>
      </c>
      <c r="Z240" s="86">
        <f t="shared" si="60"/>
        <v>0</v>
      </c>
      <c r="AA240" s="87">
        <f t="shared" si="60"/>
        <v>0</v>
      </c>
    </row>
    <row r="241" spans="1:27" ht="15" hidden="1" customHeight="1" x14ac:dyDescent="0.25">
      <c r="B241" s="108" t="s">
        <v>691</v>
      </c>
      <c r="C241" s="634" t="s">
        <v>286</v>
      </c>
      <c r="D241" s="635"/>
      <c r="E241" s="635"/>
      <c r="F241" s="157">
        <v>0</v>
      </c>
      <c r="G241" s="339">
        <v>0</v>
      </c>
      <c r="H241" s="309">
        <v>0</v>
      </c>
      <c r="I241" s="507">
        <v>0</v>
      </c>
      <c r="J241" s="231">
        <f>J242+J246+J253+J254+J255+J256+J257+J258+J259</f>
        <v>0</v>
      </c>
      <c r="K241" s="140">
        <f t="shared" ref="K241:AA241" si="61">K242+K246+K253+K254+K255+K256+K257+K258+K259</f>
        <v>0</v>
      </c>
      <c r="L241" s="157">
        <f t="shared" si="55"/>
        <v>0</v>
      </c>
      <c r="M241" s="109">
        <f>M242+M246+M253+M254+M255+M256+M257+M258+M259</f>
        <v>0</v>
      </c>
      <c r="N241" s="110">
        <f>N242+N246+N253+N254+N255+N256+N257+N258+N259</f>
        <v>0</v>
      </c>
      <c r="O241" s="110">
        <f>O242+O246+O253+O254+O255+O256+O257+O258+O259</f>
        <v>0</v>
      </c>
      <c r="P241" s="109">
        <f t="shared" si="61"/>
        <v>0</v>
      </c>
      <c r="Q241" s="110">
        <f t="shared" si="61"/>
        <v>0</v>
      </c>
      <c r="R241" s="113">
        <f t="shared" si="61"/>
        <v>0</v>
      </c>
      <c r="S241" s="113">
        <f t="shared" si="61"/>
        <v>0</v>
      </c>
      <c r="T241" s="110">
        <f t="shared" si="61"/>
        <v>0</v>
      </c>
      <c r="U241" s="113">
        <f t="shared" si="61"/>
        <v>0</v>
      </c>
      <c r="V241" s="113">
        <f t="shared" si="61"/>
        <v>0</v>
      </c>
      <c r="W241" s="562">
        <f t="shared" si="61"/>
        <v>0</v>
      </c>
      <c r="X241" s="398">
        <f t="shared" si="61"/>
        <v>0</v>
      </c>
      <c r="Y241" s="113">
        <f t="shared" si="61"/>
        <v>0</v>
      </c>
      <c r="Z241" s="113">
        <f t="shared" si="61"/>
        <v>0</v>
      </c>
      <c r="AA241" s="114">
        <f t="shared" si="61"/>
        <v>0</v>
      </c>
    </row>
    <row r="242" spans="1:27" s="18" customFormat="1" ht="15" hidden="1" customHeight="1" x14ac:dyDescent="0.25">
      <c r="A242" s="118"/>
      <c r="B242" s="53" t="s">
        <v>692</v>
      </c>
      <c r="C242" s="628" t="s">
        <v>287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>J243+J244+J245</f>
        <v>0</v>
      </c>
      <c r="K242" s="148">
        <f t="shared" ref="K242:AA242" si="62">K243+K244+K245</f>
        <v>0</v>
      </c>
      <c r="L242" s="160">
        <f t="shared" si="55"/>
        <v>0</v>
      </c>
      <c r="M242" s="74">
        <f>M243+M244+M245</f>
        <v>0</v>
      </c>
      <c r="N242" s="13">
        <f>N243+N244+N245</f>
        <v>0</v>
      </c>
      <c r="O242" s="13">
        <f>O243+O244+O245</f>
        <v>0</v>
      </c>
      <c r="P242" s="74">
        <f t="shared" si="62"/>
        <v>0</v>
      </c>
      <c r="Q242" s="13">
        <f t="shared" si="62"/>
        <v>0</v>
      </c>
      <c r="R242" s="79">
        <f t="shared" si="62"/>
        <v>0</v>
      </c>
      <c r="S242" s="79">
        <f t="shared" si="62"/>
        <v>0</v>
      </c>
      <c r="T242" s="13">
        <f t="shared" si="62"/>
        <v>0</v>
      </c>
      <c r="U242" s="79">
        <f t="shared" si="62"/>
        <v>0</v>
      </c>
      <c r="V242" s="79">
        <f t="shared" si="62"/>
        <v>0</v>
      </c>
      <c r="W242" s="561">
        <f t="shared" si="62"/>
        <v>0</v>
      </c>
      <c r="X242" s="397">
        <f t="shared" si="62"/>
        <v>0</v>
      </c>
      <c r="Y242" s="79">
        <f t="shared" si="62"/>
        <v>0</v>
      </c>
      <c r="Z242" s="79">
        <f t="shared" si="62"/>
        <v>0</v>
      </c>
      <c r="AA242" s="45">
        <f t="shared" si="62"/>
        <v>0</v>
      </c>
    </row>
    <row r="243" spans="1:27" s="199" customFormat="1" ht="15" hidden="1" customHeight="1" x14ac:dyDescent="0.25">
      <c r="A243" s="118" t="s">
        <v>288</v>
      </c>
      <c r="B243" s="181" t="s">
        <v>693</v>
      </c>
      <c r="C243" s="228"/>
      <c r="D243" s="724" t="s">
        <v>705</v>
      </c>
      <c r="E243" s="724"/>
      <c r="F243" s="183">
        <v>0</v>
      </c>
      <c r="G243" s="340">
        <v>0</v>
      </c>
      <c r="H243" s="310">
        <v>0</v>
      </c>
      <c r="I243" s="508">
        <v>0</v>
      </c>
      <c r="J243" s="268">
        <f>SUM(P243:AA243)</f>
        <v>0</v>
      </c>
      <c r="K243" s="269"/>
      <c r="L243" s="183">
        <f t="shared" si="55"/>
        <v>0</v>
      </c>
      <c r="M243" s="191"/>
      <c r="N243" s="185"/>
      <c r="O243" s="185"/>
      <c r="P243" s="191"/>
      <c r="Q243" s="185"/>
      <c r="R243" s="186"/>
      <c r="S243" s="186"/>
      <c r="T243" s="185"/>
      <c r="U243" s="186"/>
      <c r="V243" s="186"/>
      <c r="W243" s="560"/>
      <c r="X243" s="396"/>
      <c r="Y243" s="186"/>
      <c r="Z243" s="186"/>
      <c r="AA243" s="187"/>
    </row>
    <row r="244" spans="1:27" s="199" customFormat="1" ht="15" hidden="1" customHeight="1" x14ac:dyDescent="0.25">
      <c r="A244" s="118" t="s">
        <v>289</v>
      </c>
      <c r="B244" s="181" t="s">
        <v>694</v>
      </c>
      <c r="C244" s="190"/>
      <c r="D244" s="630" t="s">
        <v>706</v>
      </c>
      <c r="E244" s="630"/>
      <c r="F244" s="183">
        <v>0</v>
      </c>
      <c r="G244" s="340">
        <v>0</v>
      </c>
      <c r="H244" s="310">
        <v>0</v>
      </c>
      <c r="I244" s="508">
        <v>0</v>
      </c>
      <c r="J244" s="251">
        <f>SUM(P244:AA244)</f>
        <v>0</v>
      </c>
      <c r="K244" s="182"/>
      <c r="L244" s="183">
        <f t="shared" si="55"/>
        <v>0</v>
      </c>
      <c r="M244" s="191"/>
      <c r="N244" s="185"/>
      <c r="O244" s="185"/>
      <c r="P244" s="191"/>
      <c r="Q244" s="185"/>
      <c r="R244" s="186"/>
      <c r="S244" s="186"/>
      <c r="T244" s="185"/>
      <c r="U244" s="186"/>
      <c r="V244" s="186"/>
      <c r="W244" s="560"/>
      <c r="X244" s="396"/>
      <c r="Y244" s="186"/>
      <c r="Z244" s="186"/>
      <c r="AA244" s="187"/>
    </row>
    <row r="245" spans="1:27" s="199" customFormat="1" ht="15" hidden="1" customHeight="1" x14ac:dyDescent="0.25">
      <c r="A245" s="118" t="s">
        <v>290</v>
      </c>
      <c r="B245" s="181" t="s">
        <v>695</v>
      </c>
      <c r="C245" s="190"/>
      <c r="D245" s="630" t="s">
        <v>707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55"/>
        <v>0</v>
      </c>
      <c r="M245" s="191"/>
      <c r="N245" s="185"/>
      <c r="O245" s="185"/>
      <c r="P245" s="191"/>
      <c r="Q245" s="185"/>
      <c r="R245" s="186"/>
      <c r="S245" s="186"/>
      <c r="T245" s="185"/>
      <c r="U245" s="186"/>
      <c r="V245" s="186"/>
      <c r="W245" s="560"/>
      <c r="X245" s="396"/>
      <c r="Y245" s="186"/>
      <c r="Z245" s="186"/>
      <c r="AA245" s="187"/>
    </row>
    <row r="246" spans="1:27" s="18" customFormat="1" ht="15" hidden="1" customHeight="1" x14ac:dyDescent="0.25">
      <c r="A246" s="118"/>
      <c r="B246" s="53" t="s">
        <v>696</v>
      </c>
      <c r="C246" s="628" t="s">
        <v>291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>J247+J248+J249+J250+J251+J252</f>
        <v>0</v>
      </c>
      <c r="K246" s="148">
        <f t="shared" ref="K246:AA246" si="63">K247+K248+K249+K250+K251+K252</f>
        <v>0</v>
      </c>
      <c r="L246" s="160">
        <f t="shared" si="55"/>
        <v>0</v>
      </c>
      <c r="M246" s="74">
        <f>M247+M248+M249+M250+M251+M252</f>
        <v>0</v>
      </c>
      <c r="N246" s="13">
        <f>N247+N248+N249+N250+N251+N252</f>
        <v>0</v>
      </c>
      <c r="O246" s="13">
        <f>O247+O248+O249+O250+O251+O252</f>
        <v>0</v>
      </c>
      <c r="P246" s="74">
        <f t="shared" si="63"/>
        <v>0</v>
      </c>
      <c r="Q246" s="13">
        <f t="shared" si="63"/>
        <v>0</v>
      </c>
      <c r="R246" s="79">
        <f t="shared" si="63"/>
        <v>0</v>
      </c>
      <c r="S246" s="79">
        <f t="shared" si="63"/>
        <v>0</v>
      </c>
      <c r="T246" s="13">
        <f t="shared" si="63"/>
        <v>0</v>
      </c>
      <c r="U246" s="79">
        <f t="shared" si="63"/>
        <v>0</v>
      </c>
      <c r="V246" s="79">
        <f t="shared" si="63"/>
        <v>0</v>
      </c>
      <c r="W246" s="561">
        <f t="shared" si="63"/>
        <v>0</v>
      </c>
      <c r="X246" s="397">
        <f t="shared" si="63"/>
        <v>0</v>
      </c>
      <c r="Y246" s="79">
        <f t="shared" si="63"/>
        <v>0</v>
      </c>
      <c r="Z246" s="79">
        <f t="shared" si="63"/>
        <v>0</v>
      </c>
      <c r="AA246" s="45">
        <f t="shared" si="63"/>
        <v>0</v>
      </c>
    </row>
    <row r="247" spans="1:27" s="199" customFormat="1" ht="15" hidden="1" customHeight="1" x14ac:dyDescent="0.25">
      <c r="A247" s="118" t="s">
        <v>292</v>
      </c>
      <c r="B247" s="181" t="s">
        <v>697</v>
      </c>
      <c r="C247" s="190"/>
      <c r="D247" s="630" t="s">
        <v>383</v>
      </c>
      <c r="E247" s="630"/>
      <c r="F247" s="183">
        <v>0</v>
      </c>
      <c r="G247" s="340">
        <v>0</v>
      </c>
      <c r="H247" s="310">
        <v>0</v>
      </c>
      <c r="I247" s="508">
        <v>0</v>
      </c>
      <c r="J247" s="251">
        <f t="shared" ref="J247:J258" si="64">SUM(P247:AA247)</f>
        <v>0</v>
      </c>
      <c r="K247" s="182"/>
      <c r="L247" s="183">
        <f t="shared" si="55"/>
        <v>0</v>
      </c>
      <c r="M247" s="191"/>
      <c r="N247" s="185"/>
      <c r="O247" s="185"/>
      <c r="P247" s="191"/>
      <c r="Q247" s="185"/>
      <c r="R247" s="186"/>
      <c r="S247" s="186"/>
      <c r="T247" s="185"/>
      <c r="U247" s="186"/>
      <c r="V247" s="186"/>
      <c r="W247" s="560"/>
      <c r="X247" s="396"/>
      <c r="Y247" s="186"/>
      <c r="Z247" s="186"/>
      <c r="AA247" s="187"/>
    </row>
    <row r="248" spans="1:27" s="199" customFormat="1" ht="15" hidden="1" customHeight="1" x14ac:dyDescent="0.25">
      <c r="A248" s="118" t="s">
        <v>293</v>
      </c>
      <c r="B248" s="181" t="s">
        <v>698</v>
      </c>
      <c r="C248" s="190"/>
      <c r="D248" s="630" t="s">
        <v>384</v>
      </c>
      <c r="E248" s="630"/>
      <c r="F248" s="183">
        <v>0</v>
      </c>
      <c r="G248" s="340">
        <v>0</v>
      </c>
      <c r="H248" s="310">
        <v>0</v>
      </c>
      <c r="I248" s="508">
        <v>0</v>
      </c>
      <c r="J248" s="251">
        <f t="shared" si="64"/>
        <v>0</v>
      </c>
      <c r="K248" s="182"/>
      <c r="L248" s="183">
        <f t="shared" si="55"/>
        <v>0</v>
      </c>
      <c r="M248" s="191"/>
      <c r="N248" s="185"/>
      <c r="O248" s="185"/>
      <c r="P248" s="191"/>
      <c r="Q248" s="185"/>
      <c r="R248" s="186"/>
      <c r="S248" s="186"/>
      <c r="T248" s="185"/>
      <c r="U248" s="186"/>
      <c r="V248" s="186"/>
      <c r="W248" s="560"/>
      <c r="X248" s="396"/>
      <c r="Y248" s="186"/>
      <c r="Z248" s="186"/>
      <c r="AA248" s="187"/>
    </row>
    <row r="249" spans="1:27" s="199" customFormat="1" ht="15" hidden="1" customHeight="1" x14ac:dyDescent="0.25">
      <c r="A249" s="118" t="s">
        <v>885</v>
      </c>
      <c r="B249" s="181" t="s">
        <v>886</v>
      </c>
      <c r="C249" s="190"/>
      <c r="D249" s="630" t="s">
        <v>887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 t="shared" si="64"/>
        <v>0</v>
      </c>
      <c r="K249" s="182"/>
      <c r="L249" s="183">
        <f t="shared" si="55"/>
        <v>0</v>
      </c>
      <c r="M249" s="191"/>
      <c r="N249" s="185"/>
      <c r="O249" s="185"/>
      <c r="P249" s="191"/>
      <c r="Q249" s="185"/>
      <c r="R249" s="186"/>
      <c r="S249" s="186"/>
      <c r="T249" s="185"/>
      <c r="U249" s="186"/>
      <c r="V249" s="186"/>
      <c r="W249" s="560"/>
      <c r="X249" s="396"/>
      <c r="Y249" s="186"/>
      <c r="Z249" s="186"/>
      <c r="AA249" s="187"/>
    </row>
    <row r="250" spans="1:27" s="199" customFormat="1" ht="15" hidden="1" customHeight="1" x14ac:dyDescent="0.25">
      <c r="A250" s="118" t="s">
        <v>294</v>
      </c>
      <c r="B250" s="181" t="s">
        <v>699</v>
      </c>
      <c r="C250" s="190"/>
      <c r="D250" s="630" t="s">
        <v>295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 t="shared" si="64"/>
        <v>0</v>
      </c>
      <c r="K250" s="182"/>
      <c r="L250" s="183">
        <f t="shared" si="55"/>
        <v>0</v>
      </c>
      <c r="M250" s="191"/>
      <c r="N250" s="185"/>
      <c r="O250" s="185"/>
      <c r="P250" s="191"/>
      <c r="Q250" s="185"/>
      <c r="R250" s="186"/>
      <c r="S250" s="186"/>
      <c r="T250" s="185"/>
      <c r="U250" s="186"/>
      <c r="V250" s="186"/>
      <c r="W250" s="560"/>
      <c r="X250" s="396"/>
      <c r="Y250" s="186"/>
      <c r="Z250" s="186"/>
      <c r="AA250" s="187"/>
    </row>
    <row r="251" spans="1:27" s="199" customFormat="1" ht="15" hidden="1" customHeight="1" x14ac:dyDescent="0.25">
      <c r="A251" s="118" t="s">
        <v>296</v>
      </c>
      <c r="B251" s="181" t="s">
        <v>700</v>
      </c>
      <c r="C251" s="190"/>
      <c r="D251" s="630" t="s">
        <v>297</v>
      </c>
      <c r="E251" s="630"/>
      <c r="F251" s="183">
        <v>0</v>
      </c>
      <c r="G251" s="340">
        <v>0</v>
      </c>
      <c r="H251" s="310">
        <v>0</v>
      </c>
      <c r="I251" s="508">
        <v>0</v>
      </c>
      <c r="J251" s="251">
        <f t="shared" si="64"/>
        <v>0</v>
      </c>
      <c r="K251" s="182"/>
      <c r="L251" s="183">
        <f t="shared" si="55"/>
        <v>0</v>
      </c>
      <c r="M251" s="191"/>
      <c r="N251" s="185"/>
      <c r="O251" s="185"/>
      <c r="P251" s="191"/>
      <c r="Q251" s="185"/>
      <c r="R251" s="186"/>
      <c r="S251" s="186"/>
      <c r="T251" s="185"/>
      <c r="U251" s="186"/>
      <c r="V251" s="186"/>
      <c r="W251" s="560"/>
      <c r="X251" s="396"/>
      <c r="Y251" s="186"/>
      <c r="Z251" s="186"/>
      <c r="AA251" s="187"/>
    </row>
    <row r="252" spans="1:27" s="199" customFormat="1" ht="15" hidden="1" customHeight="1" x14ac:dyDescent="0.25">
      <c r="A252" s="118" t="s">
        <v>888</v>
      </c>
      <c r="B252" s="181" t="s">
        <v>889</v>
      </c>
      <c r="C252" s="190"/>
      <c r="D252" s="630" t="s">
        <v>890</v>
      </c>
      <c r="E252" s="630"/>
      <c r="F252" s="183">
        <v>0</v>
      </c>
      <c r="G252" s="340">
        <v>0</v>
      </c>
      <c r="H252" s="310">
        <v>0</v>
      </c>
      <c r="I252" s="508">
        <v>0</v>
      </c>
      <c r="J252" s="251">
        <f t="shared" si="64"/>
        <v>0</v>
      </c>
      <c r="K252" s="182"/>
      <c r="L252" s="183">
        <f t="shared" si="55"/>
        <v>0</v>
      </c>
      <c r="M252" s="191"/>
      <c r="N252" s="185"/>
      <c r="O252" s="185"/>
      <c r="P252" s="191"/>
      <c r="Q252" s="185"/>
      <c r="R252" s="186"/>
      <c r="S252" s="186"/>
      <c r="T252" s="185"/>
      <c r="U252" s="186"/>
      <c r="V252" s="186"/>
      <c r="W252" s="560"/>
      <c r="X252" s="396"/>
      <c r="Y252" s="186"/>
      <c r="Z252" s="186"/>
      <c r="AA252" s="187"/>
    </row>
    <row r="253" spans="1:27" s="41" customFormat="1" ht="15" hidden="1" customHeight="1" x14ac:dyDescent="0.25">
      <c r="A253" s="118" t="s">
        <v>891</v>
      </c>
      <c r="B253" s="53" t="s">
        <v>892</v>
      </c>
      <c r="C253" s="628" t="s">
        <v>893</v>
      </c>
      <c r="D253" s="629"/>
      <c r="E253" s="629"/>
      <c r="F253" s="160">
        <v>0</v>
      </c>
      <c r="G253" s="342">
        <v>0</v>
      </c>
      <c r="H253" s="312">
        <v>0</v>
      </c>
      <c r="I253" s="510">
        <v>0</v>
      </c>
      <c r="J253" s="239">
        <f t="shared" si="64"/>
        <v>0</v>
      </c>
      <c r="K253" s="148"/>
      <c r="L253" s="160">
        <f t="shared" si="55"/>
        <v>0</v>
      </c>
      <c r="M253" s="74"/>
      <c r="N253" s="13"/>
      <c r="O253" s="13"/>
      <c r="P253" s="74"/>
      <c r="Q253" s="13"/>
      <c r="R253" s="79"/>
      <c r="S253" s="79"/>
      <c r="T253" s="13"/>
      <c r="U253" s="79"/>
      <c r="V253" s="79"/>
      <c r="W253" s="561"/>
      <c r="X253" s="397"/>
      <c r="Y253" s="79"/>
      <c r="Z253" s="79"/>
      <c r="AA253" s="45"/>
    </row>
    <row r="254" spans="1:27" s="41" customFormat="1" ht="15" hidden="1" customHeight="1" x14ac:dyDescent="0.25">
      <c r="A254" s="118" t="s">
        <v>298</v>
      </c>
      <c r="B254" s="53" t="s">
        <v>701</v>
      </c>
      <c r="C254" s="628" t="s">
        <v>299</v>
      </c>
      <c r="D254" s="629"/>
      <c r="E254" s="629"/>
      <c r="F254" s="160">
        <v>0</v>
      </c>
      <c r="G254" s="342">
        <v>0</v>
      </c>
      <c r="H254" s="312">
        <v>0</v>
      </c>
      <c r="I254" s="510">
        <v>0</v>
      </c>
      <c r="J254" s="239">
        <f t="shared" si="64"/>
        <v>0</v>
      </c>
      <c r="K254" s="148"/>
      <c r="L254" s="160">
        <f t="shared" si="55"/>
        <v>0</v>
      </c>
      <c r="M254" s="74"/>
      <c r="N254" s="13"/>
      <c r="O254" s="13"/>
      <c r="P254" s="74"/>
      <c r="Q254" s="13"/>
      <c r="R254" s="79"/>
      <c r="S254" s="79"/>
      <c r="T254" s="13"/>
      <c r="U254" s="79"/>
      <c r="V254" s="79"/>
      <c r="W254" s="561"/>
      <c r="X254" s="397"/>
      <c r="Y254" s="79"/>
      <c r="Z254" s="79"/>
      <c r="AA254" s="45"/>
    </row>
    <row r="255" spans="1:27" s="41" customFormat="1" ht="15" hidden="1" customHeight="1" x14ac:dyDescent="0.25">
      <c r="A255" s="118" t="s">
        <v>300</v>
      </c>
      <c r="B255" s="53" t="s">
        <v>702</v>
      </c>
      <c r="C255" s="628" t="s">
        <v>894</v>
      </c>
      <c r="D255" s="629"/>
      <c r="E255" s="629"/>
      <c r="F255" s="160">
        <v>0</v>
      </c>
      <c r="G255" s="342">
        <v>0</v>
      </c>
      <c r="H255" s="312">
        <v>0</v>
      </c>
      <c r="I255" s="510">
        <v>0</v>
      </c>
      <c r="J255" s="239">
        <f t="shared" si="64"/>
        <v>0</v>
      </c>
      <c r="K255" s="148"/>
      <c r="L255" s="160">
        <f t="shared" si="55"/>
        <v>0</v>
      </c>
      <c r="M255" s="74"/>
      <c r="N255" s="13"/>
      <c r="O255" s="13"/>
      <c r="P255" s="74"/>
      <c r="Q255" s="13"/>
      <c r="R255" s="79"/>
      <c r="S255" s="79"/>
      <c r="T255" s="13"/>
      <c r="U255" s="79"/>
      <c r="V255" s="79"/>
      <c r="W255" s="561"/>
      <c r="X255" s="397"/>
      <c r="Y255" s="79"/>
      <c r="Z255" s="79"/>
      <c r="AA255" s="45"/>
    </row>
    <row r="256" spans="1:27" s="41" customFormat="1" ht="15" hidden="1" customHeight="1" x14ac:dyDescent="0.25">
      <c r="A256" s="118" t="s">
        <v>301</v>
      </c>
      <c r="B256" s="53" t="s">
        <v>703</v>
      </c>
      <c r="C256" s="628" t="s">
        <v>895</v>
      </c>
      <c r="D256" s="629"/>
      <c r="E256" s="629"/>
      <c r="F256" s="160">
        <v>0</v>
      </c>
      <c r="G256" s="342">
        <v>0</v>
      </c>
      <c r="H256" s="312">
        <v>0</v>
      </c>
      <c r="I256" s="510">
        <v>0</v>
      </c>
      <c r="J256" s="239">
        <f t="shared" si="64"/>
        <v>0</v>
      </c>
      <c r="K256" s="148"/>
      <c r="L256" s="160">
        <f t="shared" si="55"/>
        <v>0</v>
      </c>
      <c r="M256" s="74"/>
      <c r="N256" s="13"/>
      <c r="O256" s="13"/>
      <c r="P256" s="74"/>
      <c r="Q256" s="13"/>
      <c r="R256" s="79"/>
      <c r="S256" s="79"/>
      <c r="T256" s="13"/>
      <c r="U256" s="79"/>
      <c r="V256" s="79"/>
      <c r="W256" s="561"/>
      <c r="X256" s="397"/>
      <c r="Y256" s="79"/>
      <c r="Z256" s="79"/>
      <c r="AA256" s="45"/>
    </row>
    <row r="257" spans="1:27" s="41" customFormat="1" ht="15" hidden="1" customHeight="1" x14ac:dyDescent="0.25">
      <c r="A257" s="118" t="s">
        <v>302</v>
      </c>
      <c r="B257" s="53" t="s">
        <v>704</v>
      </c>
      <c r="C257" s="628" t="s">
        <v>303</v>
      </c>
      <c r="D257" s="629"/>
      <c r="E257" s="629"/>
      <c r="F257" s="160">
        <v>0</v>
      </c>
      <c r="G257" s="342">
        <v>0</v>
      </c>
      <c r="H257" s="312">
        <v>0</v>
      </c>
      <c r="I257" s="510">
        <v>0</v>
      </c>
      <c r="J257" s="239">
        <f t="shared" si="64"/>
        <v>0</v>
      </c>
      <c r="K257" s="148"/>
      <c r="L257" s="160">
        <f t="shared" si="55"/>
        <v>0</v>
      </c>
      <c r="M257" s="74"/>
      <c r="N257" s="13"/>
      <c r="O257" s="13"/>
      <c r="P257" s="74"/>
      <c r="Q257" s="13"/>
      <c r="R257" s="79"/>
      <c r="S257" s="79"/>
      <c r="T257" s="13"/>
      <c r="U257" s="79"/>
      <c r="V257" s="79"/>
      <c r="W257" s="561"/>
      <c r="X257" s="397"/>
      <c r="Y257" s="79"/>
      <c r="Z257" s="79"/>
      <c r="AA257" s="45"/>
    </row>
    <row r="258" spans="1:27" s="41" customFormat="1" ht="15" hidden="1" customHeight="1" x14ac:dyDescent="0.25">
      <c r="A258" s="118" t="s">
        <v>896</v>
      </c>
      <c r="B258" s="53" t="s">
        <v>897</v>
      </c>
      <c r="C258" s="628" t="s">
        <v>899</v>
      </c>
      <c r="D258" s="629"/>
      <c r="E258" s="629"/>
      <c r="F258" s="160">
        <v>0</v>
      </c>
      <c r="G258" s="342">
        <v>0</v>
      </c>
      <c r="H258" s="312">
        <v>0</v>
      </c>
      <c r="I258" s="510">
        <v>0</v>
      </c>
      <c r="J258" s="239">
        <f t="shared" si="64"/>
        <v>0</v>
      </c>
      <c r="K258" s="148"/>
      <c r="L258" s="160">
        <f t="shared" si="55"/>
        <v>0</v>
      </c>
      <c r="M258" s="74"/>
      <c r="N258" s="13"/>
      <c r="O258" s="13"/>
      <c r="P258" s="74"/>
      <c r="Q258" s="13"/>
      <c r="R258" s="79"/>
      <c r="S258" s="79"/>
      <c r="T258" s="13"/>
      <c r="U258" s="79"/>
      <c r="V258" s="79"/>
      <c r="W258" s="561"/>
      <c r="X258" s="397"/>
      <c r="Y258" s="79"/>
      <c r="Z258" s="79"/>
      <c r="AA258" s="45"/>
    </row>
    <row r="259" spans="1:27" s="41" customFormat="1" ht="15" hidden="1" customHeight="1" x14ac:dyDescent="0.25">
      <c r="A259" s="118"/>
      <c r="B259" s="53" t="s">
        <v>898</v>
      </c>
      <c r="C259" s="628" t="s">
        <v>900</v>
      </c>
      <c r="D259" s="629"/>
      <c r="E259" s="629"/>
      <c r="F259" s="160">
        <v>0</v>
      </c>
      <c r="G259" s="342">
        <v>0</v>
      </c>
      <c r="H259" s="312">
        <v>0</v>
      </c>
      <c r="I259" s="510">
        <v>0</v>
      </c>
      <c r="J259" s="239">
        <f>J260+J261</f>
        <v>0</v>
      </c>
      <c r="K259" s="148">
        <f t="shared" ref="K259:AA259" si="65">K260+K261</f>
        <v>0</v>
      </c>
      <c r="L259" s="160">
        <f t="shared" si="55"/>
        <v>0</v>
      </c>
      <c r="M259" s="74">
        <f>M260+M261</f>
        <v>0</v>
      </c>
      <c r="N259" s="13">
        <f>N260+N261</f>
        <v>0</v>
      </c>
      <c r="O259" s="13">
        <f>O260+O261</f>
        <v>0</v>
      </c>
      <c r="P259" s="74">
        <f t="shared" si="65"/>
        <v>0</v>
      </c>
      <c r="Q259" s="13">
        <f t="shared" si="65"/>
        <v>0</v>
      </c>
      <c r="R259" s="79">
        <f t="shared" si="65"/>
        <v>0</v>
      </c>
      <c r="S259" s="79">
        <f t="shared" si="65"/>
        <v>0</v>
      </c>
      <c r="T259" s="13">
        <f t="shared" si="65"/>
        <v>0</v>
      </c>
      <c r="U259" s="79">
        <f t="shared" si="65"/>
        <v>0</v>
      </c>
      <c r="V259" s="79">
        <f t="shared" si="65"/>
        <v>0</v>
      </c>
      <c r="W259" s="561">
        <f t="shared" si="65"/>
        <v>0</v>
      </c>
      <c r="X259" s="397">
        <f t="shared" si="65"/>
        <v>0</v>
      </c>
      <c r="Y259" s="79">
        <f t="shared" si="65"/>
        <v>0</v>
      </c>
      <c r="Z259" s="79">
        <f t="shared" si="65"/>
        <v>0</v>
      </c>
      <c r="AA259" s="45">
        <f t="shared" si="65"/>
        <v>0</v>
      </c>
    </row>
    <row r="260" spans="1:27" s="199" customFormat="1" ht="15" hidden="1" customHeight="1" x14ac:dyDescent="0.25">
      <c r="A260" s="118" t="s">
        <v>902</v>
      </c>
      <c r="B260" s="181" t="s">
        <v>901</v>
      </c>
      <c r="C260" s="190"/>
      <c r="D260" s="630" t="s">
        <v>905</v>
      </c>
      <c r="E260" s="630"/>
      <c r="F260" s="183">
        <v>0</v>
      </c>
      <c r="G260" s="340">
        <v>0</v>
      </c>
      <c r="H260" s="310">
        <v>0</v>
      </c>
      <c r="I260" s="508">
        <v>0</v>
      </c>
      <c r="J260" s="251">
        <f>SUM(P260:AA260)</f>
        <v>0</v>
      </c>
      <c r="K260" s="182"/>
      <c r="L260" s="183">
        <f t="shared" si="55"/>
        <v>0</v>
      </c>
      <c r="M260" s="191"/>
      <c r="N260" s="185"/>
      <c r="O260" s="185"/>
      <c r="P260" s="191"/>
      <c r="Q260" s="185"/>
      <c r="R260" s="186"/>
      <c r="S260" s="186"/>
      <c r="T260" s="185"/>
      <c r="U260" s="186"/>
      <c r="V260" s="186"/>
      <c r="W260" s="560"/>
      <c r="X260" s="396"/>
      <c r="Y260" s="186"/>
      <c r="Z260" s="186"/>
      <c r="AA260" s="187"/>
    </row>
    <row r="261" spans="1:27" s="199" customFormat="1" ht="15" hidden="1" customHeight="1" x14ac:dyDescent="0.25">
      <c r="A261" s="118" t="s">
        <v>903</v>
      </c>
      <c r="B261" s="181" t="s">
        <v>904</v>
      </c>
      <c r="C261" s="190"/>
      <c r="D261" s="630" t="s">
        <v>906</v>
      </c>
      <c r="E261" s="630"/>
      <c r="F261" s="183">
        <v>0</v>
      </c>
      <c r="G261" s="340">
        <v>0</v>
      </c>
      <c r="H261" s="310">
        <v>0</v>
      </c>
      <c r="I261" s="508">
        <v>0</v>
      </c>
      <c r="J261" s="251">
        <f>SUM(P261:AA261)</f>
        <v>0</v>
      </c>
      <c r="K261" s="182"/>
      <c r="L261" s="183">
        <f t="shared" si="55"/>
        <v>0</v>
      </c>
      <c r="M261" s="191"/>
      <c r="N261" s="185"/>
      <c r="O261" s="185"/>
      <c r="P261" s="191"/>
      <c r="Q261" s="185"/>
      <c r="R261" s="186"/>
      <c r="S261" s="186"/>
      <c r="T261" s="185"/>
      <c r="U261" s="186"/>
      <c r="V261" s="186"/>
      <c r="W261" s="560"/>
      <c r="X261" s="396"/>
      <c r="Y261" s="186"/>
      <c r="Z261" s="186"/>
      <c r="AA261" s="187"/>
    </row>
    <row r="262" spans="1:27" ht="15" hidden="1" customHeight="1" x14ac:dyDescent="0.25">
      <c r="B262" s="88" t="s">
        <v>708</v>
      </c>
      <c r="C262" s="626" t="s">
        <v>304</v>
      </c>
      <c r="D262" s="627"/>
      <c r="E262" s="627"/>
      <c r="F262" s="158">
        <v>0</v>
      </c>
      <c r="G262" s="341">
        <v>0</v>
      </c>
      <c r="H262" s="311">
        <v>0</v>
      </c>
      <c r="I262" s="509">
        <v>0</v>
      </c>
      <c r="J262" s="233">
        <f>J263+J264+J265+J266+J267</f>
        <v>0</v>
      </c>
      <c r="K262" s="142">
        <f t="shared" ref="K262:AA262" si="66">K263+K264+K265+K266+K267</f>
        <v>0</v>
      </c>
      <c r="L262" s="158">
        <f t="shared" si="55"/>
        <v>0</v>
      </c>
      <c r="M262" s="90">
        <f>M263+M264+M265+M266+M267</f>
        <v>0</v>
      </c>
      <c r="N262" s="91">
        <f>N263+N264+N265+N266+N267</f>
        <v>0</v>
      </c>
      <c r="O262" s="91">
        <f>O263+O264+O265+O266+O267</f>
        <v>0</v>
      </c>
      <c r="P262" s="90">
        <f t="shared" si="66"/>
        <v>0</v>
      </c>
      <c r="Q262" s="91">
        <f t="shared" si="66"/>
        <v>0</v>
      </c>
      <c r="R262" s="94">
        <f t="shared" si="66"/>
        <v>0</v>
      </c>
      <c r="S262" s="94">
        <f t="shared" si="66"/>
        <v>0</v>
      </c>
      <c r="T262" s="91">
        <f t="shared" si="66"/>
        <v>0</v>
      </c>
      <c r="U262" s="94">
        <f t="shared" si="66"/>
        <v>0</v>
      </c>
      <c r="V262" s="94">
        <f t="shared" si="66"/>
        <v>0</v>
      </c>
      <c r="W262" s="556">
        <f t="shared" si="66"/>
        <v>0</v>
      </c>
      <c r="X262" s="393">
        <f t="shared" si="66"/>
        <v>0</v>
      </c>
      <c r="Y262" s="94">
        <f t="shared" si="66"/>
        <v>0</v>
      </c>
      <c r="Z262" s="94">
        <f t="shared" si="66"/>
        <v>0</v>
      </c>
      <c r="AA262" s="95">
        <f t="shared" si="66"/>
        <v>0</v>
      </c>
    </row>
    <row r="263" spans="1:27" s="41" customFormat="1" ht="15" hidden="1" customHeight="1" x14ac:dyDescent="0.25">
      <c r="A263" s="118" t="s">
        <v>305</v>
      </c>
      <c r="B263" s="188" t="s">
        <v>709</v>
      </c>
      <c r="C263" s="706" t="s">
        <v>385</v>
      </c>
      <c r="D263" s="707"/>
      <c r="E263" s="707"/>
      <c r="F263" s="201">
        <v>0</v>
      </c>
      <c r="G263" s="347">
        <v>0</v>
      </c>
      <c r="H263" s="319">
        <v>0</v>
      </c>
      <c r="I263" s="511">
        <v>0</v>
      </c>
      <c r="J263" s="252">
        <f t="shared" ref="J263:J269" si="67">SUM(P263:AA263)</f>
        <v>0</v>
      </c>
      <c r="K263" s="189"/>
      <c r="L263" s="201">
        <f t="shared" si="55"/>
        <v>0</v>
      </c>
      <c r="M263" s="202"/>
      <c r="N263" s="203"/>
      <c r="O263" s="203"/>
      <c r="P263" s="202"/>
      <c r="Q263" s="203"/>
      <c r="R263" s="206"/>
      <c r="S263" s="206"/>
      <c r="T263" s="203"/>
      <c r="U263" s="206"/>
      <c r="V263" s="206"/>
      <c r="W263" s="563"/>
      <c r="X263" s="399"/>
      <c r="Y263" s="206"/>
      <c r="Z263" s="206"/>
      <c r="AA263" s="204"/>
    </row>
    <row r="264" spans="1:27" s="41" customFormat="1" ht="15" hidden="1" customHeight="1" x14ac:dyDescent="0.25">
      <c r="A264" s="118" t="s">
        <v>306</v>
      </c>
      <c r="B264" s="188" t="s">
        <v>710</v>
      </c>
      <c r="C264" s="706" t="s">
        <v>386</v>
      </c>
      <c r="D264" s="707"/>
      <c r="E264" s="707"/>
      <c r="F264" s="201">
        <v>0</v>
      </c>
      <c r="G264" s="347">
        <v>0</v>
      </c>
      <c r="H264" s="319">
        <v>0</v>
      </c>
      <c r="I264" s="511">
        <v>0</v>
      </c>
      <c r="J264" s="252">
        <f t="shared" si="67"/>
        <v>0</v>
      </c>
      <c r="K264" s="189"/>
      <c r="L264" s="201">
        <f t="shared" si="55"/>
        <v>0</v>
      </c>
      <c r="M264" s="202"/>
      <c r="N264" s="203"/>
      <c r="O264" s="203"/>
      <c r="P264" s="202"/>
      <c r="Q264" s="203"/>
      <c r="R264" s="206"/>
      <c r="S264" s="206"/>
      <c r="T264" s="203"/>
      <c r="U264" s="206"/>
      <c r="V264" s="206"/>
      <c r="W264" s="563"/>
      <c r="X264" s="399"/>
      <c r="Y264" s="206"/>
      <c r="Z264" s="206"/>
      <c r="AA264" s="204"/>
    </row>
    <row r="265" spans="1:27" s="41" customFormat="1" ht="15" hidden="1" customHeight="1" x14ac:dyDescent="0.25">
      <c r="A265" s="118" t="s">
        <v>307</v>
      </c>
      <c r="B265" s="188" t="s">
        <v>711</v>
      </c>
      <c r="C265" s="706" t="s">
        <v>308</v>
      </c>
      <c r="D265" s="707"/>
      <c r="E265" s="707"/>
      <c r="F265" s="201">
        <v>0</v>
      </c>
      <c r="G265" s="347">
        <v>0</v>
      </c>
      <c r="H265" s="319">
        <v>0</v>
      </c>
      <c r="I265" s="511">
        <v>0</v>
      </c>
      <c r="J265" s="252">
        <f t="shared" si="67"/>
        <v>0</v>
      </c>
      <c r="K265" s="189"/>
      <c r="L265" s="201">
        <f t="shared" si="55"/>
        <v>0</v>
      </c>
      <c r="M265" s="202"/>
      <c r="N265" s="203"/>
      <c r="O265" s="203"/>
      <c r="P265" s="202"/>
      <c r="Q265" s="203"/>
      <c r="R265" s="206"/>
      <c r="S265" s="206"/>
      <c r="T265" s="203"/>
      <c r="U265" s="206"/>
      <c r="V265" s="206"/>
      <c r="W265" s="563"/>
      <c r="X265" s="399"/>
      <c r="Y265" s="206"/>
      <c r="Z265" s="206"/>
      <c r="AA265" s="204"/>
    </row>
    <row r="266" spans="1:27" s="41" customFormat="1" ht="15" hidden="1" customHeight="1" x14ac:dyDescent="0.25">
      <c r="A266" s="118" t="s">
        <v>309</v>
      </c>
      <c r="B266" s="188" t="s">
        <v>712</v>
      </c>
      <c r="C266" s="706" t="s">
        <v>310</v>
      </c>
      <c r="D266" s="707"/>
      <c r="E266" s="707"/>
      <c r="F266" s="201">
        <v>0</v>
      </c>
      <c r="G266" s="347">
        <v>0</v>
      </c>
      <c r="H266" s="319">
        <v>0</v>
      </c>
      <c r="I266" s="511">
        <v>0</v>
      </c>
      <c r="J266" s="252">
        <f t="shared" si="67"/>
        <v>0</v>
      </c>
      <c r="K266" s="189"/>
      <c r="L266" s="201">
        <f t="shared" si="55"/>
        <v>0</v>
      </c>
      <c r="M266" s="202"/>
      <c r="N266" s="203"/>
      <c r="O266" s="203"/>
      <c r="P266" s="202"/>
      <c r="Q266" s="203"/>
      <c r="R266" s="206"/>
      <c r="S266" s="206"/>
      <c r="T266" s="203"/>
      <c r="U266" s="206"/>
      <c r="V266" s="206"/>
      <c r="W266" s="563"/>
      <c r="X266" s="399"/>
      <c r="Y266" s="206"/>
      <c r="Z266" s="206"/>
      <c r="AA266" s="204"/>
    </row>
    <row r="267" spans="1:27" s="41" customFormat="1" ht="15" hidden="1" customHeight="1" x14ac:dyDescent="0.25">
      <c r="A267" s="118" t="s">
        <v>311</v>
      </c>
      <c r="B267" s="188" t="s">
        <v>713</v>
      </c>
      <c r="C267" s="706" t="s">
        <v>387</v>
      </c>
      <c r="D267" s="707"/>
      <c r="E267" s="707"/>
      <c r="F267" s="201">
        <v>0</v>
      </c>
      <c r="G267" s="347">
        <v>0</v>
      </c>
      <c r="H267" s="319">
        <v>0</v>
      </c>
      <c r="I267" s="511">
        <v>0</v>
      </c>
      <c r="J267" s="252">
        <f t="shared" si="67"/>
        <v>0</v>
      </c>
      <c r="K267" s="189"/>
      <c r="L267" s="201">
        <f t="shared" si="55"/>
        <v>0</v>
      </c>
      <c r="M267" s="202"/>
      <c r="N267" s="203"/>
      <c r="O267" s="203"/>
      <c r="P267" s="202"/>
      <c r="Q267" s="203"/>
      <c r="R267" s="206"/>
      <c r="S267" s="206"/>
      <c r="T267" s="203"/>
      <c r="U267" s="206"/>
      <c r="V267" s="206"/>
      <c r="W267" s="563"/>
      <c r="X267" s="399"/>
      <c r="Y267" s="206"/>
      <c r="Z267" s="206"/>
      <c r="AA267" s="204"/>
    </row>
    <row r="268" spans="1:27" ht="15" hidden="1" customHeight="1" x14ac:dyDescent="0.25">
      <c r="A268" s="118" t="s">
        <v>313</v>
      </c>
      <c r="B268" s="88" t="s">
        <v>714</v>
      </c>
      <c r="C268" s="626" t="s">
        <v>312</v>
      </c>
      <c r="D268" s="627"/>
      <c r="E268" s="627"/>
      <c r="F268" s="158">
        <v>0</v>
      </c>
      <c r="G268" s="341">
        <v>0</v>
      </c>
      <c r="H268" s="311">
        <v>0</v>
      </c>
      <c r="I268" s="509">
        <v>0</v>
      </c>
      <c r="J268" s="233">
        <f t="shared" si="67"/>
        <v>0</v>
      </c>
      <c r="K268" s="142"/>
      <c r="L268" s="158">
        <f t="shared" si="55"/>
        <v>0</v>
      </c>
      <c r="M268" s="90"/>
      <c r="N268" s="91"/>
      <c r="O268" s="91"/>
      <c r="P268" s="90"/>
      <c r="Q268" s="91"/>
      <c r="R268" s="94"/>
      <c r="S268" s="94"/>
      <c r="T268" s="91"/>
      <c r="U268" s="94"/>
      <c r="V268" s="94"/>
      <c r="W268" s="556"/>
      <c r="X268" s="393"/>
      <c r="Y268" s="94"/>
      <c r="Z268" s="94"/>
      <c r="AA268" s="95"/>
    </row>
    <row r="269" spans="1:27" ht="15.75" hidden="1" customHeight="1" thickBot="1" x14ac:dyDescent="0.3">
      <c r="A269" s="118" t="s">
        <v>907</v>
      </c>
      <c r="B269" s="88" t="s">
        <v>908</v>
      </c>
      <c r="C269" s="626" t="s">
        <v>909</v>
      </c>
      <c r="D269" s="627"/>
      <c r="E269" s="627"/>
      <c r="F269" s="158">
        <v>0</v>
      </c>
      <c r="G269" s="341">
        <v>0</v>
      </c>
      <c r="H269" s="311">
        <v>0</v>
      </c>
      <c r="I269" s="509">
        <v>0</v>
      </c>
      <c r="J269" s="233">
        <f t="shared" si="67"/>
        <v>0</v>
      </c>
      <c r="K269" s="142"/>
      <c r="L269" s="158">
        <f t="shared" si="55"/>
        <v>0</v>
      </c>
      <c r="M269" s="90"/>
      <c r="N269" s="91"/>
      <c r="O269" s="91"/>
      <c r="P269" s="90"/>
      <c r="Q269" s="91"/>
      <c r="R269" s="94"/>
      <c r="S269" s="94"/>
      <c r="T269" s="91"/>
      <c r="U269" s="94"/>
      <c r="V269" s="94"/>
      <c r="W269" s="556"/>
      <c r="X269" s="393"/>
      <c r="Y269" s="94"/>
      <c r="Z269" s="94"/>
      <c r="AA269" s="95"/>
    </row>
    <row r="270" spans="1:27" ht="15.75" thickBot="1" x14ac:dyDescent="0.3">
      <c r="B270" s="722" t="s">
        <v>314</v>
      </c>
      <c r="C270" s="723"/>
      <c r="D270" s="723"/>
      <c r="E270" s="723"/>
      <c r="F270" s="156">
        <v>3728682.12</v>
      </c>
      <c r="G270" s="338">
        <v>3728682.12</v>
      </c>
      <c r="H270" s="308">
        <v>3720098.34</v>
      </c>
      <c r="I270" s="506">
        <v>3719987.34</v>
      </c>
      <c r="J270" s="230">
        <f>J5+J24+J32+J74+J90+J162+J172+J177+J240</f>
        <v>3845586.34</v>
      </c>
      <c r="K270" s="139">
        <f>K5+K24+K32+K74+K90+K162+K172+K177+K240</f>
        <v>0</v>
      </c>
      <c r="L270" s="156">
        <f t="shared" si="55"/>
        <v>3845586.34</v>
      </c>
      <c r="M270" s="82">
        <f t="shared" ref="M270:AA270" si="68">M5+M24+M32+M74+M90+M162+M172+M177+M240</f>
        <v>374156.12</v>
      </c>
      <c r="N270" s="83">
        <f t="shared" si="68"/>
        <v>937170</v>
      </c>
      <c r="O270" s="83">
        <f t="shared" si="68"/>
        <v>2534260.2199999997</v>
      </c>
      <c r="P270" s="82">
        <f t="shared" si="68"/>
        <v>234299.72</v>
      </c>
      <c r="Q270" s="83">
        <f t="shared" si="68"/>
        <v>200488.5</v>
      </c>
      <c r="R270" s="86">
        <f t="shared" si="68"/>
        <v>219796.62</v>
      </c>
      <c r="S270" s="86">
        <f t="shared" si="68"/>
        <v>360443.5</v>
      </c>
      <c r="T270" s="83">
        <f t="shared" si="68"/>
        <v>235067.5</v>
      </c>
      <c r="U270" s="86">
        <f t="shared" si="68"/>
        <v>489421.5</v>
      </c>
      <c r="V270" s="86">
        <f t="shared" si="68"/>
        <v>251352.5</v>
      </c>
      <c r="W270" s="87">
        <f t="shared" si="68"/>
        <v>254342</v>
      </c>
      <c r="X270" s="338">
        <f t="shared" si="68"/>
        <v>335040.5</v>
      </c>
      <c r="Y270" s="86">
        <f t="shared" si="68"/>
        <v>422321.5</v>
      </c>
      <c r="Z270" s="86">
        <f t="shared" si="68"/>
        <v>405191.5</v>
      </c>
      <c r="AA270" s="87">
        <f t="shared" si="68"/>
        <v>437821</v>
      </c>
    </row>
    <row r="271" spans="1:27" x14ac:dyDescent="0.25">
      <c r="B271" s="22"/>
      <c r="C271" s="23"/>
      <c r="D271" s="23"/>
      <c r="E271" s="24"/>
      <c r="F271" s="24"/>
      <c r="G271" s="24"/>
      <c r="H271" s="24"/>
      <c r="I271" s="24"/>
      <c r="J271" s="24"/>
      <c r="K271" s="24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5"/>
      <c r="C272" s="26"/>
      <c r="D272" s="26"/>
      <c r="E272" s="24"/>
      <c r="F272" s="24"/>
      <c r="G272" s="24"/>
      <c r="H272" s="24"/>
      <c r="I272" s="24"/>
      <c r="J272" s="24"/>
      <c r="K272" s="24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F279" s="24"/>
      <c r="G279" s="24"/>
      <c r="H279" s="24"/>
      <c r="I279" s="24"/>
      <c r="J279" s="24"/>
      <c r="K279" s="24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8"/>
      <c r="D280" s="28"/>
      <c r="E280" s="24"/>
      <c r="F280" s="24"/>
      <c r="G280" s="24"/>
      <c r="H280" s="24"/>
      <c r="I280" s="24"/>
      <c r="J280" s="24"/>
      <c r="K280" s="24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0"/>
      <c r="B303" s="27"/>
      <c r="C303" s="28"/>
      <c r="D303" s="28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28"/>
      <c r="K304" s="2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28"/>
      <c r="K305" s="2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28"/>
      <c r="K306" s="2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0"/>
      <c r="B314" s="29"/>
      <c r="C314" s="23"/>
      <c r="D314" s="23"/>
      <c r="E314" s="24"/>
      <c r="F314" s="24"/>
      <c r="G314" s="24"/>
      <c r="H314" s="24"/>
      <c r="I314" s="24"/>
      <c r="J314" s="24"/>
      <c r="K314" s="24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0"/>
      <c r="B315" s="27"/>
      <c r="C315" s="28"/>
      <c r="D315" s="28"/>
      <c r="E315" s="24"/>
      <c r="F315" s="24"/>
      <c r="G315" s="24"/>
      <c r="H315" s="24"/>
      <c r="I315" s="24"/>
      <c r="J315" s="24"/>
      <c r="K315" s="24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0"/>
      <c r="B316" s="27"/>
      <c r="C316" s="28"/>
      <c r="D316" s="28"/>
      <c r="E316" s="24"/>
      <c r="F316" s="24"/>
      <c r="G316" s="24"/>
      <c r="H316" s="24"/>
      <c r="I316" s="24"/>
      <c r="J316" s="24"/>
      <c r="K316" s="24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  <c r="L321" s="5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0"/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5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0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5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0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5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0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5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0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5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0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5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0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5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0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5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0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5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25">
      <c r="A331" s="120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5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x14ac:dyDescent="0.25">
      <c r="A332" s="120"/>
      <c r="B332" s="27"/>
      <c r="C332" s="24"/>
      <c r="D332" s="24"/>
      <c r="E332" s="28"/>
      <c r="F332" s="28"/>
      <c r="G332" s="28"/>
      <c r="H332" s="28"/>
      <c r="I332" s="28"/>
      <c r="J332" s="28"/>
      <c r="K332" s="28"/>
    </row>
    <row r="333" spans="1:27" x14ac:dyDescent="0.25"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18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7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7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7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7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7" s="12" customFormat="1" x14ac:dyDescent="0.25">
      <c r="A339" s="121"/>
      <c r="B339" s="27"/>
      <c r="C339" s="28"/>
      <c r="D339" s="28"/>
      <c r="E339" s="24"/>
      <c r="F339" s="24"/>
      <c r="G339" s="24"/>
      <c r="H339" s="24"/>
      <c r="I339" s="24"/>
      <c r="J339" s="24"/>
      <c r="K339" s="24"/>
      <c r="L339" s="49"/>
    </row>
    <row r="340" spans="1:27" s="12" customFormat="1" x14ac:dyDescent="0.25">
      <c r="A340" s="121"/>
      <c r="B340" s="27"/>
      <c r="C340" s="24"/>
      <c r="D340" s="24"/>
      <c r="E340" s="28"/>
      <c r="F340" s="28"/>
      <c r="G340" s="28"/>
      <c r="H340" s="28"/>
      <c r="I340" s="28"/>
      <c r="J340" s="28"/>
      <c r="K340" s="28"/>
      <c r="L340" s="49"/>
    </row>
    <row r="341" spans="1:27" s="12" customFormat="1" x14ac:dyDescent="0.25">
      <c r="A341" s="121"/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L341" s="49"/>
    </row>
    <row r="342" spans="1:27" s="12" customFormat="1" x14ac:dyDescent="0.25">
      <c r="A342" s="121"/>
      <c r="B342" s="27"/>
      <c r="C342" s="24"/>
      <c r="D342" s="24"/>
      <c r="E342" s="28"/>
      <c r="F342" s="28"/>
      <c r="G342" s="28"/>
      <c r="H342" s="28"/>
      <c r="I342" s="28"/>
      <c r="J342" s="28"/>
      <c r="K342" s="28"/>
      <c r="L342" s="49"/>
    </row>
    <row r="343" spans="1:27" s="12" customFormat="1" x14ac:dyDescent="0.25">
      <c r="A343" s="121"/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L343" s="49"/>
    </row>
    <row r="344" spans="1:27" s="12" customFormat="1" x14ac:dyDescent="0.25">
      <c r="A344" s="121"/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L344" s="49"/>
    </row>
    <row r="345" spans="1:27" s="12" customFormat="1" x14ac:dyDescent="0.25">
      <c r="A345" s="121"/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L345" s="49"/>
    </row>
    <row r="346" spans="1:27" s="12" customFormat="1" x14ac:dyDescent="0.25">
      <c r="A346" s="121"/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L346" s="49"/>
    </row>
    <row r="347" spans="1:27" s="12" customFormat="1" x14ac:dyDescent="0.25">
      <c r="A347" s="121"/>
      <c r="B347" s="27"/>
      <c r="C347" s="24"/>
      <c r="D347" s="24"/>
      <c r="E347" s="28"/>
      <c r="F347" s="28"/>
      <c r="G347" s="28"/>
      <c r="H347" s="28"/>
      <c r="I347" s="28"/>
      <c r="J347" s="28"/>
      <c r="K347" s="28"/>
      <c r="L347" s="49"/>
    </row>
    <row r="348" spans="1:27" s="12" customFormat="1" x14ac:dyDescent="0.25">
      <c r="A348" s="121"/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49"/>
    </row>
    <row r="349" spans="1:27" s="12" customFormat="1" x14ac:dyDescent="0.25">
      <c r="A349" s="121"/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49"/>
    </row>
    <row r="350" spans="1:27" x14ac:dyDescent="0.25">
      <c r="B350" s="29"/>
      <c r="C350" s="23"/>
      <c r="D350" s="23"/>
      <c r="E350" s="28"/>
      <c r="F350" s="28"/>
      <c r="G350" s="28"/>
      <c r="H350" s="28"/>
      <c r="I350" s="28"/>
      <c r="J350" s="28"/>
      <c r="K350" s="28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30"/>
      <c r="C351" s="26"/>
      <c r="D351" s="26"/>
      <c r="E351" s="24"/>
      <c r="F351" s="24"/>
      <c r="G351" s="24"/>
      <c r="H351" s="24"/>
      <c r="I351" s="24"/>
      <c r="J351" s="24"/>
      <c r="K351" s="24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8"/>
      <c r="D353" s="28"/>
      <c r="E353" s="24"/>
      <c r="F353" s="24"/>
      <c r="G353" s="24"/>
      <c r="H353" s="24"/>
      <c r="I353" s="24"/>
      <c r="J353" s="24"/>
      <c r="K353" s="24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28"/>
      <c r="G355" s="28"/>
      <c r="H355" s="28"/>
      <c r="I355" s="28"/>
      <c r="J355" s="28"/>
      <c r="K355" s="28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5"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x14ac:dyDescent="0.25">
      <c r="B358" s="27"/>
      <c r="C358" s="28"/>
      <c r="D358" s="28"/>
      <c r="E358" s="24"/>
      <c r="F358" s="24"/>
      <c r="G358" s="24"/>
      <c r="H358" s="24"/>
      <c r="I358" s="24"/>
      <c r="J358" s="24"/>
      <c r="K358" s="24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8"/>
      <c r="D361" s="28"/>
      <c r="E361" s="24"/>
      <c r="F361" s="24"/>
      <c r="G361" s="24"/>
      <c r="H361" s="24"/>
      <c r="I361" s="24"/>
      <c r="J361" s="24"/>
      <c r="K361" s="24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8"/>
      <c r="D362" s="28"/>
      <c r="E362" s="24"/>
      <c r="F362" s="24"/>
      <c r="G362" s="24"/>
      <c r="H362" s="24"/>
      <c r="I362" s="24"/>
      <c r="J362" s="24"/>
      <c r="K362" s="24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0"/>
      <c r="B366" s="27"/>
      <c r="C366" s="28"/>
      <c r="D366" s="28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28"/>
      <c r="K367" s="2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0"/>
      <c r="B368" s="27"/>
      <c r="C368" s="24"/>
      <c r="D368" s="24"/>
      <c r="E368" s="28"/>
      <c r="F368" s="28"/>
      <c r="G368" s="28"/>
      <c r="H368" s="28"/>
      <c r="I368" s="28"/>
      <c r="J368" s="28"/>
      <c r="K368" s="2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28"/>
      <c r="K372" s="2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28"/>
      <c r="K375" s="2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0"/>
      <c r="B377" s="29"/>
      <c r="C377" s="23"/>
      <c r="D377" s="23"/>
      <c r="E377" s="24"/>
      <c r="F377" s="24"/>
      <c r="G377" s="24"/>
      <c r="H377" s="24"/>
      <c r="I377" s="24"/>
      <c r="J377" s="24"/>
      <c r="K377" s="24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0"/>
      <c r="B378" s="27"/>
      <c r="C378" s="28"/>
      <c r="D378" s="28"/>
      <c r="E378" s="24"/>
      <c r="F378" s="24"/>
      <c r="G378" s="24"/>
      <c r="H378" s="24"/>
      <c r="I378" s="24"/>
      <c r="J378" s="24"/>
      <c r="K378" s="24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24"/>
      <c r="K379" s="24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28"/>
      <c r="K384" s="2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28"/>
      <c r="K385" s="2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28"/>
      <c r="K391" s="2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24"/>
      <c r="K394" s="24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0"/>
      <c r="B395" s="27"/>
      <c r="C395" s="28"/>
      <c r="D395" s="28"/>
      <c r="E395" s="24"/>
      <c r="F395" s="24"/>
      <c r="G395" s="24"/>
      <c r="H395" s="24"/>
      <c r="I395" s="24"/>
      <c r="J395" s="24"/>
      <c r="K395" s="24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0"/>
      <c r="B396" s="27"/>
      <c r="C396" s="28"/>
      <c r="D396" s="28"/>
      <c r="E396" s="24"/>
      <c r="F396" s="24"/>
      <c r="G396" s="24"/>
      <c r="H396" s="24"/>
      <c r="I396" s="24"/>
      <c r="J396" s="24"/>
      <c r="K396" s="24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0"/>
      <c r="B398" s="27"/>
      <c r="C398" s="24"/>
      <c r="D398" s="24"/>
      <c r="E398" s="28"/>
      <c r="F398" s="28"/>
      <c r="G398" s="28"/>
      <c r="H398" s="28"/>
      <c r="I398" s="28"/>
      <c r="J398" s="28"/>
      <c r="K398" s="2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0"/>
      <c r="B402" s="27"/>
      <c r="C402" s="28"/>
      <c r="D402" s="28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0"/>
      <c r="B403" s="27"/>
      <c r="C403" s="24"/>
      <c r="D403" s="24"/>
      <c r="E403" s="28"/>
      <c r="F403" s="28"/>
      <c r="G403" s="28"/>
      <c r="H403" s="28"/>
      <c r="I403" s="28"/>
      <c r="J403" s="28"/>
      <c r="K403" s="2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0"/>
      <c r="B404" s="27"/>
      <c r="C404" s="24"/>
      <c r="D404" s="24"/>
      <c r="E404" s="28"/>
      <c r="F404" s="28"/>
      <c r="G404" s="28"/>
      <c r="H404" s="28"/>
      <c r="I404" s="28"/>
      <c r="J404" s="28"/>
      <c r="K404" s="2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0"/>
      <c r="B407" s="27"/>
      <c r="C407" s="24"/>
      <c r="D407" s="24"/>
      <c r="E407" s="28"/>
      <c r="F407" s="28"/>
      <c r="G407" s="28"/>
      <c r="H407" s="28"/>
      <c r="I407" s="28"/>
      <c r="J407" s="28"/>
      <c r="K407" s="2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24"/>
      <c r="K409" s="24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0"/>
      <c r="B411" s="27"/>
      <c r="C411" s="24"/>
      <c r="D411" s="24"/>
      <c r="E411" s="28"/>
      <c r="F411" s="28"/>
      <c r="G411" s="28"/>
      <c r="H411" s="28"/>
      <c r="I411" s="28"/>
      <c r="J411" s="28"/>
      <c r="K411" s="2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0"/>
      <c r="B412" s="27"/>
      <c r="C412" s="24"/>
      <c r="D412" s="24"/>
      <c r="E412" s="28"/>
      <c r="F412" s="28"/>
      <c r="G412" s="28"/>
      <c r="H412" s="28"/>
      <c r="I412" s="28"/>
      <c r="J412" s="28"/>
      <c r="K412" s="2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0"/>
      <c r="B413" s="29"/>
      <c r="C413" s="23"/>
      <c r="D413" s="23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28"/>
      <c r="K416" s="2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0"/>
      <c r="B418" s="27"/>
      <c r="C418" s="28"/>
      <c r="D418" s="28"/>
      <c r="E418" s="24"/>
      <c r="F418" s="24"/>
      <c r="G418" s="24"/>
      <c r="H418" s="24"/>
      <c r="I418" s="24"/>
      <c r="J418" s="24"/>
      <c r="K418" s="24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0"/>
      <c r="B419" s="27"/>
      <c r="C419" s="28"/>
      <c r="D419" s="28"/>
      <c r="E419" s="24"/>
      <c r="F419" s="24"/>
      <c r="G419" s="24"/>
      <c r="H419" s="24"/>
      <c r="I419" s="24"/>
      <c r="J419" s="24"/>
      <c r="K419" s="24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24"/>
      <c r="K422" s="24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0"/>
      <c r="B423" s="29"/>
      <c r="C423" s="23"/>
      <c r="D423" s="23"/>
      <c r="E423" s="24"/>
      <c r="F423" s="24"/>
      <c r="G423" s="24"/>
      <c r="H423" s="24"/>
      <c r="I423" s="24"/>
      <c r="J423" s="24"/>
      <c r="K423" s="24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0"/>
      <c r="B424" s="27"/>
      <c r="C424" s="28"/>
      <c r="D424" s="28"/>
      <c r="E424" s="24"/>
      <c r="F424" s="24"/>
      <c r="G424" s="24"/>
      <c r="H424" s="24"/>
      <c r="I424" s="24"/>
      <c r="J424" s="24"/>
      <c r="K424" s="24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0"/>
      <c r="B425" s="27"/>
      <c r="C425" s="28"/>
      <c r="D425" s="28"/>
      <c r="E425" s="24"/>
      <c r="F425" s="24"/>
      <c r="G425" s="24"/>
      <c r="H425" s="24"/>
      <c r="I425" s="24"/>
      <c r="J425" s="24"/>
      <c r="K425" s="24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0"/>
      <c r="B427" s="27"/>
      <c r="C427" s="28"/>
      <c r="D427" s="28"/>
      <c r="E427" s="24"/>
      <c r="F427" s="24"/>
      <c r="G427" s="24"/>
      <c r="H427" s="24"/>
      <c r="I427" s="24"/>
      <c r="J427" s="24"/>
      <c r="K427" s="24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24"/>
      <c r="K437" s="24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0"/>
      <c r="B438" s="27"/>
      <c r="C438" s="24"/>
      <c r="D438" s="24"/>
      <c r="E438" s="28"/>
      <c r="F438" s="28"/>
      <c r="G438" s="28"/>
      <c r="H438" s="28"/>
      <c r="I438" s="28"/>
      <c r="J438" s="28"/>
      <c r="K438" s="2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28"/>
      <c r="K439" s="2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28"/>
      <c r="K440" s="2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28"/>
      <c r="K441" s="2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28"/>
      <c r="K442" s="2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0"/>
      <c r="B449" s="29"/>
      <c r="C449" s="23"/>
      <c r="D449" s="23"/>
      <c r="E449" s="24"/>
      <c r="F449" s="24"/>
      <c r="G449" s="24"/>
      <c r="H449" s="24"/>
      <c r="I449" s="24"/>
      <c r="J449" s="24"/>
      <c r="K449" s="24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0"/>
      <c r="B450" s="27"/>
      <c r="C450" s="28"/>
      <c r="D450" s="28"/>
      <c r="E450" s="24"/>
      <c r="F450" s="24"/>
      <c r="G450" s="24"/>
      <c r="H450" s="24"/>
      <c r="I450" s="24"/>
      <c r="J450" s="24"/>
      <c r="K450" s="24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0"/>
      <c r="B451" s="27"/>
      <c r="C451" s="28"/>
      <c r="D451" s="28"/>
      <c r="E451" s="24"/>
      <c r="F451" s="24"/>
      <c r="G451" s="24"/>
      <c r="H451" s="24"/>
      <c r="I451" s="24"/>
      <c r="J451" s="24"/>
      <c r="K451" s="24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0"/>
      <c r="B453" s="27"/>
      <c r="C453" s="28"/>
      <c r="D453" s="28"/>
      <c r="E453" s="24"/>
      <c r="F453" s="24"/>
      <c r="G453" s="24"/>
      <c r="H453" s="24"/>
      <c r="I453" s="24"/>
      <c r="J453" s="24"/>
      <c r="K453" s="24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0"/>
      <c r="B463" s="27"/>
      <c r="C463" s="28"/>
      <c r="D463" s="28"/>
      <c r="E463" s="24"/>
      <c r="F463" s="24"/>
      <c r="G463" s="24"/>
      <c r="H463" s="24"/>
      <c r="I463" s="24"/>
      <c r="J463" s="24"/>
      <c r="K463" s="24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0"/>
      <c r="B464" s="27"/>
      <c r="C464" s="24"/>
      <c r="D464" s="24"/>
      <c r="E464" s="28"/>
      <c r="F464" s="28"/>
      <c r="G464" s="28"/>
      <c r="H464" s="28"/>
      <c r="I464" s="28"/>
      <c r="J464" s="28"/>
      <c r="K464" s="2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0"/>
      <c r="B465" s="27"/>
      <c r="C465" s="24"/>
      <c r="D465" s="24"/>
      <c r="E465" s="28"/>
      <c r="F465" s="28"/>
      <c r="G465" s="28"/>
      <c r="H465" s="28"/>
      <c r="I465" s="28"/>
      <c r="J465" s="28"/>
      <c r="K465" s="2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0"/>
      <c r="B466" s="27"/>
      <c r="C466" s="24"/>
      <c r="D466" s="24"/>
      <c r="E466" s="28"/>
      <c r="F466" s="28"/>
      <c r="G466" s="28"/>
      <c r="H466" s="28"/>
      <c r="I466" s="28"/>
      <c r="J466" s="28"/>
      <c r="K466" s="2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0"/>
      <c r="B467" s="27"/>
      <c r="C467" s="24"/>
      <c r="D467" s="24"/>
      <c r="E467" s="28"/>
      <c r="F467" s="28"/>
      <c r="G467" s="28"/>
      <c r="H467" s="28"/>
      <c r="I467" s="28"/>
      <c r="J467" s="28"/>
      <c r="K467" s="2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0"/>
      <c r="B468" s="27"/>
      <c r="C468" s="24"/>
      <c r="D468" s="24"/>
      <c r="E468" s="28"/>
      <c r="F468" s="28"/>
      <c r="G468" s="28"/>
      <c r="H468" s="28"/>
      <c r="I468" s="28"/>
      <c r="J468" s="28"/>
      <c r="K468" s="28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0"/>
      <c r="B469" s="27"/>
      <c r="C469" s="24"/>
      <c r="D469" s="24"/>
      <c r="E469" s="28"/>
      <c r="F469" s="28"/>
      <c r="G469" s="28"/>
      <c r="H469" s="28"/>
      <c r="I469" s="28"/>
      <c r="J469" s="28"/>
      <c r="K469" s="28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0"/>
      <c r="B470" s="27"/>
      <c r="C470" s="24"/>
      <c r="D470" s="24"/>
      <c r="E470" s="28"/>
      <c r="F470" s="28"/>
      <c r="G470" s="28"/>
      <c r="H470" s="28"/>
      <c r="I470" s="28"/>
      <c r="J470" s="28"/>
      <c r="K470" s="28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0"/>
      <c r="B471" s="27"/>
      <c r="C471" s="24"/>
      <c r="D471" s="24"/>
      <c r="E471" s="28"/>
      <c r="F471" s="28"/>
      <c r="G471" s="28"/>
      <c r="H471" s="28"/>
      <c r="I471" s="28"/>
      <c r="J471" s="28"/>
      <c r="K471" s="28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0"/>
      <c r="B472" s="27"/>
      <c r="C472" s="24"/>
      <c r="D472" s="24"/>
      <c r="E472" s="28"/>
      <c r="F472" s="28"/>
      <c r="G472" s="28"/>
      <c r="H472" s="28"/>
      <c r="I472" s="28"/>
      <c r="J472" s="28"/>
      <c r="K472" s="28"/>
      <c r="L472" s="5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0"/>
      <c r="B473" s="27"/>
      <c r="C473" s="24"/>
      <c r="D473" s="24"/>
      <c r="E473" s="28"/>
      <c r="F473" s="28"/>
      <c r="G473" s="28"/>
      <c r="H473" s="28"/>
      <c r="I473" s="28"/>
      <c r="J473" s="28"/>
      <c r="K473" s="28"/>
      <c r="L473" s="5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0"/>
      <c r="B474" s="27"/>
      <c r="C474" s="24"/>
      <c r="D474" s="24"/>
      <c r="E474" s="28"/>
      <c r="F474" s="28"/>
      <c r="G474" s="28"/>
      <c r="H474" s="28"/>
      <c r="I474" s="28"/>
      <c r="J474" s="28"/>
      <c r="K474" s="28"/>
      <c r="L474" s="5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0"/>
      <c r="B475" s="29"/>
      <c r="C475" s="23"/>
      <c r="D475" s="23"/>
      <c r="E475" s="24"/>
      <c r="F475" s="24"/>
      <c r="G475" s="24"/>
      <c r="H475" s="24"/>
      <c r="I475" s="24"/>
      <c r="J475" s="24"/>
      <c r="K475" s="24"/>
      <c r="L475" s="5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0"/>
      <c r="B476" s="32"/>
      <c r="C476" s="33"/>
      <c r="D476" s="33"/>
      <c r="E476" s="24"/>
      <c r="F476" s="24"/>
      <c r="G476" s="24"/>
      <c r="H476" s="24"/>
      <c r="I476" s="24"/>
      <c r="J476" s="24"/>
      <c r="K476" s="24"/>
      <c r="L476" s="5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0"/>
      <c r="B477" s="34"/>
      <c r="C477" s="35"/>
      <c r="D477" s="35"/>
      <c r="E477" s="36"/>
      <c r="F477" s="36"/>
      <c r="G477" s="36"/>
      <c r="H477" s="36"/>
      <c r="I477" s="36"/>
      <c r="J477" s="36"/>
      <c r="K477" s="36"/>
      <c r="L477" s="5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0"/>
      <c r="B478" s="19"/>
      <c r="C478" s="37"/>
      <c r="D478" s="37"/>
      <c r="E478" s="24"/>
      <c r="F478" s="24"/>
      <c r="G478" s="24"/>
      <c r="H478" s="24"/>
      <c r="I478" s="24"/>
      <c r="J478" s="24"/>
      <c r="K478" s="24"/>
      <c r="L478" s="5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  <c r="L479" s="5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  <c r="L480" s="5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0"/>
      <c r="B481" s="34"/>
      <c r="C481" s="35"/>
      <c r="D481" s="35"/>
      <c r="E481" s="36"/>
      <c r="F481" s="36"/>
      <c r="G481" s="36"/>
      <c r="H481" s="36"/>
      <c r="I481" s="36"/>
      <c r="J481" s="36"/>
      <c r="K481" s="36"/>
      <c r="L481" s="5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25">
      <c r="A482" s="120"/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5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x14ac:dyDescent="0.25">
      <c r="A483" s="120"/>
      <c r="B483" s="19"/>
      <c r="C483" s="24"/>
      <c r="D483" s="24"/>
      <c r="E483" s="37"/>
      <c r="F483" s="37"/>
      <c r="G483" s="37"/>
      <c r="H483" s="37"/>
      <c r="I483" s="37"/>
      <c r="J483" s="37"/>
      <c r="K483" s="37"/>
    </row>
    <row r="484" spans="1:27" x14ac:dyDescent="0.25">
      <c r="A484" s="120"/>
      <c r="B484" s="19"/>
      <c r="C484" s="24"/>
      <c r="D484" s="24"/>
      <c r="E484" s="37"/>
      <c r="F484" s="37"/>
      <c r="G484" s="37"/>
      <c r="H484" s="37"/>
      <c r="I484" s="37"/>
      <c r="J484" s="37"/>
      <c r="K484" s="37"/>
    </row>
    <row r="485" spans="1:27" x14ac:dyDescent="0.25">
      <c r="A485" s="120"/>
      <c r="B485" s="19"/>
      <c r="C485" s="24"/>
      <c r="D485" s="24"/>
      <c r="E485" s="37"/>
      <c r="F485" s="37"/>
      <c r="G485" s="37"/>
      <c r="H485" s="37"/>
      <c r="I485" s="37"/>
      <c r="J485" s="37"/>
      <c r="K485" s="37"/>
    </row>
    <row r="486" spans="1:27" x14ac:dyDescent="0.25">
      <c r="A486" s="120"/>
      <c r="B486" s="19"/>
      <c r="C486" s="24"/>
      <c r="D486" s="24"/>
      <c r="E486" s="37"/>
      <c r="F486" s="37"/>
      <c r="G486" s="37"/>
      <c r="H486" s="37"/>
      <c r="I486" s="37"/>
      <c r="J486" s="37"/>
      <c r="K486" s="37"/>
    </row>
    <row r="487" spans="1:27" x14ac:dyDescent="0.25">
      <c r="A487" s="120"/>
      <c r="B487" s="19"/>
      <c r="C487" s="24"/>
      <c r="D487" s="24"/>
      <c r="E487" s="37"/>
      <c r="F487" s="37"/>
      <c r="G487" s="37"/>
      <c r="H487" s="37"/>
      <c r="I487" s="37"/>
      <c r="J487" s="37"/>
      <c r="K487" s="37"/>
    </row>
    <row r="488" spans="1:27" x14ac:dyDescent="0.25">
      <c r="A488" s="120"/>
      <c r="B488" s="19"/>
      <c r="C488" s="24"/>
      <c r="D488" s="24"/>
      <c r="E488" s="37"/>
      <c r="F488" s="37"/>
      <c r="G488" s="37"/>
      <c r="H488" s="37"/>
      <c r="I488" s="37"/>
      <c r="J488" s="37"/>
      <c r="K488" s="37"/>
    </row>
    <row r="489" spans="1:27" x14ac:dyDescent="0.25">
      <c r="A489" s="120"/>
      <c r="B489" s="34"/>
      <c r="C489" s="35"/>
      <c r="D489" s="35"/>
      <c r="E489" s="36"/>
      <c r="F489" s="36"/>
      <c r="G489" s="36"/>
      <c r="H489" s="36"/>
      <c r="I489" s="36"/>
      <c r="J489" s="36"/>
      <c r="K489" s="36"/>
    </row>
    <row r="490" spans="1:27" x14ac:dyDescent="0.25">
      <c r="A490" s="120"/>
      <c r="B490" s="19"/>
      <c r="C490" s="37"/>
      <c r="D490" s="37"/>
      <c r="E490" s="24"/>
      <c r="F490" s="24"/>
      <c r="G490" s="24"/>
      <c r="H490" s="24"/>
      <c r="I490" s="24"/>
      <c r="J490" s="24"/>
      <c r="K490" s="24"/>
    </row>
    <row r="491" spans="1:27" x14ac:dyDescent="0.25">
      <c r="A491" s="120"/>
      <c r="B491" s="19"/>
      <c r="C491" s="37"/>
      <c r="D491" s="37"/>
      <c r="E491" s="24"/>
      <c r="F491" s="24"/>
      <c r="G491" s="24"/>
      <c r="H491" s="24"/>
      <c r="I491" s="24"/>
      <c r="J491" s="24"/>
      <c r="K491" s="24"/>
    </row>
    <row r="492" spans="1:27" x14ac:dyDescent="0.25">
      <c r="A492" s="120"/>
      <c r="B492" s="19"/>
      <c r="C492" s="37"/>
      <c r="D492" s="37"/>
      <c r="E492" s="24"/>
      <c r="F492" s="24"/>
      <c r="G492" s="24"/>
      <c r="H492" s="24"/>
      <c r="I492" s="24"/>
      <c r="J492" s="24"/>
      <c r="K492" s="24"/>
    </row>
    <row r="493" spans="1:27" x14ac:dyDescent="0.25">
      <c r="B493" s="19"/>
      <c r="C493" s="37"/>
      <c r="D493" s="37"/>
      <c r="E493" s="24"/>
      <c r="F493" s="24"/>
      <c r="G493" s="24"/>
      <c r="H493" s="24"/>
      <c r="I493" s="24"/>
      <c r="J493" s="24"/>
      <c r="K493" s="24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s="12" customFormat="1" x14ac:dyDescent="0.25">
      <c r="A494" s="121"/>
      <c r="B494" s="19"/>
      <c r="C494" s="37"/>
      <c r="D494" s="37"/>
      <c r="E494" s="24"/>
      <c r="F494" s="24"/>
      <c r="G494" s="24"/>
      <c r="H494" s="24"/>
      <c r="I494" s="24"/>
      <c r="J494" s="24"/>
      <c r="K494" s="24"/>
      <c r="L494" s="49"/>
    </row>
    <row r="495" spans="1:27" s="12" customFormat="1" x14ac:dyDescent="0.25">
      <c r="A495" s="121"/>
      <c r="B495" s="32"/>
      <c r="C495" s="33"/>
      <c r="D495" s="33"/>
      <c r="E495" s="24"/>
      <c r="F495" s="24"/>
      <c r="G495" s="24"/>
      <c r="H495" s="24"/>
      <c r="I495" s="24"/>
      <c r="J495" s="24"/>
      <c r="K495" s="24"/>
      <c r="L495" s="49"/>
    </row>
    <row r="496" spans="1:27" s="12" customFormat="1" x14ac:dyDescent="0.25">
      <c r="A496" s="121"/>
      <c r="B496" s="19"/>
      <c r="C496" s="37"/>
      <c r="D496" s="37"/>
      <c r="E496" s="24"/>
      <c r="F496" s="24"/>
      <c r="G496" s="24"/>
      <c r="H496" s="24"/>
      <c r="I496" s="24"/>
      <c r="J496" s="24"/>
      <c r="K496" s="24"/>
      <c r="L496" s="49"/>
    </row>
    <row r="497" spans="1:27" s="12" customFormat="1" x14ac:dyDescent="0.25">
      <c r="A497" s="121"/>
      <c r="B497" s="19"/>
      <c r="C497" s="37"/>
      <c r="D497" s="37"/>
      <c r="E497" s="24"/>
      <c r="F497" s="24"/>
      <c r="G497" s="24"/>
      <c r="H497" s="24"/>
      <c r="I497" s="24"/>
      <c r="J497" s="24"/>
      <c r="K497" s="24"/>
      <c r="L497" s="49"/>
    </row>
    <row r="498" spans="1:27" s="12" customFormat="1" x14ac:dyDescent="0.25">
      <c r="A498" s="121"/>
      <c r="B498" s="19"/>
      <c r="C498" s="37"/>
      <c r="D498" s="37"/>
      <c r="E498" s="24"/>
      <c r="F498" s="24"/>
      <c r="G498" s="24"/>
      <c r="H498" s="24"/>
      <c r="I498" s="24"/>
      <c r="J498" s="24"/>
      <c r="K498" s="24"/>
      <c r="L498" s="49"/>
    </row>
    <row r="499" spans="1:27" s="12" customFormat="1" x14ac:dyDescent="0.25">
      <c r="A499" s="121"/>
      <c r="B499" s="19"/>
      <c r="C499" s="37"/>
      <c r="D499" s="37"/>
      <c r="E499" s="24"/>
      <c r="F499" s="24"/>
      <c r="G499" s="24"/>
      <c r="H499" s="24"/>
      <c r="I499" s="24"/>
      <c r="J499" s="24"/>
      <c r="K499" s="24"/>
      <c r="L499" s="49"/>
    </row>
    <row r="500" spans="1:27" s="12" customFormat="1" x14ac:dyDescent="0.25">
      <c r="A500" s="121"/>
      <c r="B500" s="19"/>
      <c r="C500" s="37"/>
      <c r="D500" s="37"/>
      <c r="E500" s="24"/>
      <c r="F500" s="24"/>
      <c r="G500" s="24"/>
      <c r="H500" s="24"/>
      <c r="I500" s="24"/>
      <c r="J500" s="24"/>
      <c r="K500" s="24"/>
      <c r="L500" s="49"/>
    </row>
    <row r="501" spans="1:27" s="12" customFormat="1" x14ac:dyDescent="0.25">
      <c r="A501" s="121"/>
      <c r="B501" s="19"/>
      <c r="C501" s="37"/>
      <c r="D501" s="37"/>
      <c r="E501" s="24"/>
      <c r="F501" s="24"/>
      <c r="G501" s="24"/>
      <c r="H501" s="24"/>
      <c r="I501" s="24"/>
      <c r="J501" s="24"/>
      <c r="K501" s="24"/>
      <c r="L501" s="49"/>
    </row>
    <row r="502" spans="1:27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0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8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0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8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0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8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0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8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0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8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0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8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0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8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0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8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0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8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5">
      <c r="A733" s="120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8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x14ac:dyDescent="0.25">
      <c r="A734" s="120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8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</sheetData>
  <mergeCells count="250">
    <mergeCell ref="B270:E270"/>
    <mergeCell ref="M2:O2"/>
    <mergeCell ref="M3:M4"/>
    <mergeCell ref="N3:N4"/>
    <mergeCell ref="O3:O4"/>
    <mergeCell ref="C264:E264"/>
    <mergeCell ref="C265:E265"/>
    <mergeCell ref="C266:E266"/>
    <mergeCell ref="C267:E267"/>
    <mergeCell ref="C268:E268"/>
    <mergeCell ref="C269:E269"/>
    <mergeCell ref="C258:E258"/>
    <mergeCell ref="C259:E259"/>
    <mergeCell ref="D260:E260"/>
    <mergeCell ref="D261:E261"/>
    <mergeCell ref="C262:E262"/>
    <mergeCell ref="C263:E263"/>
    <mergeCell ref="D252:E252"/>
    <mergeCell ref="C253:E253"/>
    <mergeCell ref="C254:E254"/>
    <mergeCell ref="C255:E255"/>
    <mergeCell ref="C256:E256"/>
    <mergeCell ref="C257:E257"/>
    <mergeCell ref="C246:E246"/>
    <mergeCell ref="D247:E247"/>
    <mergeCell ref="D248:E248"/>
    <mergeCell ref="D249:E249"/>
    <mergeCell ref="D250:E250"/>
    <mergeCell ref="D251:E251"/>
    <mergeCell ref="C240:E240"/>
    <mergeCell ref="C241:E241"/>
    <mergeCell ref="C242:E242"/>
    <mergeCell ref="D243:E243"/>
    <mergeCell ref="D244:E244"/>
    <mergeCell ref="D245:E245"/>
    <mergeCell ref="D234:E234"/>
    <mergeCell ref="D235:E235"/>
    <mergeCell ref="D236:E236"/>
    <mergeCell ref="D237:E237"/>
    <mergeCell ref="D238:E238"/>
    <mergeCell ref="D239:E239"/>
    <mergeCell ref="C228:E228"/>
    <mergeCell ref="C229:E229"/>
    <mergeCell ref="D230:E230"/>
    <mergeCell ref="D231:E231"/>
    <mergeCell ref="D232:E232"/>
    <mergeCell ref="D233:E233"/>
    <mergeCell ref="D222:E222"/>
    <mergeCell ref="D223:E223"/>
    <mergeCell ref="D224:E224"/>
    <mergeCell ref="D225:E225"/>
    <mergeCell ref="D226:E226"/>
    <mergeCell ref="C227:E227"/>
    <mergeCell ref="D216:E216"/>
    <mergeCell ref="D217:E217"/>
    <mergeCell ref="D218:E218"/>
    <mergeCell ref="D219:E219"/>
    <mergeCell ref="D220:E220"/>
    <mergeCell ref="D221:E221"/>
    <mergeCell ref="D210:E210"/>
    <mergeCell ref="D211:E211"/>
    <mergeCell ref="C212:E212"/>
    <mergeCell ref="D213:E213"/>
    <mergeCell ref="D214:E214"/>
    <mergeCell ref="C215:E215"/>
    <mergeCell ref="D204:E204"/>
    <mergeCell ref="D205:E205"/>
    <mergeCell ref="D206:E206"/>
    <mergeCell ref="D207:E207"/>
    <mergeCell ref="D208:E208"/>
    <mergeCell ref="D209:E209"/>
    <mergeCell ref="D198:E198"/>
    <mergeCell ref="D199:E199"/>
    <mergeCell ref="D200:E200"/>
    <mergeCell ref="C201:E201"/>
    <mergeCell ref="D202:E202"/>
    <mergeCell ref="D203:E203"/>
    <mergeCell ref="D192:E192"/>
    <mergeCell ref="D193:E193"/>
    <mergeCell ref="D194:E194"/>
    <mergeCell ref="D195:E195"/>
    <mergeCell ref="D196:E196"/>
    <mergeCell ref="D197:E197"/>
    <mergeCell ref="D186:E186"/>
    <mergeCell ref="D187:E187"/>
    <mergeCell ref="D188:E188"/>
    <mergeCell ref="D189:E189"/>
    <mergeCell ref="C190:E190"/>
    <mergeCell ref="D191:E191"/>
    <mergeCell ref="D180:E180"/>
    <mergeCell ref="D181:E181"/>
    <mergeCell ref="D182:E182"/>
    <mergeCell ref="D183:E183"/>
    <mergeCell ref="D184:E184"/>
    <mergeCell ref="D185:E185"/>
    <mergeCell ref="C174:E174"/>
    <mergeCell ref="C175:E175"/>
    <mergeCell ref="C176:E176"/>
    <mergeCell ref="C177:E177"/>
    <mergeCell ref="C178:E178"/>
    <mergeCell ref="C179:E179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C161:E161"/>
    <mergeCell ref="C150:E150"/>
    <mergeCell ref="D151:E151"/>
    <mergeCell ref="D152:E152"/>
    <mergeCell ref="D153:E153"/>
    <mergeCell ref="D154:E154"/>
    <mergeCell ref="D155:E155"/>
    <mergeCell ref="D144:E144"/>
    <mergeCell ref="D145:E145"/>
    <mergeCell ref="D146:E146"/>
    <mergeCell ref="C147:E147"/>
    <mergeCell ref="C148:E148"/>
    <mergeCell ref="C149:E149"/>
    <mergeCell ref="D138:E138"/>
    <mergeCell ref="D139:E139"/>
    <mergeCell ref="D140:E140"/>
    <mergeCell ref="D141:E141"/>
    <mergeCell ref="D142:E142"/>
    <mergeCell ref="D143:E143"/>
    <mergeCell ref="C132:E132"/>
    <mergeCell ref="D133:E133"/>
    <mergeCell ref="D134:E134"/>
    <mergeCell ref="C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C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C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3:E93"/>
    <mergeCell ref="C94:E94"/>
    <mergeCell ref="C98:E98"/>
    <mergeCell ref="C99:E99"/>
    <mergeCell ref="D100:E100"/>
    <mergeCell ref="D101:E101"/>
    <mergeCell ref="D87:E87"/>
    <mergeCell ref="D88:E88"/>
    <mergeCell ref="D89:E89"/>
    <mergeCell ref="C90:E90"/>
    <mergeCell ref="C91:E91"/>
    <mergeCell ref="D92:E92"/>
    <mergeCell ref="C81:E81"/>
    <mergeCell ref="D82:E82"/>
    <mergeCell ref="D83:E83"/>
    <mergeCell ref="D84:E84"/>
    <mergeCell ref="C85:E85"/>
    <mergeCell ref="D86:E86"/>
    <mergeCell ref="C75:E75"/>
    <mergeCell ref="C76:E76"/>
    <mergeCell ref="C77:E77"/>
    <mergeCell ref="C78:E78"/>
    <mergeCell ref="C79:E79"/>
    <mergeCell ref="C80:E80"/>
    <mergeCell ref="C64:E64"/>
    <mergeCell ref="C68:E68"/>
    <mergeCell ref="C69:E69"/>
    <mergeCell ref="C70:E70"/>
    <mergeCell ref="C71:E71"/>
    <mergeCell ref="C74:E74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26:E26"/>
    <mergeCell ref="F2:F4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J2:L2"/>
    <mergeCell ref="J3:J4"/>
    <mergeCell ref="K3:K4"/>
    <mergeCell ref="L3:L4"/>
    <mergeCell ref="C24:E24"/>
    <mergeCell ref="C25:E25"/>
    <mergeCell ref="H2:H4"/>
    <mergeCell ref="I2:I4"/>
    <mergeCell ref="X2:AA3"/>
    <mergeCell ref="P2:W3"/>
  </mergeCells>
  <pageMargins left="0.25" right="0.25" top="0.75" bottom="0.75" header="0.3" footer="0.3"/>
  <pageSetup paperSize="9" scale="45" orientation="landscape" horizontalDpi="4294967293" r:id="rId1"/>
  <headerFooter>
    <oddHeader>&amp;C&amp;"Times New Roman,Félkövér"&amp;12KözséggazdálkodásKiadások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19"/>
  <sheetViews>
    <sheetView view="pageLayout" zoomScale="89" zoomScaleNormal="89" zoomScaleSheetLayoutView="100" zoomScalePageLayoutView="89" workbookViewId="0">
      <selection activeCell="L146" sqref="L146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5703125" style="12" customWidth="1"/>
    <col min="10" max="10" width="11.42578125" style="49" customWidth="1"/>
    <col min="11" max="11" width="7.5703125" style="49" customWidth="1"/>
    <col min="12" max="12" width="11.7109375" style="49" customWidth="1"/>
    <col min="13" max="13" width="8.7109375" style="12" customWidth="1"/>
    <col min="14" max="14" width="7.28515625" style="12" customWidth="1"/>
    <col min="15" max="17" width="5.5703125" style="12" bestFit="1" customWidth="1"/>
    <col min="18" max="18" width="11.28515625" style="12" bestFit="1" customWidth="1"/>
    <col min="19" max="19" width="7.7109375" style="12" customWidth="1"/>
    <col min="20" max="22" width="9" style="12" bestFit="1" customWidth="1"/>
    <col min="23" max="23" width="11.8554687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1049</v>
      </c>
      <c r="G2" s="669" t="s">
        <v>1052</v>
      </c>
      <c r="H2" s="669" t="s">
        <v>1054</v>
      </c>
      <c r="I2" s="669" t="s">
        <v>1055</v>
      </c>
      <c r="J2" s="691" t="s">
        <v>1041</v>
      </c>
      <c r="K2" s="683"/>
      <c r="L2" s="684"/>
      <c r="M2" s="661" t="s">
        <v>1053</v>
      </c>
      <c r="N2" s="668"/>
      <c r="O2" s="668"/>
      <c r="P2" s="668"/>
      <c r="Q2" s="668"/>
      <c r="R2" s="668"/>
      <c r="S2" s="668"/>
      <c r="T2" s="669"/>
      <c r="U2" s="668" t="s">
        <v>1045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1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>K6+K20</f>
        <v>0</v>
      </c>
      <c r="L5" s="156">
        <f>SUM(J5:K5)</f>
        <v>0</v>
      </c>
      <c r="M5" s="82">
        <f t="shared" ref="M5:X5" si="0">M6+M20</f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.75" hidden="1" thickBot="1" x14ac:dyDescent="0.3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>K7+K8+K9+K10+K11+K12+K13+K14+K15+K16+K17+K18+K19</f>
        <v>0</v>
      </c>
      <c r="L6" s="157">
        <f t="shared" ref="L6:L69" si="1">SUM(J6:K6)</f>
        <v>0</v>
      </c>
      <c r="M6" s="109">
        <f t="shared" ref="M6:X6" si="2">M7+M8+M9+M10+M11+M12+M13+M14+M15+M16+M17+M18+M19</f>
        <v>0</v>
      </c>
      <c r="N6" s="110">
        <f t="shared" si="2"/>
        <v>0</v>
      </c>
      <c r="O6" s="113">
        <f t="shared" si="2"/>
        <v>0</v>
      </c>
      <c r="P6" s="113">
        <f t="shared" si="2"/>
        <v>0</v>
      </c>
      <c r="Q6" s="110">
        <f t="shared" si="2"/>
        <v>0</v>
      </c>
      <c r="R6" s="113">
        <f t="shared" si="2"/>
        <v>0</v>
      </c>
      <c r="S6" s="113">
        <f t="shared" si="2"/>
        <v>0</v>
      </c>
      <c r="T6" s="114">
        <f t="shared" si="2"/>
        <v>0</v>
      </c>
      <c r="U6" s="339">
        <f t="shared" si="2"/>
        <v>0</v>
      </c>
      <c r="V6" s="113">
        <f t="shared" si="2"/>
        <v>0</v>
      </c>
      <c r="W6" s="113">
        <f t="shared" si="2"/>
        <v>0</v>
      </c>
      <c r="X6" s="114">
        <f t="shared" si="2"/>
        <v>0</v>
      </c>
    </row>
    <row r="7" spans="1:24" s="199" customFormat="1" ht="15.75" hidden="1" thickBot="1" x14ac:dyDescent="0.3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SUM(P7:AA7)</f>
        <v>0</v>
      </c>
      <c r="K7" s="182"/>
      <c r="L7" s="183">
        <f t="shared" si="1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.75" hidden="1" thickBot="1" x14ac:dyDescent="0.3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SUM(P8:AA8)</f>
        <v>0</v>
      </c>
      <c r="K8" s="182"/>
      <c r="L8" s="183">
        <f t="shared" si="1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.75" hidden="1" thickBot="1" x14ac:dyDescent="0.3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1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.75" hidden="1" thickBot="1" x14ac:dyDescent="0.3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1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.75" hidden="1" thickBot="1" x14ac:dyDescent="0.3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1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.75" hidden="1" thickBot="1" x14ac:dyDescent="0.3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1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.75" hidden="1" thickBot="1" x14ac:dyDescent="0.3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1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.75" hidden="1" thickBot="1" x14ac:dyDescent="0.3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1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.75" hidden="1" thickBot="1" x14ac:dyDescent="0.3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1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.75" hidden="1" thickBot="1" x14ac:dyDescent="0.3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1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.75" hidden="1" thickBot="1" x14ac:dyDescent="0.3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1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.75" hidden="1" thickBot="1" x14ac:dyDescent="0.3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1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.75" hidden="1" thickBot="1" x14ac:dyDescent="0.3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1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.75" hidden="1" thickBot="1" x14ac:dyDescent="0.3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>K21+K22+K23</f>
        <v>0</v>
      </c>
      <c r="L20" s="158">
        <f t="shared" si="1"/>
        <v>0</v>
      </c>
      <c r="M20" s="90">
        <f t="shared" ref="M20:X20" si="4">M21+M22+M23</f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.75" hidden="1" thickBot="1" x14ac:dyDescent="0.3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SUM(P21:AA21)</f>
        <v>0</v>
      </c>
      <c r="K21" s="148"/>
      <c r="L21" s="160">
        <f t="shared" si="1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SUM(P22:AA22)</f>
        <v>0</v>
      </c>
      <c r="K22" s="148"/>
      <c r="L22" s="160">
        <f t="shared" si="1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SUM(P23:AA23)</f>
        <v>0</v>
      </c>
      <c r="K23" s="189"/>
      <c r="L23" s="160">
        <f t="shared" si="1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>K25+K26+K27+K28+K29+K30+K31</f>
        <v>0</v>
      </c>
      <c r="L24" s="156">
        <f t="shared" si="1"/>
        <v>0</v>
      </c>
      <c r="M24" s="82">
        <f t="shared" ref="M24:X24" si="5">M25+M26+M27+M28+M29+M30+M31</f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.75" hidden="1" thickBot="1" x14ac:dyDescent="0.3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SUM(P25:AA25)</f>
        <v>0</v>
      </c>
      <c r="K25" s="145"/>
      <c r="L25" s="159">
        <f t="shared" si="1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.75" hidden="1" thickBot="1" x14ac:dyDescent="0.3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1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.75" hidden="1" thickBot="1" x14ac:dyDescent="0.3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1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.75" hidden="1" thickBot="1" x14ac:dyDescent="0.3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1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.75" hidden="1" thickBot="1" x14ac:dyDescent="0.3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1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.75" hidden="1" thickBot="1" x14ac:dyDescent="0.3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1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1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0</v>
      </c>
      <c r="G32" s="338">
        <v>2794</v>
      </c>
      <c r="H32" s="308">
        <v>2794</v>
      </c>
      <c r="I32" s="506">
        <v>2794</v>
      </c>
      <c r="J32" s="235">
        <f>J33+J37+J40+J50+J53</f>
        <v>0</v>
      </c>
      <c r="K32" s="144">
        <f>K33+K37+K40+K50+K53</f>
        <v>0</v>
      </c>
      <c r="L32" s="156">
        <f t="shared" si="1"/>
        <v>0</v>
      </c>
      <c r="M32" s="82">
        <f t="shared" ref="M32:X32" si="7">M33+M37+M40+M50+M53</f>
        <v>0</v>
      </c>
      <c r="N32" s="83">
        <f t="shared" si="7"/>
        <v>0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0</v>
      </c>
      <c r="X32" s="87">
        <f t="shared" si="7"/>
        <v>0</v>
      </c>
    </row>
    <row r="33" spans="1:24" hidden="1" x14ac:dyDescent="0.25">
      <c r="B33" s="115" t="s">
        <v>626</v>
      </c>
      <c r="C33" s="653" t="s">
        <v>163</v>
      </c>
      <c r="D33" s="654"/>
      <c r="E33" s="654"/>
      <c r="F33" s="157">
        <v>0</v>
      </c>
      <c r="G33" s="339">
        <v>0</v>
      </c>
      <c r="H33" s="309">
        <v>0</v>
      </c>
      <c r="I33" s="507">
        <v>0</v>
      </c>
      <c r="J33" s="231">
        <f>J34+J35+J36</f>
        <v>0</v>
      </c>
      <c r="K33" s="140">
        <f>K34+K35+K36</f>
        <v>0</v>
      </c>
      <c r="L33" s="157">
        <f t="shared" si="1"/>
        <v>0</v>
      </c>
      <c r="M33" s="109">
        <f t="shared" ref="M33:X33" si="8">M34+M35+M36</f>
        <v>0</v>
      </c>
      <c r="N33" s="110">
        <f t="shared" si="8"/>
        <v>0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0</v>
      </c>
    </row>
    <row r="34" spans="1:24" s="41" customFormat="1" hidden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SUM(P34:AA34)</f>
        <v>0</v>
      </c>
      <c r="K34" s="148"/>
      <c r="L34" s="160">
        <f t="shared" si="1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45"/>
    </row>
    <row r="35" spans="1:24" s="41" customFormat="1" hidden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0</v>
      </c>
      <c r="G35" s="342">
        <v>0</v>
      </c>
      <c r="H35" s="312">
        <v>0</v>
      </c>
      <c r="I35" s="510">
        <v>0</v>
      </c>
      <c r="J35" s="239">
        <f>SUM(P35:AA35)</f>
        <v>0</v>
      </c>
      <c r="K35" s="148"/>
      <c r="L35" s="160">
        <f t="shared" si="1"/>
        <v>0</v>
      </c>
      <c r="M35" s="74"/>
      <c r="N35" s="13"/>
      <c r="O35" s="79"/>
      <c r="P35" s="79"/>
      <c r="Q35" s="13"/>
      <c r="R35" s="79"/>
      <c r="S35" s="79"/>
      <c r="T35" s="45"/>
      <c r="U35" s="342"/>
      <c r="V35" s="79"/>
      <c r="W35" s="79"/>
      <c r="X35" s="45"/>
    </row>
    <row r="36" spans="1:24" s="41" customFormat="1" hidden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SUM(P36:AA36)</f>
        <v>0</v>
      </c>
      <c r="K36" s="148"/>
      <c r="L36" s="160">
        <f t="shared" si="1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5"/>
    </row>
    <row r="37" spans="1:24" hidden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>K38+K39</f>
        <v>0</v>
      </c>
      <c r="L37" s="158">
        <f t="shared" si="1"/>
        <v>0</v>
      </c>
      <c r="M37" s="90">
        <f t="shared" ref="M37:X37" si="9">M38+M39</f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idden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SUM(P38:AA38)</f>
        <v>0</v>
      </c>
      <c r="K38" s="148"/>
      <c r="L38" s="160">
        <f t="shared" si="1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idden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SUM(P39:AA39)</f>
        <v>0</v>
      </c>
      <c r="K39" s="148"/>
      <c r="L39" s="160">
        <f t="shared" si="1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0</v>
      </c>
      <c r="G40" s="341">
        <v>2794</v>
      </c>
      <c r="H40" s="311">
        <v>2200</v>
      </c>
      <c r="I40" s="509">
        <v>2200</v>
      </c>
      <c r="J40" s="233">
        <f>J41+J42+J43+J44+J45+J48+J49</f>
        <v>0</v>
      </c>
      <c r="K40" s="142">
        <f>K41+K42+K43+K44+K45+K48+K49</f>
        <v>0</v>
      </c>
      <c r="L40" s="158">
        <f t="shared" si="1"/>
        <v>0</v>
      </c>
      <c r="M40" s="90">
        <f t="shared" ref="M40:X40" si="10">M41+M42+M43+M44+M45+M48+M49</f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0</v>
      </c>
      <c r="X40" s="95">
        <f t="shared" si="10"/>
        <v>0</v>
      </c>
    </row>
    <row r="41" spans="1:24" s="41" customFormat="1" hidden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SUM(P41:AA41)</f>
        <v>0</v>
      </c>
      <c r="K41" s="148"/>
      <c r="L41" s="160">
        <f t="shared" si="1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idden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SUM(P42:AA42)</f>
        <v>0</v>
      </c>
      <c r="K42" s="148"/>
      <c r="L42" s="160">
        <f t="shared" si="1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idden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SUM(P43:AA43)</f>
        <v>0</v>
      </c>
      <c r="K43" s="148"/>
      <c r="L43" s="160">
        <f t="shared" si="1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0</v>
      </c>
      <c r="G44" s="342">
        <v>2794</v>
      </c>
      <c r="H44" s="312">
        <v>2200</v>
      </c>
      <c r="I44" s="510">
        <v>2200</v>
      </c>
      <c r="J44" s="239">
        <f>SUM(M44:X44)</f>
        <v>0</v>
      </c>
      <c r="K44" s="148"/>
      <c r="L44" s="160">
        <f t="shared" si="1"/>
        <v>0</v>
      </c>
      <c r="M44" s="74"/>
      <c r="N44" s="13">
        <v>0</v>
      </c>
      <c r="O44" s="79"/>
      <c r="P44" s="79"/>
      <c r="Q44" s="13"/>
      <c r="R44" s="79"/>
      <c r="S44" s="79"/>
      <c r="T44" s="45"/>
      <c r="U44" s="342"/>
      <c r="V44" s="79"/>
      <c r="W44" s="79"/>
      <c r="X44" s="45"/>
    </row>
    <row r="45" spans="1:24" s="18" customFormat="1" hidden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 t="shared" ref="J45:J58" si="11">SUM(M45:X45)</f>
        <v>0</v>
      </c>
      <c r="K45" s="148">
        <f>K46+K47</f>
        <v>0</v>
      </c>
      <c r="L45" s="160">
        <f t="shared" si="1"/>
        <v>0</v>
      </c>
      <c r="M45" s="74">
        <f t="shared" ref="M45:X45" si="12">M46+M47</f>
        <v>0</v>
      </c>
      <c r="N45" s="13">
        <f t="shared" si="12"/>
        <v>0</v>
      </c>
      <c r="O45" s="79">
        <f t="shared" si="12"/>
        <v>0</v>
      </c>
      <c r="P45" s="79">
        <f t="shared" si="12"/>
        <v>0</v>
      </c>
      <c r="Q45" s="13">
        <f t="shared" si="12"/>
        <v>0</v>
      </c>
      <c r="R45" s="79">
        <f t="shared" si="12"/>
        <v>0</v>
      </c>
      <c r="S45" s="79">
        <f t="shared" si="12"/>
        <v>0</v>
      </c>
      <c r="T45" s="45">
        <f t="shared" si="12"/>
        <v>0</v>
      </c>
      <c r="U45" s="342">
        <f t="shared" si="12"/>
        <v>0</v>
      </c>
      <c r="V45" s="79">
        <f t="shared" si="12"/>
        <v>0</v>
      </c>
      <c r="W45" s="79">
        <f t="shared" si="12"/>
        <v>0</v>
      </c>
      <c r="X45" s="45">
        <f t="shared" si="12"/>
        <v>0</v>
      </c>
    </row>
    <row r="46" spans="1:24" hidden="1" x14ac:dyDescent="0.25">
      <c r="B46" s="54"/>
      <c r="C46" s="250"/>
      <c r="D46" s="624" t="s">
        <v>186</v>
      </c>
      <c r="E46" s="624"/>
      <c r="F46" s="159">
        <v>0</v>
      </c>
      <c r="G46" s="343">
        <v>0</v>
      </c>
      <c r="H46" s="313">
        <v>0</v>
      </c>
      <c r="I46" s="513">
        <v>0</v>
      </c>
      <c r="J46" s="239">
        <f t="shared" si="11"/>
        <v>0</v>
      </c>
      <c r="K46" s="141"/>
      <c r="L46" s="159">
        <f t="shared" si="1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idden="1" x14ac:dyDescent="0.25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9">
        <f t="shared" si="11"/>
        <v>0</v>
      </c>
      <c r="K47" s="141"/>
      <c r="L47" s="159">
        <f t="shared" si="1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idden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 t="shared" si="11"/>
        <v>0</v>
      </c>
      <c r="K48" s="148"/>
      <c r="L48" s="160">
        <f t="shared" si="1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hidden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0</v>
      </c>
      <c r="G49" s="342">
        <v>0</v>
      </c>
      <c r="H49" s="312">
        <v>0</v>
      </c>
      <c r="I49" s="510">
        <v>0</v>
      </c>
      <c r="J49" s="239">
        <f t="shared" si="11"/>
        <v>0</v>
      </c>
      <c r="K49" s="148"/>
      <c r="L49" s="160">
        <f t="shared" si="1"/>
        <v>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/>
      <c r="X49" s="45"/>
    </row>
    <row r="50" spans="1:24" hidden="1" x14ac:dyDescent="0.25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9">
        <f t="shared" si="11"/>
        <v>0</v>
      </c>
      <c r="K50" s="142">
        <f>K51+K52</f>
        <v>0</v>
      </c>
      <c r="L50" s="158">
        <f t="shared" si="1"/>
        <v>0</v>
      </c>
      <c r="M50" s="90">
        <f t="shared" ref="M50:X50" si="13">M51+M52</f>
        <v>0</v>
      </c>
      <c r="N50" s="91">
        <f t="shared" si="13"/>
        <v>0</v>
      </c>
      <c r="O50" s="94">
        <f t="shared" si="13"/>
        <v>0</v>
      </c>
      <c r="P50" s="94">
        <f t="shared" si="13"/>
        <v>0</v>
      </c>
      <c r="Q50" s="91">
        <f t="shared" si="13"/>
        <v>0</v>
      </c>
      <c r="R50" s="94">
        <f t="shared" si="13"/>
        <v>0</v>
      </c>
      <c r="S50" s="94">
        <f t="shared" si="13"/>
        <v>0</v>
      </c>
      <c r="T50" s="95">
        <f t="shared" si="13"/>
        <v>0</v>
      </c>
      <c r="U50" s="341">
        <f t="shared" si="13"/>
        <v>0</v>
      </c>
      <c r="V50" s="94">
        <f t="shared" si="13"/>
        <v>0</v>
      </c>
      <c r="W50" s="94">
        <f t="shared" si="13"/>
        <v>0</v>
      </c>
      <c r="X50" s="95">
        <f t="shared" si="13"/>
        <v>0</v>
      </c>
    </row>
    <row r="51" spans="1:24" s="41" customFormat="1" hidden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 t="shared" si="11"/>
        <v>0</v>
      </c>
      <c r="K51" s="148"/>
      <c r="L51" s="160">
        <f t="shared" si="1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idden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 t="shared" si="11"/>
        <v>0</v>
      </c>
      <c r="K52" s="148"/>
      <c r="L52" s="160">
        <f t="shared" si="1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26" t="s">
        <v>197</v>
      </c>
      <c r="D53" s="627"/>
      <c r="E53" s="627"/>
      <c r="F53" s="158">
        <v>0</v>
      </c>
      <c r="G53" s="341">
        <v>0</v>
      </c>
      <c r="H53" s="311">
        <v>594</v>
      </c>
      <c r="I53" s="509">
        <v>594</v>
      </c>
      <c r="J53" s="243">
        <f t="shared" si="11"/>
        <v>0</v>
      </c>
      <c r="K53" s="142">
        <f>K54+K55+K56+K57+K58</f>
        <v>0</v>
      </c>
      <c r="L53" s="158">
        <f t="shared" si="1"/>
        <v>0</v>
      </c>
      <c r="M53" s="90">
        <f t="shared" ref="M53:X53" si="14">M54+M55+M56+M57+M58</f>
        <v>0</v>
      </c>
      <c r="N53" s="91">
        <f t="shared" si="14"/>
        <v>0</v>
      </c>
      <c r="O53" s="94">
        <f t="shared" si="14"/>
        <v>0</v>
      </c>
      <c r="P53" s="94">
        <f t="shared" si="14"/>
        <v>0</v>
      </c>
      <c r="Q53" s="91">
        <f t="shared" si="14"/>
        <v>0</v>
      </c>
      <c r="R53" s="94">
        <f t="shared" si="14"/>
        <v>0</v>
      </c>
      <c r="S53" s="94">
        <f t="shared" si="14"/>
        <v>0</v>
      </c>
      <c r="T53" s="95">
        <f t="shared" si="14"/>
        <v>0</v>
      </c>
      <c r="U53" s="341">
        <f t="shared" si="14"/>
        <v>0</v>
      </c>
      <c r="V53" s="94">
        <f t="shared" si="14"/>
        <v>0</v>
      </c>
      <c r="W53" s="94">
        <f t="shared" si="14"/>
        <v>0</v>
      </c>
      <c r="X53" s="95">
        <f t="shared" si="14"/>
        <v>0</v>
      </c>
    </row>
    <row r="54" spans="1:24" s="41" customFormat="1" ht="15.75" thickBot="1" x14ac:dyDescent="0.3">
      <c r="A54" s="118" t="s">
        <v>198</v>
      </c>
      <c r="B54" s="53" t="s">
        <v>645</v>
      </c>
      <c r="C54" s="628" t="s">
        <v>876</v>
      </c>
      <c r="D54" s="629"/>
      <c r="E54" s="629"/>
      <c r="F54" s="160">
        <v>0</v>
      </c>
      <c r="G54" s="342">
        <v>0</v>
      </c>
      <c r="H54" s="312">
        <v>594</v>
      </c>
      <c r="I54" s="510">
        <v>594</v>
      </c>
      <c r="J54" s="239">
        <f t="shared" si="11"/>
        <v>0</v>
      </c>
      <c r="K54" s="148"/>
      <c r="L54" s="160">
        <f t="shared" si="1"/>
        <v>0</v>
      </c>
      <c r="M54" s="74"/>
      <c r="N54" s="13">
        <v>0</v>
      </c>
      <c r="O54" s="79"/>
      <c r="P54" s="79"/>
      <c r="Q54" s="13"/>
      <c r="R54" s="79"/>
      <c r="S54" s="79"/>
      <c r="T54" s="45"/>
      <c r="U54" s="342"/>
      <c r="V54" s="79"/>
      <c r="W54" s="79"/>
      <c r="X54" s="45"/>
    </row>
    <row r="55" spans="1:24" s="41" customFormat="1" hidden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 t="shared" si="11"/>
        <v>0</v>
      </c>
      <c r="K55" s="148"/>
      <c r="L55" s="160">
        <f t="shared" si="1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idden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 t="shared" si="11"/>
        <v>0</v>
      </c>
      <c r="K56" s="148"/>
      <c r="L56" s="160">
        <f t="shared" si="1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idden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 t="shared" si="11"/>
        <v>0</v>
      </c>
      <c r="K57" s="148"/>
      <c r="L57" s="160">
        <f t="shared" si="1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hidden="1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0</v>
      </c>
      <c r="G58" s="347">
        <v>0</v>
      </c>
      <c r="H58" s="319">
        <v>0</v>
      </c>
      <c r="I58" s="511">
        <v>0</v>
      </c>
      <c r="J58" s="239">
        <f t="shared" si="11"/>
        <v>0</v>
      </c>
      <c r="K58" s="189"/>
      <c r="L58" s="160">
        <f t="shared" si="1"/>
        <v>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/>
    </row>
    <row r="59" spans="1:24" ht="15.75" thickBot="1" x14ac:dyDescent="0.3">
      <c r="B59" s="81" t="s">
        <v>207</v>
      </c>
      <c r="C59" s="632" t="s">
        <v>208</v>
      </c>
      <c r="D59" s="633"/>
      <c r="E59" s="633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>K60+K61+K62+K63+K64+K65+K66+K70</f>
        <v>0</v>
      </c>
      <c r="L59" s="156">
        <f t="shared" si="1"/>
        <v>0</v>
      </c>
      <c r="M59" s="82">
        <f t="shared" ref="M59:X59" si="15">M60+M61+M62+M63+M64+M65+M66+M70</f>
        <v>0</v>
      </c>
      <c r="N59" s="83">
        <f t="shared" si="15"/>
        <v>0</v>
      </c>
      <c r="O59" s="86">
        <f t="shared" si="15"/>
        <v>0</v>
      </c>
      <c r="P59" s="86">
        <f t="shared" si="15"/>
        <v>0</v>
      </c>
      <c r="Q59" s="83">
        <f t="shared" si="15"/>
        <v>0</v>
      </c>
      <c r="R59" s="86">
        <f t="shared" si="15"/>
        <v>0</v>
      </c>
      <c r="S59" s="86">
        <f t="shared" si="15"/>
        <v>0</v>
      </c>
      <c r="T59" s="87">
        <f t="shared" si="15"/>
        <v>0</v>
      </c>
      <c r="U59" s="338">
        <f t="shared" si="15"/>
        <v>0</v>
      </c>
      <c r="V59" s="86">
        <f t="shared" si="15"/>
        <v>0</v>
      </c>
      <c r="W59" s="86">
        <f t="shared" si="15"/>
        <v>0</v>
      </c>
      <c r="X59" s="87">
        <f t="shared" si="15"/>
        <v>0</v>
      </c>
    </row>
    <row r="60" spans="1:24" s="18" customFormat="1" ht="15.75" hidden="1" thickBot="1" x14ac:dyDescent="0.3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6">SUM(P60:AA60)</f>
        <v>0</v>
      </c>
      <c r="K60" s="140"/>
      <c r="L60" s="158">
        <f t="shared" si="1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.75" hidden="1" thickBot="1" x14ac:dyDescent="0.3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16"/>
        <v>0</v>
      </c>
      <c r="K61" s="140"/>
      <c r="L61" s="158">
        <f t="shared" si="1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.75" hidden="1" thickBot="1" x14ac:dyDescent="0.3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16"/>
        <v>0</v>
      </c>
      <c r="K62" s="142"/>
      <c r="L62" s="158">
        <f t="shared" si="1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.75" hidden="1" thickBot="1" x14ac:dyDescent="0.3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16"/>
        <v>0</v>
      </c>
      <c r="K63" s="142"/>
      <c r="L63" s="158">
        <f t="shared" si="1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.75" hidden="1" thickBot="1" x14ac:dyDescent="0.3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6"/>
        <v>0</v>
      </c>
      <c r="K64" s="142"/>
      <c r="L64" s="158">
        <f t="shared" si="1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.75" hidden="1" thickBot="1" x14ac:dyDescent="0.3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6"/>
        <v>0</v>
      </c>
      <c r="K65" s="142"/>
      <c r="L65" s="158">
        <f t="shared" si="1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.75" hidden="1" thickBot="1" x14ac:dyDescent="0.3">
      <c r="A66" s="118" t="s">
        <v>216</v>
      </c>
      <c r="B66" s="88" t="s">
        <v>655</v>
      </c>
      <c r="C66" s="626" t="s">
        <v>217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>K67+K68+K69</f>
        <v>0</v>
      </c>
      <c r="L66" s="158">
        <f t="shared" si="1"/>
        <v>0</v>
      </c>
      <c r="M66" s="90">
        <f t="shared" ref="M66:X66" si="17">M67+M68+M69</f>
        <v>0</v>
      </c>
      <c r="N66" s="91">
        <f t="shared" si="17"/>
        <v>0</v>
      </c>
      <c r="O66" s="94">
        <f t="shared" si="17"/>
        <v>0</v>
      </c>
      <c r="P66" s="94">
        <f t="shared" si="17"/>
        <v>0</v>
      </c>
      <c r="Q66" s="91">
        <f t="shared" si="17"/>
        <v>0</v>
      </c>
      <c r="R66" s="94">
        <f t="shared" si="17"/>
        <v>0</v>
      </c>
      <c r="S66" s="94">
        <f t="shared" si="17"/>
        <v>0</v>
      </c>
      <c r="T66" s="95">
        <f t="shared" si="17"/>
        <v>0</v>
      </c>
      <c r="U66" s="341">
        <f t="shared" si="17"/>
        <v>0</v>
      </c>
      <c r="V66" s="94">
        <f t="shared" si="17"/>
        <v>0</v>
      </c>
      <c r="W66" s="94">
        <f t="shared" si="17"/>
        <v>0</v>
      </c>
      <c r="X66" s="95">
        <f t="shared" si="17"/>
        <v>0</v>
      </c>
    </row>
    <row r="67" spans="1:25" ht="15.75" hidden="1" thickBot="1" x14ac:dyDescent="0.3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SUM(P67:AA67)</f>
        <v>0</v>
      </c>
      <c r="K67" s="141"/>
      <c r="L67" s="159">
        <f t="shared" si="1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.75" hidden="1" thickBot="1" x14ac:dyDescent="0.3">
      <c r="B68" s="54"/>
      <c r="C68" s="2"/>
      <c r="D68" s="624" t="s">
        <v>344</v>
      </c>
      <c r="E68" s="624"/>
      <c r="F68" s="159">
        <v>0</v>
      </c>
      <c r="G68" s="343">
        <v>0</v>
      </c>
      <c r="H68" s="313">
        <v>0</v>
      </c>
      <c r="I68" s="513">
        <v>0</v>
      </c>
      <c r="J68" s="232">
        <f>SUM(P68:AA68)</f>
        <v>0</v>
      </c>
      <c r="K68" s="141"/>
      <c r="L68" s="159">
        <f t="shared" si="1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.75" hidden="1" thickBot="1" x14ac:dyDescent="0.3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SUM(P69:AA69)</f>
        <v>0</v>
      </c>
      <c r="K69" s="141"/>
      <c r="L69" s="159">
        <f t="shared" si="1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.75" hidden="1" thickBot="1" x14ac:dyDescent="0.3">
      <c r="A70" s="118" t="s">
        <v>218</v>
      </c>
      <c r="B70" s="88" t="s">
        <v>656</v>
      </c>
      <c r="C70" s="626" t="s">
        <v>219</v>
      </c>
      <c r="D70" s="627"/>
      <c r="E70" s="627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>K71+K72+K73+K74</f>
        <v>0</v>
      </c>
      <c r="L70" s="158">
        <f t="shared" ref="L70:L133" si="18">SUM(J70:K70)</f>
        <v>0</v>
      </c>
      <c r="M70" s="90">
        <f t="shared" ref="M70:X70" si="19">M71+M72+M73+M74</f>
        <v>0</v>
      </c>
      <c r="N70" s="91">
        <f t="shared" si="19"/>
        <v>0</v>
      </c>
      <c r="O70" s="94">
        <f t="shared" si="19"/>
        <v>0</v>
      </c>
      <c r="P70" s="94">
        <f t="shared" si="19"/>
        <v>0</v>
      </c>
      <c r="Q70" s="91">
        <f t="shared" si="19"/>
        <v>0</v>
      </c>
      <c r="R70" s="94">
        <f t="shared" si="19"/>
        <v>0</v>
      </c>
      <c r="S70" s="94">
        <f t="shared" si="19"/>
        <v>0</v>
      </c>
      <c r="T70" s="95">
        <f t="shared" si="19"/>
        <v>0</v>
      </c>
      <c r="U70" s="341">
        <f t="shared" si="19"/>
        <v>0</v>
      </c>
      <c r="V70" s="94">
        <f t="shared" si="19"/>
        <v>0</v>
      </c>
      <c r="W70" s="94">
        <f t="shared" si="19"/>
        <v>0</v>
      </c>
      <c r="X70" s="95">
        <f t="shared" si="19"/>
        <v>0</v>
      </c>
    </row>
    <row r="71" spans="1:25" ht="15.75" hidden="1" thickBot="1" x14ac:dyDescent="0.3">
      <c r="B71" s="54"/>
      <c r="C71" s="2"/>
      <c r="D71" s="624" t="s">
        <v>835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SUM(P71:AA71)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.75" hidden="1" thickBot="1" x14ac:dyDescent="0.3">
      <c r="B72" s="54"/>
      <c r="C72" s="2"/>
      <c r="D72" s="624" t="s">
        <v>346</v>
      </c>
      <c r="E72" s="624"/>
      <c r="F72" s="159">
        <v>0</v>
      </c>
      <c r="G72" s="343">
        <v>0</v>
      </c>
      <c r="H72" s="313">
        <v>0</v>
      </c>
      <c r="I72" s="513">
        <v>0</v>
      </c>
      <c r="J72" s="232">
        <f>SUM(P72:AA72)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.75" hidden="1" thickBot="1" x14ac:dyDescent="0.3">
      <c r="B73" s="54"/>
      <c r="C73" s="2"/>
      <c r="D73" s="624" t="s">
        <v>836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SUM(P73:AA73)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thickBot="1" x14ac:dyDescent="0.3">
      <c r="B74" s="54"/>
      <c r="C74" s="2"/>
      <c r="D74" s="624" t="s">
        <v>834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SUM(P74:AA74)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32" t="s">
        <v>221</v>
      </c>
      <c r="D75" s="633"/>
      <c r="E75" s="633"/>
      <c r="F75" s="156">
        <v>1859441</v>
      </c>
      <c r="G75" s="338">
        <v>1856647</v>
      </c>
      <c r="H75" s="308">
        <v>1708057</v>
      </c>
      <c r="I75" s="506">
        <v>1708057</v>
      </c>
      <c r="J75" s="235">
        <f>J76+J79+J83+J84+J95+J106+J117+J120+J132+J133+J134+J135+J146</f>
        <v>0</v>
      </c>
      <c r="K75" s="144">
        <f>K76+K79+K83+K84+K95+K106+K117+K120+K132+K133+K134+K135+K146</f>
        <v>0</v>
      </c>
      <c r="L75" s="156">
        <f t="shared" si="18"/>
        <v>0</v>
      </c>
      <c r="M75" s="82">
        <f t="shared" ref="M75:X75" si="20">M76+M79+M83+M84+M95+M106+M117+M120+M132+M133+M134+M135+M146</f>
        <v>0</v>
      </c>
      <c r="N75" s="83">
        <f t="shared" si="20"/>
        <v>0</v>
      </c>
      <c r="O75" s="86">
        <f t="shared" si="20"/>
        <v>0</v>
      </c>
      <c r="P75" s="86">
        <f t="shared" si="20"/>
        <v>0</v>
      </c>
      <c r="Q75" s="83">
        <f t="shared" si="20"/>
        <v>0</v>
      </c>
      <c r="R75" s="86">
        <f t="shared" si="20"/>
        <v>0</v>
      </c>
      <c r="S75" s="86">
        <f t="shared" si="20"/>
        <v>0</v>
      </c>
      <c r="T75" s="87">
        <f t="shared" si="20"/>
        <v>0</v>
      </c>
      <c r="U75" s="338">
        <f t="shared" si="20"/>
        <v>0</v>
      </c>
      <c r="V75" s="86">
        <f t="shared" si="20"/>
        <v>0</v>
      </c>
      <c r="W75" s="86">
        <f t="shared" si="20"/>
        <v>0</v>
      </c>
      <c r="X75" s="87">
        <f t="shared" si="20"/>
        <v>0</v>
      </c>
    </row>
    <row r="76" spans="1:25" s="41" customFormat="1" hidden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>K77+K78</f>
        <v>0</v>
      </c>
      <c r="L76" s="161">
        <f t="shared" si="18"/>
        <v>0</v>
      </c>
      <c r="M76" s="163">
        <f t="shared" ref="M76:X76" si="21">M77+M78</f>
        <v>0</v>
      </c>
      <c r="N76" s="124">
        <f t="shared" si="21"/>
        <v>0</v>
      </c>
      <c r="O76" s="125">
        <f t="shared" si="21"/>
        <v>0</v>
      </c>
      <c r="P76" s="125">
        <f t="shared" si="21"/>
        <v>0</v>
      </c>
      <c r="Q76" s="124">
        <f t="shared" si="21"/>
        <v>0</v>
      </c>
      <c r="R76" s="125">
        <f t="shared" si="21"/>
        <v>0</v>
      </c>
      <c r="S76" s="125">
        <f t="shared" si="21"/>
        <v>0</v>
      </c>
      <c r="T76" s="126">
        <f t="shared" si="21"/>
        <v>0</v>
      </c>
      <c r="U76" s="344">
        <f t="shared" si="21"/>
        <v>0</v>
      </c>
      <c r="V76" s="125">
        <f t="shared" si="21"/>
        <v>0</v>
      </c>
      <c r="W76" s="125">
        <f t="shared" si="21"/>
        <v>0</v>
      </c>
      <c r="X76" s="126">
        <f t="shared" si="21"/>
        <v>0</v>
      </c>
    </row>
    <row r="77" spans="1:25" hidden="1" x14ac:dyDescent="0.25">
      <c r="B77" s="54"/>
      <c r="C77" s="2"/>
      <c r="D77" s="624" t="s">
        <v>347</v>
      </c>
      <c r="E77" s="624"/>
      <c r="F77" s="159">
        <v>0</v>
      </c>
      <c r="G77" s="343">
        <v>0</v>
      </c>
      <c r="H77" s="313">
        <v>0</v>
      </c>
      <c r="I77" s="513">
        <v>0</v>
      </c>
      <c r="J77" s="232">
        <f>SUM(P77:AA77)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idden="1" x14ac:dyDescent="0.25">
      <c r="B78" s="54"/>
      <c r="C78" s="2"/>
      <c r="D78" s="624" t="s">
        <v>348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>SUM(P78:AA78)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idden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>K80+K81+K82</f>
        <v>0</v>
      </c>
      <c r="L79" s="161">
        <f t="shared" si="18"/>
        <v>0</v>
      </c>
      <c r="M79" s="163">
        <f t="shared" ref="M79:X79" si="22">M80+M81+M82</f>
        <v>0</v>
      </c>
      <c r="N79" s="124">
        <f t="shared" si="22"/>
        <v>0</v>
      </c>
      <c r="O79" s="125">
        <f t="shared" si="22"/>
        <v>0</v>
      </c>
      <c r="P79" s="125">
        <f t="shared" si="22"/>
        <v>0</v>
      </c>
      <c r="Q79" s="124">
        <f t="shared" si="22"/>
        <v>0</v>
      </c>
      <c r="R79" s="125">
        <f t="shared" si="22"/>
        <v>0</v>
      </c>
      <c r="S79" s="125">
        <f t="shared" si="22"/>
        <v>0</v>
      </c>
      <c r="T79" s="126">
        <f t="shared" si="22"/>
        <v>0</v>
      </c>
      <c r="U79" s="344">
        <f t="shared" si="22"/>
        <v>0</v>
      </c>
      <c r="V79" s="125">
        <f t="shared" si="22"/>
        <v>0</v>
      </c>
      <c r="W79" s="125">
        <f t="shared" si="22"/>
        <v>0</v>
      </c>
      <c r="X79" s="126">
        <f t="shared" si="22"/>
        <v>0</v>
      </c>
    </row>
    <row r="80" spans="1:25" s="199" customFormat="1" hidden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SUM(P80:AA80)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idden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SUM(P81:AA81)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idden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SUM(P82:AA82)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>
        <v>0</v>
      </c>
      <c r="G83" s="345">
        <v>0</v>
      </c>
      <c r="H83" s="315">
        <v>0</v>
      </c>
      <c r="I83" s="516">
        <v>0</v>
      </c>
      <c r="J83" s="241">
        <f>SUM(P83:AA83)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idden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>K85+K86+K87+K88+K89+K90+K91+K92+K93+K94</f>
        <v>0</v>
      </c>
      <c r="L84" s="162">
        <f t="shared" si="18"/>
        <v>0</v>
      </c>
      <c r="M84" s="102">
        <f t="shared" ref="M84:X84" si="23">M85+M86+M87+M88+M89+M90+M91+M92+M93+M94</f>
        <v>0</v>
      </c>
      <c r="N84" s="103">
        <f t="shared" si="23"/>
        <v>0</v>
      </c>
      <c r="O84" s="106">
        <f t="shared" si="23"/>
        <v>0</v>
      </c>
      <c r="P84" s="106">
        <f t="shared" si="23"/>
        <v>0</v>
      </c>
      <c r="Q84" s="103">
        <f t="shared" si="23"/>
        <v>0</v>
      </c>
      <c r="R84" s="106">
        <f t="shared" si="23"/>
        <v>0</v>
      </c>
      <c r="S84" s="106">
        <f t="shared" si="23"/>
        <v>0</v>
      </c>
      <c r="T84" s="107">
        <f t="shared" si="23"/>
        <v>0</v>
      </c>
      <c r="U84" s="345">
        <f t="shared" si="23"/>
        <v>0</v>
      </c>
      <c r="V84" s="106">
        <f t="shared" si="23"/>
        <v>0</v>
      </c>
      <c r="W84" s="106">
        <f t="shared" si="23"/>
        <v>0</v>
      </c>
      <c r="X84" s="107">
        <f t="shared" si="23"/>
        <v>0</v>
      </c>
    </row>
    <row r="85" spans="1:24" hidden="1" x14ac:dyDescent="0.25">
      <c r="B85" s="54"/>
      <c r="C85" s="2"/>
      <c r="D85" s="624" t="s">
        <v>370</v>
      </c>
      <c r="E85" s="624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4">SUM(P85:AA85)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idden="1" x14ac:dyDescent="0.25">
      <c r="B86" s="54"/>
      <c r="C86" s="2"/>
      <c r="D86" s="624" t="s">
        <v>506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 t="shared" si="24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idden="1" x14ac:dyDescent="0.25">
      <c r="B87" s="54"/>
      <c r="C87" s="2"/>
      <c r="D87" s="624" t="s">
        <v>507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si="24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idden="1" x14ac:dyDescent="0.25">
      <c r="B88" s="54"/>
      <c r="C88" s="2"/>
      <c r="D88" s="624" t="s">
        <v>508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4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idden="1" x14ac:dyDescent="0.25">
      <c r="B89" s="54"/>
      <c r="C89" s="2"/>
      <c r="D89" s="624" t="s">
        <v>509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4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idden="1" x14ac:dyDescent="0.25">
      <c r="B90" s="54"/>
      <c r="C90" s="2"/>
      <c r="D90" s="624" t="s">
        <v>510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4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25" t="s">
        <v>511</v>
      </c>
      <c r="E91" s="625"/>
      <c r="F91" s="159">
        <v>0</v>
      </c>
      <c r="G91" s="343">
        <v>0</v>
      </c>
      <c r="H91" s="313">
        <v>0</v>
      </c>
      <c r="I91" s="513">
        <v>0</v>
      </c>
      <c r="J91" s="242">
        <f t="shared" si="24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idden="1" x14ac:dyDescent="0.25">
      <c r="B92" s="54"/>
      <c r="C92" s="2"/>
      <c r="D92" s="624" t="s">
        <v>804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4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512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4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25" t="s">
        <v>513</v>
      </c>
      <c r="E94" s="625"/>
      <c r="F94" s="159">
        <v>0</v>
      </c>
      <c r="G94" s="343">
        <v>0</v>
      </c>
      <c r="H94" s="313">
        <v>0</v>
      </c>
      <c r="I94" s="513">
        <v>0</v>
      </c>
      <c r="J94" s="242">
        <f t="shared" si="24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>K96+K97+K98+K99+K100+K101+K102+K103+K104+K105</f>
        <v>0</v>
      </c>
      <c r="L95" s="162">
        <f t="shared" si="18"/>
        <v>0</v>
      </c>
      <c r="M95" s="102">
        <f t="shared" ref="M95:X95" si="25">M96+M97+M98+M99+M100+M101+M102+M103+M104+M105</f>
        <v>0</v>
      </c>
      <c r="N95" s="103">
        <f t="shared" si="25"/>
        <v>0</v>
      </c>
      <c r="O95" s="106">
        <f t="shared" si="25"/>
        <v>0</v>
      </c>
      <c r="P95" s="106">
        <f t="shared" si="25"/>
        <v>0</v>
      </c>
      <c r="Q95" s="103">
        <f t="shared" si="25"/>
        <v>0</v>
      </c>
      <c r="R95" s="106">
        <f t="shared" si="25"/>
        <v>0</v>
      </c>
      <c r="S95" s="106">
        <f t="shared" si="25"/>
        <v>0</v>
      </c>
      <c r="T95" s="107">
        <f t="shared" si="25"/>
        <v>0</v>
      </c>
      <c r="U95" s="345">
        <f t="shared" si="25"/>
        <v>0</v>
      </c>
      <c r="V95" s="106">
        <f t="shared" si="25"/>
        <v>0</v>
      </c>
      <c r="W95" s="106">
        <f t="shared" si="25"/>
        <v>0</v>
      </c>
      <c r="X95" s="107">
        <f t="shared" si="25"/>
        <v>0</v>
      </c>
    </row>
    <row r="96" spans="1:24" hidden="1" x14ac:dyDescent="0.25">
      <c r="B96" s="54"/>
      <c r="C96" s="2"/>
      <c r="D96" s="624" t="s">
        <v>369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6">SUM(P96:AA96)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idden="1" x14ac:dyDescent="0.25">
      <c r="B97" s="54"/>
      <c r="C97" s="2"/>
      <c r="D97" s="624" t="s">
        <v>514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 t="shared" si="26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idden="1" x14ac:dyDescent="0.25">
      <c r="B98" s="54"/>
      <c r="C98" s="2"/>
      <c r="D98" s="624" t="s">
        <v>516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si="26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idden="1" x14ac:dyDescent="0.25">
      <c r="B99" s="54"/>
      <c r="C99" s="2"/>
      <c r="D99" s="624" t="s">
        <v>807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6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idden="1" x14ac:dyDescent="0.25">
      <c r="B100" s="54"/>
      <c r="C100" s="2"/>
      <c r="D100" s="624" t="s">
        <v>521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6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idden="1" x14ac:dyDescent="0.25">
      <c r="B101" s="54"/>
      <c r="C101" s="2"/>
      <c r="D101" s="624" t="s">
        <v>519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6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25" t="s">
        <v>523</v>
      </c>
      <c r="E102" s="625"/>
      <c r="F102" s="159">
        <v>0</v>
      </c>
      <c r="G102" s="343">
        <v>0</v>
      </c>
      <c r="H102" s="313">
        <v>0</v>
      </c>
      <c r="I102" s="513">
        <v>0</v>
      </c>
      <c r="J102" s="242">
        <f t="shared" si="26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idden="1" x14ac:dyDescent="0.25">
      <c r="B103" s="54"/>
      <c r="C103" s="2"/>
      <c r="D103" s="624" t="s">
        <v>806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6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526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6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25" t="s">
        <v>528</v>
      </c>
      <c r="E105" s="625"/>
      <c r="F105" s="159">
        <v>0</v>
      </c>
      <c r="G105" s="343">
        <v>0</v>
      </c>
      <c r="H105" s="313">
        <v>0</v>
      </c>
      <c r="I105" s="513">
        <v>0</v>
      </c>
      <c r="J105" s="242">
        <f t="shared" si="26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idden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>K107+K108+K109+K110+K111+K112+K113+K114+K115+K116</f>
        <v>0</v>
      </c>
      <c r="L106" s="162">
        <f t="shared" si="18"/>
        <v>0</v>
      </c>
      <c r="M106" s="102">
        <f t="shared" ref="M106:X106" si="27">M107+M108+M109+M110+M111+M112+M113+M114+M115+M116</f>
        <v>0</v>
      </c>
      <c r="N106" s="103">
        <f t="shared" si="27"/>
        <v>0</v>
      </c>
      <c r="O106" s="106">
        <f t="shared" si="27"/>
        <v>0</v>
      </c>
      <c r="P106" s="106">
        <f t="shared" si="27"/>
        <v>0</v>
      </c>
      <c r="Q106" s="103">
        <f t="shared" si="27"/>
        <v>0</v>
      </c>
      <c r="R106" s="106">
        <f t="shared" si="27"/>
        <v>0</v>
      </c>
      <c r="S106" s="106">
        <f t="shared" si="27"/>
        <v>0</v>
      </c>
      <c r="T106" s="107">
        <f t="shared" si="27"/>
        <v>0</v>
      </c>
      <c r="U106" s="345">
        <f t="shared" si="27"/>
        <v>0</v>
      </c>
      <c r="V106" s="106">
        <f t="shared" si="27"/>
        <v>0</v>
      </c>
      <c r="W106" s="106">
        <f t="shared" si="27"/>
        <v>0</v>
      </c>
      <c r="X106" s="107">
        <f t="shared" si="27"/>
        <v>0</v>
      </c>
    </row>
    <row r="107" spans="1:24" hidden="1" x14ac:dyDescent="0.25">
      <c r="B107" s="54"/>
      <c r="C107" s="2"/>
      <c r="D107" s="624" t="s">
        <v>368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8">SUM(P107:AA107)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idden="1" x14ac:dyDescent="0.25">
      <c r="B108" s="54"/>
      <c r="C108" s="2"/>
      <c r="D108" s="624" t="s">
        <v>515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 t="shared" si="28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idden="1" x14ac:dyDescent="0.25">
      <c r="B109" s="54"/>
      <c r="C109" s="2"/>
      <c r="D109" s="624" t="s">
        <v>517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si="28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idden="1" x14ac:dyDescent="0.25">
      <c r="B110" s="54"/>
      <c r="C110" s="2"/>
      <c r="D110" s="624" t="s">
        <v>518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8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idden="1" x14ac:dyDescent="0.25">
      <c r="B111" s="54"/>
      <c r="C111" s="2"/>
      <c r="D111" s="624" t="s">
        <v>522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8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idden="1" x14ac:dyDescent="0.25">
      <c r="B112" s="54"/>
      <c r="C112" s="2"/>
      <c r="D112" s="624" t="s">
        <v>520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8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25" t="s">
        <v>524</v>
      </c>
      <c r="E113" s="625"/>
      <c r="F113" s="159">
        <v>0</v>
      </c>
      <c r="G113" s="343">
        <v>0</v>
      </c>
      <c r="H113" s="313">
        <v>0</v>
      </c>
      <c r="I113" s="513">
        <v>0</v>
      </c>
      <c r="J113" s="242">
        <f t="shared" si="28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idden="1" x14ac:dyDescent="0.25">
      <c r="B114" s="54"/>
      <c r="C114" s="2"/>
      <c r="D114" s="624" t="s">
        <v>525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8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527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8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25" t="s">
        <v>529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28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>K118+K119</f>
        <v>0</v>
      </c>
      <c r="L117" s="162">
        <f t="shared" si="18"/>
        <v>0</v>
      </c>
      <c r="M117" s="102">
        <f t="shared" ref="M117:X117" si="29">M118+M119</f>
        <v>0</v>
      </c>
      <c r="N117" s="103">
        <f t="shared" si="29"/>
        <v>0</v>
      </c>
      <c r="O117" s="106">
        <f t="shared" si="29"/>
        <v>0</v>
      </c>
      <c r="P117" s="106">
        <f t="shared" si="29"/>
        <v>0</v>
      </c>
      <c r="Q117" s="103">
        <f t="shared" si="29"/>
        <v>0</v>
      </c>
      <c r="R117" s="106">
        <f t="shared" si="29"/>
        <v>0</v>
      </c>
      <c r="S117" s="106">
        <f t="shared" si="29"/>
        <v>0</v>
      </c>
      <c r="T117" s="107">
        <f t="shared" si="29"/>
        <v>0</v>
      </c>
      <c r="U117" s="345">
        <f t="shared" si="29"/>
        <v>0</v>
      </c>
      <c r="V117" s="106">
        <f t="shared" si="29"/>
        <v>0</v>
      </c>
      <c r="W117" s="106">
        <f t="shared" si="29"/>
        <v>0</v>
      </c>
      <c r="X117" s="107">
        <f t="shared" si="29"/>
        <v>0</v>
      </c>
    </row>
    <row r="118" spans="1:24" hidden="1" x14ac:dyDescent="0.25">
      <c r="B118" s="54"/>
      <c r="C118" s="2"/>
      <c r="D118" s="624" t="s">
        <v>531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SUM(P118:AA118)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25" t="s">
        <v>530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>SUM(P119:AA119)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idden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>K121+K122+K123+K124+K125+K126+K127+K128+K129+K130+K131</f>
        <v>0</v>
      </c>
      <c r="L120" s="162">
        <f t="shared" si="18"/>
        <v>0</v>
      </c>
      <c r="M120" s="102">
        <f t="shared" ref="M120:X120" si="30">M121+M122+M123+M124+M125+M126+M127+M128+M129+M130+M131</f>
        <v>0</v>
      </c>
      <c r="N120" s="103">
        <f t="shared" si="30"/>
        <v>0</v>
      </c>
      <c r="O120" s="106">
        <f t="shared" si="30"/>
        <v>0</v>
      </c>
      <c r="P120" s="106">
        <f t="shared" si="30"/>
        <v>0</v>
      </c>
      <c r="Q120" s="103">
        <f t="shared" si="30"/>
        <v>0</v>
      </c>
      <c r="R120" s="106">
        <f t="shared" si="30"/>
        <v>0</v>
      </c>
      <c r="S120" s="106">
        <f t="shared" si="30"/>
        <v>0</v>
      </c>
      <c r="T120" s="107">
        <f t="shared" si="30"/>
        <v>0</v>
      </c>
      <c r="U120" s="345">
        <f t="shared" si="30"/>
        <v>0</v>
      </c>
      <c r="V120" s="106">
        <f t="shared" si="30"/>
        <v>0</v>
      </c>
      <c r="W120" s="106">
        <f t="shared" si="30"/>
        <v>0</v>
      </c>
      <c r="X120" s="107">
        <f t="shared" si="30"/>
        <v>0</v>
      </c>
    </row>
    <row r="121" spans="1:24" hidden="1" x14ac:dyDescent="0.25">
      <c r="B121" s="54"/>
      <c r="C121" s="2"/>
      <c r="D121" s="624" t="s">
        <v>354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1">SUM(P121:AA121)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idden="1" x14ac:dyDescent="0.25">
      <c r="B122" s="54"/>
      <c r="C122" s="2"/>
      <c r="D122" s="624" t="s">
        <v>357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1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idden="1" x14ac:dyDescent="0.25">
      <c r="B123" s="54"/>
      <c r="C123" s="2"/>
      <c r="D123" s="624" t="s">
        <v>358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1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idden="1" x14ac:dyDescent="0.25">
      <c r="B124" s="54"/>
      <c r="C124" s="2"/>
      <c r="D124" s="624" t="s">
        <v>355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1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idden="1" x14ac:dyDescent="0.25">
      <c r="B125" s="54"/>
      <c r="C125" s="2"/>
      <c r="D125" s="624" t="s">
        <v>810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1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25" t="s">
        <v>532</v>
      </c>
      <c r="E126" s="625"/>
      <c r="F126" s="159">
        <v>0</v>
      </c>
      <c r="G126" s="343">
        <v>0</v>
      </c>
      <c r="H126" s="313">
        <v>0</v>
      </c>
      <c r="I126" s="513">
        <v>0</v>
      </c>
      <c r="J126" s="242">
        <f t="shared" si="31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25" t="s">
        <v>533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1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idden="1" x14ac:dyDescent="0.25">
      <c r="B128" s="54"/>
      <c r="C128" s="2"/>
      <c r="D128" s="624" t="s">
        <v>364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1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idden="1" x14ac:dyDescent="0.25">
      <c r="B129" s="54"/>
      <c r="C129" s="2"/>
      <c r="D129" s="624" t="s">
        <v>356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1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25" t="s">
        <v>534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1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idden="1" x14ac:dyDescent="0.25">
      <c r="B131" s="54"/>
      <c r="C131" s="2"/>
      <c r="D131" s="624" t="s">
        <v>535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1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idden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>
        <v>0</v>
      </c>
      <c r="G132" s="345">
        <v>0</v>
      </c>
      <c r="H132" s="315">
        <v>0</v>
      </c>
      <c r="I132" s="516">
        <v>0</v>
      </c>
      <c r="J132" s="243">
        <f t="shared" si="31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idden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>
        <v>0</v>
      </c>
      <c r="G133" s="345">
        <v>0</v>
      </c>
      <c r="H133" s="315">
        <v>0</v>
      </c>
      <c r="I133" s="516">
        <v>0</v>
      </c>
      <c r="J133" s="243">
        <f t="shared" si="31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idden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1"/>
        <v>0</v>
      </c>
      <c r="K134" s="152"/>
      <c r="L134" s="162">
        <f t="shared" ref="L134:L197" si="32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idden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>K136+K137+K138+K139+K140+K141+K142+K143+K144+K145</f>
        <v>0</v>
      </c>
      <c r="L135" s="162">
        <f t="shared" si="32"/>
        <v>0</v>
      </c>
      <c r="M135" s="102">
        <f t="shared" ref="M135:X135" si="33">M136+M137+M138+M139+M140+M141+M142+M143+M144+M145</f>
        <v>0</v>
      </c>
      <c r="N135" s="103">
        <f t="shared" si="33"/>
        <v>0</v>
      </c>
      <c r="O135" s="106">
        <f t="shared" si="33"/>
        <v>0</v>
      </c>
      <c r="P135" s="106">
        <f t="shared" si="33"/>
        <v>0</v>
      </c>
      <c r="Q135" s="103">
        <f t="shared" si="33"/>
        <v>0</v>
      </c>
      <c r="R135" s="106">
        <f t="shared" si="33"/>
        <v>0</v>
      </c>
      <c r="S135" s="106">
        <f t="shared" si="33"/>
        <v>0</v>
      </c>
      <c r="T135" s="107">
        <f t="shared" si="33"/>
        <v>0</v>
      </c>
      <c r="U135" s="345">
        <f t="shared" si="33"/>
        <v>0</v>
      </c>
      <c r="V135" s="106">
        <f t="shared" si="33"/>
        <v>0</v>
      </c>
      <c r="W135" s="106">
        <f t="shared" si="33"/>
        <v>0</v>
      </c>
      <c r="X135" s="107">
        <f t="shared" si="33"/>
        <v>0</v>
      </c>
    </row>
    <row r="136" spans="1:24" hidden="1" x14ac:dyDescent="0.25">
      <c r="B136" s="54"/>
      <c r="C136" s="2"/>
      <c r="D136" s="624" t="s">
        <v>359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5" si="34">SUM(P136:AA136)</f>
        <v>0</v>
      </c>
      <c r="K136" s="141"/>
      <c r="L136" s="159">
        <f t="shared" si="32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idden="1" x14ac:dyDescent="0.25">
      <c r="B137" s="54"/>
      <c r="C137" s="2"/>
      <c r="D137" s="624" t="s">
        <v>360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4"/>
        <v>0</v>
      </c>
      <c r="K137" s="141"/>
      <c r="L137" s="159">
        <f t="shared" si="32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idden="1" x14ac:dyDescent="0.25">
      <c r="B138" s="54"/>
      <c r="C138" s="2"/>
      <c r="D138" s="624" t="s">
        <v>361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4"/>
        <v>0</v>
      </c>
      <c r="K138" s="141"/>
      <c r="L138" s="159">
        <f t="shared" si="32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idden="1" x14ac:dyDescent="0.25">
      <c r="B139" s="54"/>
      <c r="C139" s="2"/>
      <c r="D139" s="624" t="s">
        <v>362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4"/>
        <v>0</v>
      </c>
      <c r="K139" s="141"/>
      <c r="L139" s="159">
        <f t="shared" si="32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idden="1" x14ac:dyDescent="0.25">
      <c r="B140" s="54"/>
      <c r="C140" s="2"/>
      <c r="D140" s="624" t="s">
        <v>363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4"/>
        <v>0</v>
      </c>
      <c r="K140" s="141"/>
      <c r="L140" s="159">
        <f t="shared" si="32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25" t="s">
        <v>536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4"/>
        <v>0</v>
      </c>
      <c r="K141" s="151"/>
      <c r="L141" s="159">
        <f t="shared" si="32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25" t="s">
        <v>539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4"/>
        <v>0</v>
      </c>
      <c r="K142" s="151"/>
      <c r="L142" s="159">
        <f t="shared" si="32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idden="1" x14ac:dyDescent="0.25">
      <c r="B143" s="54"/>
      <c r="C143" s="2"/>
      <c r="D143" s="624" t="s">
        <v>365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4"/>
        <v>0</v>
      </c>
      <c r="K143" s="141"/>
      <c r="L143" s="159">
        <f t="shared" si="32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542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4"/>
        <v>0</v>
      </c>
      <c r="K144" s="151"/>
      <c r="L144" s="159">
        <f t="shared" si="32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idden="1" x14ac:dyDescent="0.25">
      <c r="B145" s="54"/>
      <c r="C145" s="2"/>
      <c r="D145" s="624" t="s">
        <v>543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4"/>
        <v>0</v>
      </c>
      <c r="K145" s="141"/>
      <c r="L145" s="159">
        <f t="shared" si="32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1859441</v>
      </c>
      <c r="G146" s="471">
        <v>1856647</v>
      </c>
      <c r="H146" s="491">
        <v>1708057</v>
      </c>
      <c r="I146" s="521">
        <v>1708057</v>
      </c>
      <c r="J146" s="244">
        <f>SUM(P146:AA146)</f>
        <v>0</v>
      </c>
      <c r="K146" s="153"/>
      <c r="L146" s="162">
        <f>SUM(J146:K146)</f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484">
        <v>0</v>
      </c>
    </row>
    <row r="147" spans="1:24" ht="15.75" thickBot="1" x14ac:dyDescent="0.3">
      <c r="B147" s="96" t="s">
        <v>245</v>
      </c>
      <c r="C147" s="632" t="s">
        <v>246</v>
      </c>
      <c r="D147" s="633"/>
      <c r="E147" s="633"/>
      <c r="F147" s="156">
        <v>39980582</v>
      </c>
      <c r="G147" s="338">
        <v>39980582</v>
      </c>
      <c r="H147" s="308">
        <v>39980582</v>
      </c>
      <c r="I147" s="506">
        <v>39980582</v>
      </c>
      <c r="J147" s="235">
        <f>J148+J149+J152+J153+J154+J155+J156</f>
        <v>0</v>
      </c>
      <c r="K147" s="144">
        <f>K148+K149+K152+K153+K154+K155+K156</f>
        <v>0</v>
      </c>
      <c r="L147" s="156">
        <f t="shared" si="32"/>
        <v>0</v>
      </c>
      <c r="M147" s="82">
        <f t="shared" ref="M147:X147" si="35">M148+M149+M152+M153+M154+M155+M156</f>
        <v>0</v>
      </c>
      <c r="N147" s="83">
        <f t="shared" si="35"/>
        <v>0</v>
      </c>
      <c r="O147" s="86">
        <f t="shared" si="35"/>
        <v>0</v>
      </c>
      <c r="P147" s="86">
        <f t="shared" si="35"/>
        <v>0</v>
      </c>
      <c r="Q147" s="83">
        <f t="shared" si="35"/>
        <v>0</v>
      </c>
      <c r="R147" s="86">
        <f t="shared" si="35"/>
        <v>0</v>
      </c>
      <c r="S147" s="86">
        <f t="shared" si="35"/>
        <v>0</v>
      </c>
      <c r="T147" s="87">
        <f t="shared" si="35"/>
        <v>0</v>
      </c>
      <c r="U147" s="338">
        <f t="shared" si="35"/>
        <v>0</v>
      </c>
      <c r="V147" s="86">
        <f t="shared" si="35"/>
        <v>0</v>
      </c>
      <c r="W147" s="86">
        <f t="shared" si="35"/>
        <v>0</v>
      </c>
      <c r="X147" s="87">
        <f t="shared" si="35"/>
        <v>0</v>
      </c>
    </row>
    <row r="148" spans="1:24" s="18" customFormat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339">
        <v>0</v>
      </c>
      <c r="H148" s="309">
        <v>0</v>
      </c>
      <c r="I148" s="507">
        <v>0</v>
      </c>
      <c r="J148" s="231">
        <f>SUM(P148:AA148)</f>
        <v>0</v>
      </c>
      <c r="K148" s="140"/>
      <c r="L148" s="158">
        <f t="shared" si="32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29203410</v>
      </c>
      <c r="G149" s="341">
        <v>29203410</v>
      </c>
      <c r="H149" s="311">
        <v>29203410</v>
      </c>
      <c r="I149" s="509">
        <v>29203410</v>
      </c>
      <c r="J149" s="233">
        <f>J150+J151</f>
        <v>0</v>
      </c>
      <c r="K149" s="142">
        <f>K150+K151</f>
        <v>0</v>
      </c>
      <c r="L149" s="158">
        <f t="shared" si="32"/>
        <v>0</v>
      </c>
      <c r="M149" s="90">
        <f t="shared" ref="M149:X149" si="36">M150+M151</f>
        <v>0</v>
      </c>
      <c r="N149" s="91">
        <f t="shared" si="36"/>
        <v>0</v>
      </c>
      <c r="O149" s="94">
        <f t="shared" si="36"/>
        <v>0</v>
      </c>
      <c r="P149" s="94">
        <f t="shared" si="36"/>
        <v>0</v>
      </c>
      <c r="Q149" s="91">
        <f t="shared" si="36"/>
        <v>0</v>
      </c>
      <c r="R149" s="94">
        <f t="shared" si="36"/>
        <v>0</v>
      </c>
      <c r="S149" s="94">
        <f t="shared" si="36"/>
        <v>0</v>
      </c>
      <c r="T149" s="95">
        <f t="shared" si="36"/>
        <v>0</v>
      </c>
      <c r="U149" s="341">
        <f t="shared" si="36"/>
        <v>0</v>
      </c>
      <c r="V149" s="94">
        <f t="shared" si="36"/>
        <v>0</v>
      </c>
      <c r="W149" s="94">
        <f t="shared" si="36"/>
        <v>0</v>
      </c>
      <c r="X149" s="95">
        <f t="shared" si="36"/>
        <v>0</v>
      </c>
    </row>
    <row r="150" spans="1:24" x14ac:dyDescent="0.25">
      <c r="B150" s="54"/>
      <c r="C150" s="2"/>
      <c r="D150" s="624" t="s">
        <v>250</v>
      </c>
      <c r="E150" s="624"/>
      <c r="F150" s="159">
        <v>29203410</v>
      </c>
      <c r="G150" s="343">
        <v>29203410</v>
      </c>
      <c r="H150" s="313">
        <v>29203410</v>
      </c>
      <c r="I150" s="513">
        <v>29203410</v>
      </c>
      <c r="J150" s="232">
        <f>SUM(M150:X150)</f>
        <v>0</v>
      </c>
      <c r="K150" s="141"/>
      <c r="L150" s="159">
        <f t="shared" si="32"/>
        <v>0</v>
      </c>
      <c r="M150" s="72"/>
      <c r="N150" s="1"/>
      <c r="O150" s="78"/>
      <c r="P150" s="78"/>
      <c r="Q150" s="1"/>
      <c r="R150" s="78">
        <v>0</v>
      </c>
      <c r="S150" s="78">
        <v>0</v>
      </c>
      <c r="T150" s="44"/>
      <c r="U150" s="343"/>
      <c r="V150" s="78"/>
      <c r="W150" s="78"/>
      <c r="X150" s="44">
        <v>0</v>
      </c>
    </row>
    <row r="151" spans="1:24" hidden="1" x14ac:dyDescent="0.25">
      <c r="B151" s="54"/>
      <c r="C151" s="2"/>
      <c r="D151" s="624" t="s">
        <v>349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ref="J151:J156" si="37">SUM(P151:AA151)</f>
        <v>0</v>
      </c>
      <c r="K151" s="141"/>
      <c r="L151" s="159">
        <f t="shared" si="32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idden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>
        <v>0</v>
      </c>
      <c r="G152" s="341">
        <v>0</v>
      </c>
      <c r="H152" s="311">
        <v>0</v>
      </c>
      <c r="I152" s="509">
        <v>0</v>
      </c>
      <c r="J152" s="233">
        <f t="shared" si="37"/>
        <v>0</v>
      </c>
      <c r="K152" s="142"/>
      <c r="L152" s="158">
        <f t="shared" si="32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idden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>
        <v>0</v>
      </c>
      <c r="G153" s="341">
        <v>0</v>
      </c>
      <c r="H153" s="311">
        <v>0</v>
      </c>
      <c r="I153" s="509">
        <v>0</v>
      </c>
      <c r="J153" s="233">
        <f t="shared" si="37"/>
        <v>0</v>
      </c>
      <c r="K153" s="142"/>
      <c r="L153" s="158">
        <f t="shared" si="32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idden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7"/>
        <v>0</v>
      </c>
      <c r="K154" s="142"/>
      <c r="L154" s="158">
        <f t="shared" si="32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idden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7"/>
        <v>0</v>
      </c>
      <c r="K155" s="142"/>
      <c r="L155" s="158">
        <f t="shared" si="32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10777172</v>
      </c>
      <c r="G156" s="469">
        <v>10777172</v>
      </c>
      <c r="H156" s="488">
        <v>10777172</v>
      </c>
      <c r="I156" s="518">
        <v>10777172</v>
      </c>
      <c r="J156" s="245">
        <f t="shared" si="37"/>
        <v>0</v>
      </c>
      <c r="K156" s="154"/>
      <c r="L156" s="158">
        <f t="shared" si="32"/>
        <v>0</v>
      </c>
      <c r="M156" s="90"/>
      <c r="N156" s="91"/>
      <c r="O156" s="94"/>
      <c r="P156" s="94"/>
      <c r="Q156" s="91"/>
      <c r="R156" s="94">
        <v>0</v>
      </c>
      <c r="S156" s="94"/>
      <c r="T156" s="95"/>
      <c r="U156" s="341"/>
      <c r="V156" s="94"/>
      <c r="W156" s="94"/>
      <c r="X156" s="95">
        <v>0</v>
      </c>
    </row>
    <row r="157" spans="1:24" ht="15.75" thickBot="1" x14ac:dyDescent="0.3">
      <c r="B157" s="96" t="s">
        <v>261</v>
      </c>
      <c r="C157" s="632" t="s">
        <v>262</v>
      </c>
      <c r="D157" s="633"/>
      <c r="E157" s="633"/>
      <c r="F157" s="156">
        <v>0</v>
      </c>
      <c r="G157" s="338">
        <v>0</v>
      </c>
      <c r="H157" s="308">
        <v>148590</v>
      </c>
      <c r="I157" s="506">
        <v>148590</v>
      </c>
      <c r="J157" s="235">
        <f>J158+J159+J160+J161</f>
        <v>0</v>
      </c>
      <c r="K157" s="144">
        <f>K158+K159+K160+K161</f>
        <v>0</v>
      </c>
      <c r="L157" s="156">
        <f t="shared" si="32"/>
        <v>0</v>
      </c>
      <c r="M157" s="82">
        <f t="shared" ref="M157:X157" si="38">M158+M159+M160+M161</f>
        <v>0</v>
      </c>
      <c r="N157" s="83">
        <f t="shared" si="38"/>
        <v>0</v>
      </c>
      <c r="O157" s="86">
        <f t="shared" si="38"/>
        <v>0</v>
      </c>
      <c r="P157" s="86">
        <f t="shared" si="38"/>
        <v>0</v>
      </c>
      <c r="Q157" s="83">
        <f t="shared" si="38"/>
        <v>0</v>
      </c>
      <c r="R157" s="86">
        <f t="shared" si="38"/>
        <v>0</v>
      </c>
      <c r="S157" s="86">
        <f t="shared" si="38"/>
        <v>0</v>
      </c>
      <c r="T157" s="87">
        <f t="shared" si="38"/>
        <v>0</v>
      </c>
      <c r="U157" s="338">
        <f t="shared" si="38"/>
        <v>0</v>
      </c>
      <c r="V157" s="86">
        <f t="shared" si="38"/>
        <v>0</v>
      </c>
      <c r="W157" s="86">
        <f t="shared" si="38"/>
        <v>0</v>
      </c>
      <c r="X157" s="87">
        <f t="shared" si="38"/>
        <v>0</v>
      </c>
    </row>
    <row r="158" spans="1:24" s="18" customForma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256">
        <v>0</v>
      </c>
      <c r="G158" s="381">
        <v>0</v>
      </c>
      <c r="H158" s="489">
        <v>117000</v>
      </c>
      <c r="I158" s="519">
        <v>117000</v>
      </c>
      <c r="J158" s="254">
        <f>SUM(P158:AA158)</f>
        <v>0</v>
      </c>
      <c r="K158" s="255"/>
      <c r="L158" s="256">
        <f t="shared" si="32"/>
        <v>0</v>
      </c>
      <c r="M158" s="257"/>
      <c r="N158" s="258"/>
      <c r="O158" s="259"/>
      <c r="P158" s="259"/>
      <c r="Q158" s="258"/>
      <c r="R158" s="259"/>
      <c r="S158" s="259"/>
      <c r="T158" s="261"/>
      <c r="U158" s="346"/>
      <c r="V158" s="259"/>
      <c r="W158" s="78">
        <v>0</v>
      </c>
      <c r="X158" s="261"/>
    </row>
    <row r="159" spans="1:24" s="18" customFormat="1" hidden="1" x14ac:dyDescent="0.25">
      <c r="A159" s="118" t="s">
        <v>265</v>
      </c>
      <c r="B159" s="262" t="s">
        <v>679</v>
      </c>
      <c r="C159" s="712" t="s">
        <v>884</v>
      </c>
      <c r="D159" s="713"/>
      <c r="E159" s="713"/>
      <c r="F159" s="256">
        <v>0</v>
      </c>
      <c r="G159" s="346">
        <v>0</v>
      </c>
      <c r="H159" s="318">
        <v>0</v>
      </c>
      <c r="I159" s="517">
        <v>0</v>
      </c>
      <c r="J159" s="263">
        <f>SUM(P159:AA159)</f>
        <v>0</v>
      </c>
      <c r="K159" s="264"/>
      <c r="L159" s="256">
        <f t="shared" si="32"/>
        <v>0</v>
      </c>
      <c r="M159" s="257"/>
      <c r="N159" s="258"/>
      <c r="O159" s="259"/>
      <c r="P159" s="259"/>
      <c r="Q159" s="258"/>
      <c r="R159" s="259"/>
      <c r="S159" s="259"/>
      <c r="T159" s="261"/>
      <c r="U159" s="346"/>
      <c r="V159" s="259"/>
      <c r="W159" s="78"/>
      <c r="X159" s="261"/>
    </row>
    <row r="160" spans="1:24" s="18" customFormat="1" hidden="1" x14ac:dyDescent="0.25">
      <c r="A160" s="118" t="s">
        <v>266</v>
      </c>
      <c r="B160" s="262" t="s">
        <v>680</v>
      </c>
      <c r="C160" s="712" t="s">
        <v>267</v>
      </c>
      <c r="D160" s="713"/>
      <c r="E160" s="713"/>
      <c r="F160" s="256">
        <v>0</v>
      </c>
      <c r="G160" s="346">
        <v>0</v>
      </c>
      <c r="H160" s="318">
        <v>0</v>
      </c>
      <c r="I160" s="517">
        <v>0</v>
      </c>
      <c r="J160" s="263">
        <f>SUM(P160:AA160)</f>
        <v>0</v>
      </c>
      <c r="K160" s="264"/>
      <c r="L160" s="256">
        <f t="shared" si="32"/>
        <v>0</v>
      </c>
      <c r="M160" s="257"/>
      <c r="N160" s="258"/>
      <c r="O160" s="259"/>
      <c r="P160" s="259"/>
      <c r="Q160" s="258"/>
      <c r="R160" s="259"/>
      <c r="S160" s="259"/>
      <c r="T160" s="261"/>
      <c r="U160" s="346"/>
      <c r="V160" s="259"/>
      <c r="W160" s="78"/>
      <c r="X160" s="261"/>
    </row>
    <row r="161" spans="1:24" s="18" customFormat="1" ht="15.75" thickBot="1" x14ac:dyDescent="0.3">
      <c r="A161" s="118" t="s">
        <v>268</v>
      </c>
      <c r="B161" s="265" t="s">
        <v>681</v>
      </c>
      <c r="C161" s="714" t="s">
        <v>366</v>
      </c>
      <c r="D161" s="715"/>
      <c r="E161" s="715"/>
      <c r="F161" s="256">
        <v>0</v>
      </c>
      <c r="G161" s="470">
        <v>0</v>
      </c>
      <c r="H161" s="490">
        <v>31590</v>
      </c>
      <c r="I161" s="520">
        <v>31590</v>
      </c>
      <c r="J161" s="266">
        <f>SUM(P161:AA161)</f>
        <v>0</v>
      </c>
      <c r="K161" s="267"/>
      <c r="L161" s="256">
        <f t="shared" si="32"/>
        <v>0</v>
      </c>
      <c r="M161" s="257"/>
      <c r="N161" s="258"/>
      <c r="O161" s="259"/>
      <c r="P161" s="259"/>
      <c r="Q161" s="258"/>
      <c r="R161" s="259"/>
      <c r="S161" s="259"/>
      <c r="T161" s="261"/>
      <c r="U161" s="346"/>
      <c r="V161" s="259"/>
      <c r="W161" s="78">
        <v>0</v>
      </c>
      <c r="X161" s="261"/>
    </row>
    <row r="162" spans="1:24" ht="15.75" thickBot="1" x14ac:dyDescent="0.3">
      <c r="B162" s="96" t="s">
        <v>269</v>
      </c>
      <c r="C162" s="632" t="s">
        <v>270</v>
      </c>
      <c r="D162" s="633"/>
      <c r="E162" s="633"/>
      <c r="F162" s="156">
        <v>0</v>
      </c>
      <c r="G162" s="338">
        <v>0</v>
      </c>
      <c r="H162" s="308">
        <v>0</v>
      </c>
      <c r="I162" s="506">
        <v>0</v>
      </c>
      <c r="J162" s="235">
        <f>J163+J164+J175+J186+J197+J200+J212+J213+J214</f>
        <v>0</v>
      </c>
      <c r="K162" s="144">
        <f>K163+K164+K175+K186+K197+K200+K212+K213+K214</f>
        <v>0</v>
      </c>
      <c r="L162" s="156">
        <f t="shared" si="32"/>
        <v>0</v>
      </c>
      <c r="M162" s="82">
        <f t="shared" ref="M162:X162" si="39">M163+M164+M175+M186+M197+M200+M212+M213+M214</f>
        <v>0</v>
      </c>
      <c r="N162" s="83">
        <f t="shared" si="39"/>
        <v>0</v>
      </c>
      <c r="O162" s="86">
        <f t="shared" si="39"/>
        <v>0</v>
      </c>
      <c r="P162" s="86">
        <f t="shared" si="39"/>
        <v>0</v>
      </c>
      <c r="Q162" s="83">
        <f t="shared" si="39"/>
        <v>0</v>
      </c>
      <c r="R162" s="86">
        <f t="shared" si="39"/>
        <v>0</v>
      </c>
      <c r="S162" s="86">
        <f t="shared" si="39"/>
        <v>0</v>
      </c>
      <c r="T162" s="87">
        <f t="shared" si="39"/>
        <v>0</v>
      </c>
      <c r="U162" s="338">
        <f t="shared" si="39"/>
        <v>0</v>
      </c>
      <c r="V162" s="86">
        <f t="shared" si="39"/>
        <v>0</v>
      </c>
      <c r="W162" s="86">
        <f t="shared" si="39"/>
        <v>0</v>
      </c>
      <c r="X162" s="87">
        <f t="shared" si="39"/>
        <v>0</v>
      </c>
    </row>
    <row r="163" spans="1:24" s="18" customFormat="1" ht="25.5" hidden="1" customHeight="1" x14ac:dyDescent="0.25">
      <c r="A163" s="118" t="s">
        <v>271</v>
      </c>
      <c r="B163" s="88" t="s">
        <v>682</v>
      </c>
      <c r="C163" s="646" t="s">
        <v>367</v>
      </c>
      <c r="D163" s="647"/>
      <c r="E163" s="647"/>
      <c r="F163" s="158">
        <v>0</v>
      </c>
      <c r="G163" s="341">
        <v>0</v>
      </c>
      <c r="H163" s="311">
        <v>0</v>
      </c>
      <c r="I163" s="509">
        <v>0</v>
      </c>
      <c r="J163" s="246">
        <f>SUM(P163:AA163)</f>
        <v>0</v>
      </c>
      <c r="K163" s="155"/>
      <c r="L163" s="158">
        <f t="shared" si="32"/>
        <v>0</v>
      </c>
      <c r="M163" s="90"/>
      <c r="N163" s="91"/>
      <c r="O163" s="94"/>
      <c r="P163" s="94"/>
      <c r="Q163" s="91"/>
      <c r="R163" s="94"/>
      <c r="S163" s="94"/>
      <c r="T163" s="95"/>
      <c r="U163" s="341"/>
      <c r="V163" s="94"/>
      <c r="W163" s="94"/>
      <c r="X163" s="95"/>
    </row>
    <row r="164" spans="1:24" s="18" customFormat="1" ht="16.350000000000001" hidden="1" customHeight="1" x14ac:dyDescent="0.25">
      <c r="A164" s="118" t="s">
        <v>272</v>
      </c>
      <c r="B164" s="88" t="s">
        <v>683</v>
      </c>
      <c r="C164" s="716" t="s">
        <v>811</v>
      </c>
      <c r="D164" s="717"/>
      <c r="E164" s="717"/>
      <c r="F164" s="158">
        <v>0</v>
      </c>
      <c r="G164" s="341">
        <v>0</v>
      </c>
      <c r="H164" s="311">
        <v>0</v>
      </c>
      <c r="I164" s="509">
        <v>0</v>
      </c>
      <c r="J164" s="246">
        <f>J165+J166+J167+J168+J169+J170+J171+J172+J173+J174</f>
        <v>0</v>
      </c>
      <c r="K164" s="155">
        <f>K165+K166+K167+K168+K169+K170+K171+K172+K173+K174</f>
        <v>0</v>
      </c>
      <c r="L164" s="158">
        <f t="shared" si="32"/>
        <v>0</v>
      </c>
      <c r="M164" s="90">
        <f t="shared" ref="M164:X164" si="40">M165+M166+M167+M168+M169+M170+M171+M172+M173+M174</f>
        <v>0</v>
      </c>
      <c r="N164" s="91">
        <f t="shared" si="40"/>
        <v>0</v>
      </c>
      <c r="O164" s="94">
        <f t="shared" si="40"/>
        <v>0</v>
      </c>
      <c r="P164" s="94">
        <f t="shared" si="40"/>
        <v>0</v>
      </c>
      <c r="Q164" s="91">
        <f t="shared" si="40"/>
        <v>0</v>
      </c>
      <c r="R164" s="94">
        <f t="shared" si="40"/>
        <v>0</v>
      </c>
      <c r="S164" s="94">
        <f t="shared" si="40"/>
        <v>0</v>
      </c>
      <c r="T164" s="95">
        <f t="shared" si="40"/>
        <v>0</v>
      </c>
      <c r="U164" s="341">
        <f t="shared" si="40"/>
        <v>0</v>
      </c>
      <c r="V164" s="94">
        <f t="shared" si="40"/>
        <v>0</v>
      </c>
      <c r="W164" s="94">
        <f t="shared" si="40"/>
        <v>0</v>
      </c>
      <c r="X164" s="95">
        <f t="shared" si="40"/>
        <v>0</v>
      </c>
    </row>
    <row r="165" spans="1:24" ht="15.75" hidden="1" thickBot="1" x14ac:dyDescent="0.3">
      <c r="B165" s="54"/>
      <c r="C165" s="2"/>
      <c r="D165" s="624" t="s">
        <v>812</v>
      </c>
      <c r="E165" s="624"/>
      <c r="F165" s="159">
        <v>0</v>
      </c>
      <c r="G165" s="343">
        <v>0</v>
      </c>
      <c r="H165" s="313">
        <v>0</v>
      </c>
      <c r="I165" s="513">
        <v>0</v>
      </c>
      <c r="J165" s="232">
        <f t="shared" ref="J165:J174" si="41">SUM(P165:AA165)</f>
        <v>0</v>
      </c>
      <c r="K165" s="141"/>
      <c r="L165" s="159">
        <f t="shared" si="32"/>
        <v>0</v>
      </c>
      <c r="M165" s="72"/>
      <c r="N165" s="1"/>
      <c r="O165" s="78"/>
      <c r="P165" s="78"/>
      <c r="Q165" s="1"/>
      <c r="R165" s="78"/>
      <c r="S165" s="78"/>
      <c r="T165" s="44"/>
      <c r="U165" s="343"/>
      <c r="V165" s="78"/>
      <c r="W165" s="78"/>
      <c r="X165" s="44"/>
    </row>
    <row r="166" spans="1:24" ht="15.75" hidden="1" thickBot="1" x14ac:dyDescent="0.3">
      <c r="B166" s="54"/>
      <c r="C166" s="2"/>
      <c r="D166" s="624" t="s">
        <v>813</v>
      </c>
      <c r="E166" s="624"/>
      <c r="F166" s="159">
        <v>0</v>
      </c>
      <c r="G166" s="343">
        <v>0</v>
      </c>
      <c r="H166" s="313">
        <v>0</v>
      </c>
      <c r="I166" s="513">
        <v>0</v>
      </c>
      <c r="J166" s="232">
        <f t="shared" si="41"/>
        <v>0</v>
      </c>
      <c r="K166" s="141"/>
      <c r="L166" s="159">
        <f t="shared" si="32"/>
        <v>0</v>
      </c>
      <c r="M166" s="72"/>
      <c r="N166" s="1"/>
      <c r="O166" s="78"/>
      <c r="P166" s="78"/>
      <c r="Q166" s="1"/>
      <c r="R166" s="78"/>
      <c r="S166" s="78"/>
      <c r="T166" s="44"/>
      <c r="U166" s="343"/>
      <c r="V166" s="78"/>
      <c r="W166" s="78"/>
      <c r="X166" s="44"/>
    </row>
    <row r="167" spans="1:24" ht="15.75" hidden="1" thickBot="1" x14ac:dyDescent="0.3">
      <c r="B167" s="54"/>
      <c r="C167" s="2"/>
      <c r="D167" s="624" t="s">
        <v>545</v>
      </c>
      <c r="E167" s="624"/>
      <c r="F167" s="159">
        <v>0</v>
      </c>
      <c r="G167" s="343">
        <v>0</v>
      </c>
      <c r="H167" s="313">
        <v>0</v>
      </c>
      <c r="I167" s="513">
        <v>0</v>
      </c>
      <c r="J167" s="232">
        <f t="shared" si="41"/>
        <v>0</v>
      </c>
      <c r="K167" s="141"/>
      <c r="L167" s="159">
        <f t="shared" si="32"/>
        <v>0</v>
      </c>
      <c r="M167" s="72"/>
      <c r="N167" s="1"/>
      <c r="O167" s="78"/>
      <c r="P167" s="78"/>
      <c r="Q167" s="1"/>
      <c r="R167" s="78"/>
      <c r="S167" s="78"/>
      <c r="T167" s="44"/>
      <c r="U167" s="343"/>
      <c r="V167" s="78"/>
      <c r="W167" s="78"/>
      <c r="X167" s="44"/>
    </row>
    <row r="168" spans="1:24" ht="25.5" hidden="1" customHeight="1" x14ac:dyDescent="0.25">
      <c r="B168" s="54"/>
      <c r="C168" s="2"/>
      <c r="D168" s="625" t="s">
        <v>548</v>
      </c>
      <c r="E168" s="625"/>
      <c r="F168" s="159">
        <v>0</v>
      </c>
      <c r="G168" s="343">
        <v>0</v>
      </c>
      <c r="H168" s="313">
        <v>0</v>
      </c>
      <c r="I168" s="513">
        <v>0</v>
      </c>
      <c r="J168" s="242">
        <f t="shared" si="41"/>
        <v>0</v>
      </c>
      <c r="K168" s="151"/>
      <c r="L168" s="159">
        <f t="shared" si="32"/>
        <v>0</v>
      </c>
      <c r="M168" s="72"/>
      <c r="N168" s="1"/>
      <c r="O168" s="78"/>
      <c r="P168" s="78"/>
      <c r="Q168" s="1"/>
      <c r="R168" s="78"/>
      <c r="S168" s="78"/>
      <c r="T168" s="44"/>
      <c r="U168" s="343"/>
      <c r="V168" s="78"/>
      <c r="W168" s="78"/>
      <c r="X168" s="44"/>
    </row>
    <row r="169" spans="1:24" ht="15.75" hidden="1" thickBot="1" x14ac:dyDescent="0.3">
      <c r="B169" s="54"/>
      <c r="C169" s="2"/>
      <c r="D169" s="624" t="s">
        <v>550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si="41"/>
        <v>0</v>
      </c>
      <c r="K169" s="141"/>
      <c r="L169" s="159">
        <f t="shared" si="32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.75" hidden="1" thickBot="1" x14ac:dyDescent="0.3">
      <c r="B170" s="54"/>
      <c r="C170" s="2"/>
      <c r="D170" s="624" t="s">
        <v>551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2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25.5" hidden="1" customHeight="1" x14ac:dyDescent="0.25">
      <c r="B171" s="54"/>
      <c r="C171" s="2"/>
      <c r="D171" s="625" t="s">
        <v>555</v>
      </c>
      <c r="E171" s="625"/>
      <c r="F171" s="159">
        <v>0</v>
      </c>
      <c r="G171" s="343">
        <v>0</v>
      </c>
      <c r="H171" s="313">
        <v>0</v>
      </c>
      <c r="I171" s="513">
        <v>0</v>
      </c>
      <c r="J171" s="242">
        <f t="shared" si="41"/>
        <v>0</v>
      </c>
      <c r="K171" s="151"/>
      <c r="L171" s="159">
        <f t="shared" si="32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25" t="s">
        <v>558</v>
      </c>
      <c r="E172" s="625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2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25.5" hidden="1" customHeight="1" x14ac:dyDescent="0.25">
      <c r="B173" s="54"/>
      <c r="C173" s="2"/>
      <c r="D173" s="625" t="s">
        <v>560</v>
      </c>
      <c r="E173" s="625"/>
      <c r="F173" s="159">
        <v>0</v>
      </c>
      <c r="G173" s="343">
        <v>0</v>
      </c>
      <c r="H173" s="313">
        <v>0</v>
      </c>
      <c r="I173" s="513">
        <v>0</v>
      </c>
      <c r="J173" s="242">
        <f t="shared" si="41"/>
        <v>0</v>
      </c>
      <c r="K173" s="151"/>
      <c r="L173" s="159">
        <f t="shared" si="32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25.5" hidden="1" customHeight="1" x14ac:dyDescent="0.25">
      <c r="B174" s="54"/>
      <c r="C174" s="2"/>
      <c r="D174" s="625" t="s">
        <v>563</v>
      </c>
      <c r="E174" s="625"/>
      <c r="F174" s="159">
        <v>0</v>
      </c>
      <c r="G174" s="343">
        <v>0</v>
      </c>
      <c r="H174" s="313">
        <v>0</v>
      </c>
      <c r="I174" s="513">
        <v>0</v>
      </c>
      <c r="J174" s="242">
        <f t="shared" si="41"/>
        <v>0</v>
      </c>
      <c r="K174" s="151"/>
      <c r="L174" s="159">
        <f t="shared" si="32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s="18" customFormat="1" ht="25.5" hidden="1" customHeight="1" x14ac:dyDescent="0.25">
      <c r="A175" s="121" t="s">
        <v>273</v>
      </c>
      <c r="B175" s="88" t="s">
        <v>684</v>
      </c>
      <c r="C175" s="716" t="s">
        <v>605</v>
      </c>
      <c r="D175" s="717"/>
      <c r="E175" s="717"/>
      <c r="F175" s="158">
        <v>0</v>
      </c>
      <c r="G175" s="341">
        <v>0</v>
      </c>
      <c r="H175" s="311">
        <v>0</v>
      </c>
      <c r="I175" s="509">
        <v>0</v>
      </c>
      <c r="J175" s="246">
        <f>J176+J177+J178+J179+J180+J181+J182+J183+J184+J185</f>
        <v>0</v>
      </c>
      <c r="K175" s="155">
        <f>K176+K177+K178+K179+K180+K181+K182+K183+K184+K185</f>
        <v>0</v>
      </c>
      <c r="L175" s="158">
        <f t="shared" si="32"/>
        <v>0</v>
      </c>
      <c r="M175" s="90">
        <f t="shared" ref="M175:X175" si="42">M176+M177+M178+M179+M180+M181+M182+M183+M184+M185</f>
        <v>0</v>
      </c>
      <c r="N175" s="91">
        <f t="shared" si="42"/>
        <v>0</v>
      </c>
      <c r="O175" s="94">
        <f t="shared" si="42"/>
        <v>0</v>
      </c>
      <c r="P175" s="94">
        <f t="shared" si="42"/>
        <v>0</v>
      </c>
      <c r="Q175" s="91">
        <f t="shared" si="42"/>
        <v>0</v>
      </c>
      <c r="R175" s="94">
        <f t="shared" si="42"/>
        <v>0</v>
      </c>
      <c r="S175" s="94">
        <f t="shared" si="42"/>
        <v>0</v>
      </c>
      <c r="T175" s="95">
        <f t="shared" si="42"/>
        <v>0</v>
      </c>
      <c r="U175" s="341">
        <f t="shared" si="42"/>
        <v>0</v>
      </c>
      <c r="V175" s="94">
        <f t="shared" si="42"/>
        <v>0</v>
      </c>
      <c r="W175" s="94">
        <f t="shared" si="42"/>
        <v>0</v>
      </c>
      <c r="X175" s="95">
        <f t="shared" si="42"/>
        <v>0</v>
      </c>
    </row>
    <row r="176" spans="1:24" ht="15.75" hidden="1" thickBot="1" x14ac:dyDescent="0.3">
      <c r="B176" s="54"/>
      <c r="C176" s="2"/>
      <c r="D176" s="624" t="s">
        <v>814</v>
      </c>
      <c r="E176" s="624"/>
      <c r="F176" s="159">
        <v>0</v>
      </c>
      <c r="G176" s="343">
        <v>0</v>
      </c>
      <c r="H176" s="313">
        <v>0</v>
      </c>
      <c r="I176" s="513">
        <v>0</v>
      </c>
      <c r="J176" s="232">
        <f t="shared" ref="J176:J185" si="43">SUM(P176:AA176)</f>
        <v>0</v>
      </c>
      <c r="K176" s="141"/>
      <c r="L176" s="159">
        <f t="shared" si="32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15.75" hidden="1" thickBot="1" x14ac:dyDescent="0.3">
      <c r="B177" s="54"/>
      <c r="C177" s="2"/>
      <c r="D177" s="624" t="s">
        <v>815</v>
      </c>
      <c r="E177" s="624"/>
      <c r="F177" s="159">
        <v>0</v>
      </c>
      <c r="G177" s="343">
        <v>0</v>
      </c>
      <c r="H177" s="313">
        <v>0</v>
      </c>
      <c r="I177" s="513">
        <v>0</v>
      </c>
      <c r="J177" s="232">
        <f t="shared" si="43"/>
        <v>0</v>
      </c>
      <c r="K177" s="141"/>
      <c r="L177" s="159">
        <f t="shared" si="32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15.75" hidden="1" thickBot="1" x14ac:dyDescent="0.3">
      <c r="B178" s="54"/>
      <c r="C178" s="2"/>
      <c r="D178" s="624" t="s">
        <v>546</v>
      </c>
      <c r="E178" s="624"/>
      <c r="F178" s="159">
        <v>0</v>
      </c>
      <c r="G178" s="343">
        <v>0</v>
      </c>
      <c r="H178" s="313">
        <v>0</v>
      </c>
      <c r="I178" s="513">
        <v>0</v>
      </c>
      <c r="J178" s="232">
        <f t="shared" si="43"/>
        <v>0</v>
      </c>
      <c r="K178" s="141"/>
      <c r="L178" s="159">
        <f t="shared" si="32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ht="25.5" hidden="1" customHeight="1" x14ac:dyDescent="0.25">
      <c r="B179" s="54"/>
      <c r="C179" s="2"/>
      <c r="D179" s="625" t="s">
        <v>549</v>
      </c>
      <c r="E179" s="625"/>
      <c r="F179" s="159">
        <v>0</v>
      </c>
      <c r="G179" s="343">
        <v>0</v>
      </c>
      <c r="H179" s="313">
        <v>0</v>
      </c>
      <c r="I179" s="513">
        <v>0</v>
      </c>
      <c r="J179" s="242">
        <f t="shared" si="43"/>
        <v>0</v>
      </c>
      <c r="K179" s="151"/>
      <c r="L179" s="159">
        <f t="shared" si="32"/>
        <v>0</v>
      </c>
      <c r="M179" s="72"/>
      <c r="N179" s="1"/>
      <c r="O179" s="78"/>
      <c r="P179" s="78"/>
      <c r="Q179" s="1"/>
      <c r="R179" s="78"/>
      <c r="S179" s="78"/>
      <c r="T179" s="44"/>
      <c r="U179" s="343"/>
      <c r="V179" s="78"/>
      <c r="W179" s="78"/>
      <c r="X179" s="44"/>
    </row>
    <row r="180" spans="1:24" ht="15.75" hidden="1" thickBot="1" x14ac:dyDescent="0.3">
      <c r="B180" s="54"/>
      <c r="C180" s="2"/>
      <c r="D180" s="624" t="s">
        <v>552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si="43"/>
        <v>0</v>
      </c>
      <c r="K180" s="141"/>
      <c r="L180" s="159">
        <f t="shared" si="32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.75" hidden="1" thickBot="1" x14ac:dyDescent="0.3">
      <c r="B181" s="54"/>
      <c r="C181" s="2"/>
      <c r="D181" s="624" t="s">
        <v>816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2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25.5" hidden="1" customHeight="1" x14ac:dyDescent="0.25">
      <c r="B182" s="54"/>
      <c r="C182" s="2"/>
      <c r="D182" s="625" t="s">
        <v>556</v>
      </c>
      <c r="E182" s="625"/>
      <c r="F182" s="159">
        <v>0</v>
      </c>
      <c r="G182" s="343">
        <v>0</v>
      </c>
      <c r="H182" s="313">
        <v>0</v>
      </c>
      <c r="I182" s="513">
        <v>0</v>
      </c>
      <c r="J182" s="242">
        <f t="shared" si="43"/>
        <v>0</v>
      </c>
      <c r="K182" s="151"/>
      <c r="L182" s="159">
        <f t="shared" si="32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25" t="s">
        <v>559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2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25.5" hidden="1" customHeight="1" x14ac:dyDescent="0.25">
      <c r="B184" s="54"/>
      <c r="C184" s="2"/>
      <c r="D184" s="625" t="s">
        <v>561</v>
      </c>
      <c r="E184" s="625"/>
      <c r="F184" s="159">
        <v>0</v>
      </c>
      <c r="G184" s="343">
        <v>0</v>
      </c>
      <c r="H184" s="313">
        <v>0</v>
      </c>
      <c r="I184" s="513">
        <v>0</v>
      </c>
      <c r="J184" s="242">
        <f t="shared" si="43"/>
        <v>0</v>
      </c>
      <c r="K184" s="151"/>
      <c r="L184" s="159">
        <f t="shared" si="32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25.5" hidden="1" customHeight="1" x14ac:dyDescent="0.25">
      <c r="B185" s="54"/>
      <c r="C185" s="2"/>
      <c r="D185" s="625" t="s">
        <v>564</v>
      </c>
      <c r="E185" s="625"/>
      <c r="F185" s="159">
        <v>0</v>
      </c>
      <c r="G185" s="343">
        <v>0</v>
      </c>
      <c r="H185" s="313">
        <v>0</v>
      </c>
      <c r="I185" s="513">
        <v>0</v>
      </c>
      <c r="J185" s="242">
        <f t="shared" si="43"/>
        <v>0</v>
      </c>
      <c r="K185" s="151"/>
      <c r="L185" s="159">
        <f t="shared" si="32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s="18" customFormat="1" ht="15.75" hidden="1" thickBot="1" x14ac:dyDescent="0.3">
      <c r="A186" s="118" t="s">
        <v>274</v>
      </c>
      <c r="B186" s="88" t="s">
        <v>685</v>
      </c>
      <c r="C186" s="626" t="s">
        <v>275</v>
      </c>
      <c r="D186" s="627"/>
      <c r="E186" s="627"/>
      <c r="F186" s="158">
        <v>0</v>
      </c>
      <c r="G186" s="341">
        <v>0</v>
      </c>
      <c r="H186" s="311">
        <v>0</v>
      </c>
      <c r="I186" s="509">
        <v>0</v>
      </c>
      <c r="J186" s="233">
        <f>J187+J188+J189+J190+J191+J192+J193+J194+J195+J196</f>
        <v>0</v>
      </c>
      <c r="K186" s="142">
        <f>K187+K188+K189+K190+K191+K192+K193+K194+K195+K196</f>
        <v>0</v>
      </c>
      <c r="L186" s="158">
        <f t="shared" si="32"/>
        <v>0</v>
      </c>
      <c r="M186" s="90">
        <f t="shared" ref="M186:X186" si="44">M187+M188+M189+M190+M191+M192+M193+M194+M195+M196</f>
        <v>0</v>
      </c>
      <c r="N186" s="91">
        <f t="shared" si="44"/>
        <v>0</v>
      </c>
      <c r="O186" s="94">
        <f t="shared" si="44"/>
        <v>0</v>
      </c>
      <c r="P186" s="94">
        <f t="shared" si="44"/>
        <v>0</v>
      </c>
      <c r="Q186" s="91">
        <f t="shared" si="44"/>
        <v>0</v>
      </c>
      <c r="R186" s="94">
        <f t="shared" si="44"/>
        <v>0</v>
      </c>
      <c r="S186" s="94">
        <f t="shared" si="44"/>
        <v>0</v>
      </c>
      <c r="T186" s="95">
        <f t="shared" si="44"/>
        <v>0</v>
      </c>
      <c r="U186" s="341">
        <f t="shared" si="44"/>
        <v>0</v>
      </c>
      <c r="V186" s="94">
        <f t="shared" si="44"/>
        <v>0</v>
      </c>
      <c r="W186" s="94">
        <f t="shared" si="44"/>
        <v>0</v>
      </c>
      <c r="X186" s="95">
        <f t="shared" si="44"/>
        <v>0</v>
      </c>
    </row>
    <row r="187" spans="1:24" ht="15.75" hidden="1" thickBot="1" x14ac:dyDescent="0.3">
      <c r="B187" s="54"/>
      <c r="C187" s="2"/>
      <c r="D187" s="624" t="s">
        <v>371</v>
      </c>
      <c r="E187" s="624"/>
      <c r="F187" s="159">
        <v>0</v>
      </c>
      <c r="G187" s="343">
        <v>0</v>
      </c>
      <c r="H187" s="313">
        <v>0</v>
      </c>
      <c r="I187" s="513">
        <v>0</v>
      </c>
      <c r="J187" s="232">
        <f t="shared" ref="J187:J196" si="45">SUM(P187:AA187)</f>
        <v>0</v>
      </c>
      <c r="K187" s="141"/>
      <c r="L187" s="159">
        <f t="shared" si="32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15.75" hidden="1" thickBot="1" x14ac:dyDescent="0.3">
      <c r="B188" s="54"/>
      <c r="C188" s="2"/>
      <c r="D188" s="624" t="s">
        <v>544</v>
      </c>
      <c r="E188" s="624"/>
      <c r="F188" s="159">
        <v>0</v>
      </c>
      <c r="G188" s="343">
        <v>0</v>
      </c>
      <c r="H188" s="313">
        <v>0</v>
      </c>
      <c r="I188" s="513">
        <v>0</v>
      </c>
      <c r="J188" s="232">
        <f t="shared" si="45"/>
        <v>0</v>
      </c>
      <c r="K188" s="141"/>
      <c r="L188" s="159">
        <f t="shared" si="32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15.75" hidden="1" thickBot="1" x14ac:dyDescent="0.3">
      <c r="B189" s="54"/>
      <c r="C189" s="2"/>
      <c r="D189" s="624" t="s">
        <v>547</v>
      </c>
      <c r="E189" s="624"/>
      <c r="F189" s="159">
        <v>0</v>
      </c>
      <c r="G189" s="343">
        <v>0</v>
      </c>
      <c r="H189" s="313">
        <v>0</v>
      </c>
      <c r="I189" s="513">
        <v>0</v>
      </c>
      <c r="J189" s="232">
        <f t="shared" si="45"/>
        <v>0</v>
      </c>
      <c r="K189" s="141"/>
      <c r="L189" s="159">
        <f t="shared" si="32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ht="15.75" hidden="1" thickBot="1" x14ac:dyDescent="0.3">
      <c r="B190" s="54"/>
      <c r="C190" s="2"/>
      <c r="D190" s="625" t="s">
        <v>817</v>
      </c>
      <c r="E190" s="625"/>
      <c r="F190" s="159">
        <v>0</v>
      </c>
      <c r="G190" s="343">
        <v>0</v>
      </c>
      <c r="H190" s="313">
        <v>0</v>
      </c>
      <c r="I190" s="513">
        <v>0</v>
      </c>
      <c r="J190" s="242">
        <f t="shared" si="45"/>
        <v>0</v>
      </c>
      <c r="K190" s="151"/>
      <c r="L190" s="159">
        <f t="shared" si="32"/>
        <v>0</v>
      </c>
      <c r="M190" s="72"/>
      <c r="N190" s="1"/>
      <c r="O190" s="78"/>
      <c r="P190" s="78"/>
      <c r="Q190" s="1"/>
      <c r="R190" s="78"/>
      <c r="S190" s="78"/>
      <c r="T190" s="44"/>
      <c r="U190" s="343"/>
      <c r="V190" s="78"/>
      <c r="W190" s="78"/>
      <c r="X190" s="44"/>
    </row>
    <row r="191" spans="1:24" ht="15.75" hidden="1" thickBot="1" x14ac:dyDescent="0.3">
      <c r="B191" s="54"/>
      <c r="C191" s="2"/>
      <c r="D191" s="624" t="s">
        <v>554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si="45"/>
        <v>0</v>
      </c>
      <c r="K191" s="141"/>
      <c r="L191" s="159">
        <f t="shared" si="32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.75" hidden="1" thickBot="1" x14ac:dyDescent="0.3">
      <c r="B192" s="54"/>
      <c r="C192" s="2"/>
      <c r="D192" s="624" t="s">
        <v>553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2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25.5" hidden="1" customHeight="1" x14ac:dyDescent="0.25">
      <c r="B193" s="54"/>
      <c r="C193" s="2"/>
      <c r="D193" s="625" t="s">
        <v>557</v>
      </c>
      <c r="E193" s="625"/>
      <c r="F193" s="159">
        <v>0</v>
      </c>
      <c r="G193" s="343">
        <v>0</v>
      </c>
      <c r="H193" s="313">
        <v>0</v>
      </c>
      <c r="I193" s="513">
        <v>0</v>
      </c>
      <c r="J193" s="242">
        <f t="shared" si="45"/>
        <v>0</v>
      </c>
      <c r="K193" s="151"/>
      <c r="L193" s="159">
        <f t="shared" si="32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.75" hidden="1" thickBot="1" x14ac:dyDescent="0.3">
      <c r="B194" s="54"/>
      <c r="C194" s="2"/>
      <c r="D194" s="624" t="s">
        <v>818</v>
      </c>
      <c r="E194" s="624"/>
      <c r="F194" s="159">
        <v>0</v>
      </c>
      <c r="G194" s="343">
        <v>0</v>
      </c>
      <c r="H194" s="313">
        <v>0</v>
      </c>
      <c r="I194" s="513">
        <v>0</v>
      </c>
      <c r="J194" s="232">
        <f t="shared" si="45"/>
        <v>0</v>
      </c>
      <c r="K194" s="141"/>
      <c r="L194" s="159">
        <f t="shared" si="32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25.5" hidden="1" customHeight="1" x14ac:dyDescent="0.25">
      <c r="B195" s="54"/>
      <c r="C195" s="2"/>
      <c r="D195" s="625" t="s">
        <v>562</v>
      </c>
      <c r="E195" s="625"/>
      <c r="F195" s="159">
        <v>0</v>
      </c>
      <c r="G195" s="343">
        <v>0</v>
      </c>
      <c r="H195" s="313">
        <v>0</v>
      </c>
      <c r="I195" s="513">
        <v>0</v>
      </c>
      <c r="J195" s="242">
        <f t="shared" si="45"/>
        <v>0</v>
      </c>
      <c r="K195" s="151"/>
      <c r="L195" s="159">
        <f t="shared" si="32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25.5" hidden="1" customHeight="1" x14ac:dyDescent="0.25">
      <c r="B196" s="54"/>
      <c r="C196" s="2"/>
      <c r="D196" s="625" t="s">
        <v>565</v>
      </c>
      <c r="E196" s="625"/>
      <c r="F196" s="159">
        <v>0</v>
      </c>
      <c r="G196" s="343">
        <v>0</v>
      </c>
      <c r="H196" s="313">
        <v>0</v>
      </c>
      <c r="I196" s="513">
        <v>0</v>
      </c>
      <c r="J196" s="242">
        <f t="shared" si="45"/>
        <v>0</v>
      </c>
      <c r="K196" s="151"/>
      <c r="L196" s="159">
        <f t="shared" si="32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s="18" customFormat="1" ht="25.5" hidden="1" customHeight="1" x14ac:dyDescent="0.25">
      <c r="A197" s="118" t="s">
        <v>276</v>
      </c>
      <c r="B197" s="88" t="s">
        <v>686</v>
      </c>
      <c r="C197" s="716" t="s">
        <v>606</v>
      </c>
      <c r="D197" s="717"/>
      <c r="E197" s="717"/>
      <c r="F197" s="158">
        <v>0</v>
      </c>
      <c r="G197" s="341">
        <v>0</v>
      </c>
      <c r="H197" s="311">
        <v>0</v>
      </c>
      <c r="I197" s="509">
        <v>0</v>
      </c>
      <c r="J197" s="246">
        <f>J198+J199</f>
        <v>0</v>
      </c>
      <c r="K197" s="155">
        <f>K198+K199</f>
        <v>0</v>
      </c>
      <c r="L197" s="158">
        <f t="shared" si="32"/>
        <v>0</v>
      </c>
      <c r="M197" s="90">
        <f t="shared" ref="M197:X197" si="46">M198+M199</f>
        <v>0</v>
      </c>
      <c r="N197" s="91">
        <f t="shared" si="46"/>
        <v>0</v>
      </c>
      <c r="O197" s="94">
        <f t="shared" si="46"/>
        <v>0</v>
      </c>
      <c r="P197" s="94">
        <f t="shared" si="46"/>
        <v>0</v>
      </c>
      <c r="Q197" s="91">
        <f t="shared" si="46"/>
        <v>0</v>
      </c>
      <c r="R197" s="94">
        <f t="shared" si="46"/>
        <v>0</v>
      </c>
      <c r="S197" s="94">
        <f t="shared" si="46"/>
        <v>0</v>
      </c>
      <c r="T197" s="95">
        <f t="shared" si="46"/>
        <v>0</v>
      </c>
      <c r="U197" s="341">
        <f t="shared" si="46"/>
        <v>0</v>
      </c>
      <c r="V197" s="94">
        <f t="shared" si="46"/>
        <v>0</v>
      </c>
      <c r="W197" s="94">
        <f t="shared" si="46"/>
        <v>0</v>
      </c>
      <c r="X197" s="95">
        <f t="shared" si="46"/>
        <v>0</v>
      </c>
    </row>
    <row r="198" spans="1:24" ht="25.5" hidden="1" customHeight="1" x14ac:dyDescent="0.25">
      <c r="B198" s="54"/>
      <c r="C198" s="2"/>
      <c r="D198" s="625" t="s">
        <v>568</v>
      </c>
      <c r="E198" s="625"/>
      <c r="F198" s="159">
        <v>0</v>
      </c>
      <c r="G198" s="343">
        <v>0</v>
      </c>
      <c r="H198" s="313">
        <v>0</v>
      </c>
      <c r="I198" s="513">
        <v>0</v>
      </c>
      <c r="J198" s="242">
        <f>SUM(P198:AA198)</f>
        <v>0</v>
      </c>
      <c r="K198" s="151"/>
      <c r="L198" s="159">
        <f t="shared" ref="L198:L255" si="47">SUM(J198:K198)</f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25" t="s">
        <v>569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>SUM(P199:AA199)</f>
        <v>0</v>
      </c>
      <c r="K199" s="151"/>
      <c r="L199" s="159">
        <f t="shared" si="47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s="18" customFormat="1" ht="15" hidden="1" customHeight="1" x14ac:dyDescent="0.25">
      <c r="A200" s="118" t="s">
        <v>277</v>
      </c>
      <c r="B200" s="88" t="s">
        <v>687</v>
      </c>
      <c r="C200" s="716" t="s">
        <v>819</v>
      </c>
      <c r="D200" s="717"/>
      <c r="E200" s="717"/>
      <c r="F200" s="158">
        <v>0</v>
      </c>
      <c r="G200" s="341">
        <v>0</v>
      </c>
      <c r="H200" s="311">
        <v>0</v>
      </c>
      <c r="I200" s="509">
        <v>0</v>
      </c>
      <c r="J200" s="246">
        <f>J201+J202+J203+J204+J205+J206+J207+J208+J209+J210+J211</f>
        <v>0</v>
      </c>
      <c r="K200" s="155">
        <f>K201+K202+K203+K204+K205+K206+K207+K208+K209+K210+K211</f>
        <v>0</v>
      </c>
      <c r="L200" s="158">
        <f t="shared" si="47"/>
        <v>0</v>
      </c>
      <c r="M200" s="90">
        <f t="shared" ref="M200:X200" si="48">M201+M202+M203+M204+M205+M206+M207+M208+M209+M210+M211</f>
        <v>0</v>
      </c>
      <c r="N200" s="91">
        <f t="shared" si="48"/>
        <v>0</v>
      </c>
      <c r="O200" s="94">
        <f t="shared" si="48"/>
        <v>0</v>
      </c>
      <c r="P200" s="94">
        <f t="shared" si="48"/>
        <v>0</v>
      </c>
      <c r="Q200" s="91">
        <f t="shared" si="48"/>
        <v>0</v>
      </c>
      <c r="R200" s="94">
        <f t="shared" si="48"/>
        <v>0</v>
      </c>
      <c r="S200" s="94">
        <f t="shared" si="48"/>
        <v>0</v>
      </c>
      <c r="T200" s="95">
        <f t="shared" si="48"/>
        <v>0</v>
      </c>
      <c r="U200" s="341">
        <f t="shared" si="48"/>
        <v>0</v>
      </c>
      <c r="V200" s="94">
        <f t="shared" si="48"/>
        <v>0</v>
      </c>
      <c r="W200" s="94">
        <f t="shared" si="48"/>
        <v>0</v>
      </c>
      <c r="X200" s="95">
        <f t="shared" si="48"/>
        <v>0</v>
      </c>
    </row>
    <row r="201" spans="1:24" ht="15.75" hidden="1" thickBot="1" x14ac:dyDescent="0.3">
      <c r="B201" s="54"/>
      <c r="C201" s="2"/>
      <c r="D201" s="624" t="s">
        <v>372</v>
      </c>
      <c r="E201" s="624"/>
      <c r="F201" s="159">
        <v>0</v>
      </c>
      <c r="G201" s="343">
        <v>0</v>
      </c>
      <c r="H201" s="313">
        <v>0</v>
      </c>
      <c r="I201" s="513">
        <v>0</v>
      </c>
      <c r="J201" s="232">
        <f t="shared" ref="J201:J213" si="49">SUM(P201:AA201)</f>
        <v>0</v>
      </c>
      <c r="K201" s="141"/>
      <c r="L201" s="159">
        <f t="shared" si="47"/>
        <v>0</v>
      </c>
      <c r="M201" s="72"/>
      <c r="N201" s="1"/>
      <c r="O201" s="78"/>
      <c r="P201" s="78"/>
      <c r="Q201" s="1"/>
      <c r="R201" s="78"/>
      <c r="S201" s="78"/>
      <c r="T201" s="44"/>
      <c r="U201" s="343"/>
      <c r="V201" s="78"/>
      <c r="W201" s="78"/>
      <c r="X201" s="44"/>
    </row>
    <row r="202" spans="1:24" ht="15.75" hidden="1" thickBot="1" x14ac:dyDescent="0.3">
      <c r="B202" s="54"/>
      <c r="C202" s="2"/>
      <c r="D202" s="624" t="s">
        <v>820</v>
      </c>
      <c r="E202" s="624"/>
      <c r="F202" s="159">
        <v>0</v>
      </c>
      <c r="G202" s="343">
        <v>0</v>
      </c>
      <c r="H202" s="313">
        <v>0</v>
      </c>
      <c r="I202" s="513">
        <v>0</v>
      </c>
      <c r="J202" s="232">
        <f t="shared" si="49"/>
        <v>0</v>
      </c>
      <c r="K202" s="141"/>
      <c r="L202" s="159">
        <f t="shared" si="47"/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15.75" hidden="1" thickBot="1" x14ac:dyDescent="0.3">
      <c r="B203" s="54"/>
      <c r="C203" s="2"/>
      <c r="D203" s="624" t="s">
        <v>375</v>
      </c>
      <c r="E203" s="624"/>
      <c r="F203" s="159">
        <v>0</v>
      </c>
      <c r="G203" s="343">
        <v>0</v>
      </c>
      <c r="H203" s="313">
        <v>0</v>
      </c>
      <c r="I203" s="513">
        <v>0</v>
      </c>
      <c r="J203" s="232">
        <f t="shared" si="49"/>
        <v>0</v>
      </c>
      <c r="K203" s="14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ht="15.75" hidden="1" thickBot="1" x14ac:dyDescent="0.3">
      <c r="B204" s="54"/>
      <c r="C204" s="2"/>
      <c r="D204" s="624" t="s">
        <v>373</v>
      </c>
      <c r="E204" s="624"/>
      <c r="F204" s="159">
        <v>0</v>
      </c>
      <c r="G204" s="343">
        <v>0</v>
      </c>
      <c r="H204" s="313">
        <v>0</v>
      </c>
      <c r="I204" s="513">
        <v>0</v>
      </c>
      <c r="J204" s="232">
        <f t="shared" si="49"/>
        <v>0</v>
      </c>
      <c r="K204" s="141"/>
      <c r="L204" s="159">
        <f t="shared" si="47"/>
        <v>0</v>
      </c>
      <c r="M204" s="72"/>
      <c r="N204" s="1"/>
      <c r="O204" s="78"/>
      <c r="P204" s="78"/>
      <c r="Q204" s="1"/>
      <c r="R204" s="78"/>
      <c r="S204" s="78"/>
      <c r="T204" s="44"/>
      <c r="U204" s="343"/>
      <c r="V204" s="78"/>
      <c r="W204" s="78"/>
      <c r="X204" s="44"/>
    </row>
    <row r="205" spans="1:24" ht="15.75" hidden="1" thickBot="1" x14ac:dyDescent="0.3">
      <c r="B205" s="54"/>
      <c r="C205" s="2"/>
      <c r="D205" s="624" t="s">
        <v>821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si="49"/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25.5" hidden="1" customHeight="1" x14ac:dyDescent="0.25">
      <c r="B206" s="54"/>
      <c r="C206" s="2"/>
      <c r="D206" s="625" t="s">
        <v>537</v>
      </c>
      <c r="E206" s="625"/>
      <c r="F206" s="159">
        <v>0</v>
      </c>
      <c r="G206" s="343">
        <v>0</v>
      </c>
      <c r="H206" s="313">
        <v>0</v>
      </c>
      <c r="I206" s="513">
        <v>0</v>
      </c>
      <c r="J206" s="242">
        <f t="shared" si="49"/>
        <v>0</v>
      </c>
      <c r="K206" s="15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25.5" hidden="1" customHeight="1" x14ac:dyDescent="0.25">
      <c r="B207" s="54"/>
      <c r="C207" s="2"/>
      <c r="D207" s="625" t="s">
        <v>540</v>
      </c>
      <c r="E207" s="625"/>
      <c r="F207" s="159">
        <v>0</v>
      </c>
      <c r="G207" s="343">
        <v>0</v>
      </c>
      <c r="H207" s="313">
        <v>0</v>
      </c>
      <c r="I207" s="513">
        <v>0</v>
      </c>
      <c r="J207" s="242">
        <f t="shared" si="49"/>
        <v>0</v>
      </c>
      <c r="K207" s="15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.75" hidden="1" thickBot="1" x14ac:dyDescent="0.3">
      <c r="B208" s="54"/>
      <c r="C208" s="2"/>
      <c r="D208" s="624" t="s">
        <v>822</v>
      </c>
      <c r="E208" s="624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.75" hidden="1" thickBot="1" x14ac:dyDescent="0.3">
      <c r="B209" s="54"/>
      <c r="C209" s="2"/>
      <c r="D209" s="624" t="s">
        <v>374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15.75" hidden="1" thickBot="1" x14ac:dyDescent="0.3">
      <c r="B210" s="54"/>
      <c r="C210" s="2"/>
      <c r="D210" s="624" t="s">
        <v>823</v>
      </c>
      <c r="E210" s="624"/>
      <c r="F210" s="159">
        <v>0</v>
      </c>
      <c r="G210" s="343">
        <v>0</v>
      </c>
      <c r="H210" s="313">
        <v>0</v>
      </c>
      <c r="I210" s="513">
        <v>0</v>
      </c>
      <c r="J210" s="232">
        <f t="shared" si="49"/>
        <v>0</v>
      </c>
      <c r="K210" s="14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15.75" hidden="1" thickBot="1" x14ac:dyDescent="0.3">
      <c r="B211" s="54"/>
      <c r="C211" s="2"/>
      <c r="D211" s="624" t="s">
        <v>566</v>
      </c>
      <c r="E211" s="624"/>
      <c r="F211" s="159">
        <v>0</v>
      </c>
      <c r="G211" s="343">
        <v>0</v>
      </c>
      <c r="H211" s="313">
        <v>0</v>
      </c>
      <c r="I211" s="513">
        <v>0</v>
      </c>
      <c r="J211" s="232">
        <f t="shared" si="49"/>
        <v>0</v>
      </c>
      <c r="K211" s="14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s="18" customFormat="1" ht="15.75" hidden="1" thickBot="1" x14ac:dyDescent="0.3">
      <c r="A212" s="118" t="s">
        <v>278</v>
      </c>
      <c r="B212" s="88" t="s">
        <v>688</v>
      </c>
      <c r="C212" s="626" t="s">
        <v>279</v>
      </c>
      <c r="D212" s="627"/>
      <c r="E212" s="627"/>
      <c r="F212" s="158">
        <v>0</v>
      </c>
      <c r="G212" s="341">
        <v>0</v>
      </c>
      <c r="H212" s="311">
        <v>0</v>
      </c>
      <c r="I212" s="509">
        <v>0</v>
      </c>
      <c r="J212" s="233">
        <f t="shared" si="49"/>
        <v>0</v>
      </c>
      <c r="K212" s="142"/>
      <c r="L212" s="158">
        <f t="shared" si="47"/>
        <v>0</v>
      </c>
      <c r="M212" s="90"/>
      <c r="N212" s="91"/>
      <c r="O212" s="94"/>
      <c r="P212" s="94"/>
      <c r="Q212" s="91"/>
      <c r="R212" s="94"/>
      <c r="S212" s="94"/>
      <c r="T212" s="95"/>
      <c r="U212" s="341"/>
      <c r="V212" s="94"/>
      <c r="W212" s="94"/>
      <c r="X212" s="95"/>
    </row>
    <row r="213" spans="1:24" s="18" customFormat="1" ht="15.75" hidden="1" thickBot="1" x14ac:dyDescent="0.3">
      <c r="A213" s="118" t="s">
        <v>280</v>
      </c>
      <c r="B213" s="88" t="s">
        <v>689</v>
      </c>
      <c r="C213" s="626" t="s">
        <v>281</v>
      </c>
      <c r="D213" s="627"/>
      <c r="E213" s="627"/>
      <c r="F213" s="158">
        <v>0</v>
      </c>
      <c r="G213" s="341">
        <v>0</v>
      </c>
      <c r="H213" s="311">
        <v>0</v>
      </c>
      <c r="I213" s="509">
        <v>0</v>
      </c>
      <c r="J213" s="233">
        <f t="shared" si="49"/>
        <v>0</v>
      </c>
      <c r="K213" s="142"/>
      <c r="L213" s="158">
        <f t="shared" si="47"/>
        <v>0</v>
      </c>
      <c r="M213" s="90"/>
      <c r="N213" s="91"/>
      <c r="O213" s="94"/>
      <c r="P213" s="94"/>
      <c r="Q213" s="91"/>
      <c r="R213" s="94"/>
      <c r="S213" s="94"/>
      <c r="T213" s="95"/>
      <c r="U213" s="341"/>
      <c r="V213" s="94"/>
      <c r="W213" s="94"/>
      <c r="X213" s="95"/>
    </row>
    <row r="214" spans="1:24" s="18" customFormat="1" ht="15.75" hidden="1" thickBot="1" x14ac:dyDescent="0.3">
      <c r="A214" s="118" t="s">
        <v>282</v>
      </c>
      <c r="B214" s="88" t="s">
        <v>690</v>
      </c>
      <c r="C214" s="626" t="s">
        <v>283</v>
      </c>
      <c r="D214" s="627"/>
      <c r="E214" s="627"/>
      <c r="F214" s="158">
        <v>0</v>
      </c>
      <c r="G214" s="341">
        <v>0</v>
      </c>
      <c r="H214" s="311">
        <v>0</v>
      </c>
      <c r="I214" s="509">
        <v>0</v>
      </c>
      <c r="J214" s="233">
        <f>J215+J216+J217+J218+J219+J220+J221+J222+J223+J224</f>
        <v>0</v>
      </c>
      <c r="K214" s="142">
        <f>K215+K216+K217+K218+K219+K220+K221+K222+K223+K224</f>
        <v>0</v>
      </c>
      <c r="L214" s="158">
        <f t="shared" si="47"/>
        <v>0</v>
      </c>
      <c r="M214" s="90">
        <f t="shared" ref="M214:X214" si="50">M215+M216+M217+M218+M219+M220+M221+M222+M223+M224</f>
        <v>0</v>
      </c>
      <c r="N214" s="91">
        <f t="shared" si="50"/>
        <v>0</v>
      </c>
      <c r="O214" s="94">
        <f t="shared" si="50"/>
        <v>0</v>
      </c>
      <c r="P214" s="94">
        <f t="shared" si="50"/>
        <v>0</v>
      </c>
      <c r="Q214" s="91">
        <f t="shared" si="50"/>
        <v>0</v>
      </c>
      <c r="R214" s="94">
        <f t="shared" si="50"/>
        <v>0</v>
      </c>
      <c r="S214" s="94">
        <f t="shared" si="50"/>
        <v>0</v>
      </c>
      <c r="T214" s="95">
        <f t="shared" si="50"/>
        <v>0</v>
      </c>
      <c r="U214" s="341">
        <f t="shared" si="50"/>
        <v>0</v>
      </c>
      <c r="V214" s="94">
        <f t="shared" si="50"/>
        <v>0</v>
      </c>
      <c r="W214" s="94">
        <f t="shared" si="50"/>
        <v>0</v>
      </c>
      <c r="X214" s="95">
        <f t="shared" si="50"/>
        <v>0</v>
      </c>
    </row>
    <row r="215" spans="1:24" ht="15.75" hidden="1" thickBot="1" x14ac:dyDescent="0.3">
      <c r="B215" s="54"/>
      <c r="C215" s="2"/>
      <c r="D215" s="624" t="s">
        <v>376</v>
      </c>
      <c r="E215" s="624"/>
      <c r="F215" s="159">
        <v>0</v>
      </c>
      <c r="G215" s="343">
        <v>0</v>
      </c>
      <c r="H215" s="313">
        <v>0</v>
      </c>
      <c r="I215" s="513">
        <v>0</v>
      </c>
      <c r="J215" s="232">
        <f t="shared" ref="J215:J224" si="51">SUM(P215:AA215)</f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ht="15.75" hidden="1" thickBot="1" x14ac:dyDescent="0.3">
      <c r="B216" s="54"/>
      <c r="C216" s="2"/>
      <c r="D216" s="624" t="s">
        <v>377</v>
      </c>
      <c r="E216" s="624"/>
      <c r="F216" s="159">
        <v>0</v>
      </c>
      <c r="G216" s="343">
        <v>0</v>
      </c>
      <c r="H216" s="313">
        <v>0</v>
      </c>
      <c r="I216" s="513">
        <v>0</v>
      </c>
      <c r="J216" s="232">
        <f t="shared" si="51"/>
        <v>0</v>
      </c>
      <c r="K216" s="141"/>
      <c r="L216" s="159">
        <f t="shared" si="47"/>
        <v>0</v>
      </c>
      <c r="M216" s="72"/>
      <c r="N216" s="1"/>
      <c r="O216" s="78"/>
      <c r="P216" s="78"/>
      <c r="Q216" s="1"/>
      <c r="R216" s="78"/>
      <c r="S216" s="78"/>
      <c r="T216" s="44"/>
      <c r="U216" s="343"/>
      <c r="V216" s="78"/>
      <c r="W216" s="78"/>
      <c r="X216" s="44"/>
    </row>
    <row r="217" spans="1:24" ht="15.75" hidden="1" thickBot="1" x14ac:dyDescent="0.3">
      <c r="B217" s="54"/>
      <c r="C217" s="2"/>
      <c r="D217" s="624" t="s">
        <v>378</v>
      </c>
      <c r="E217" s="624"/>
      <c r="F217" s="159">
        <v>0</v>
      </c>
      <c r="G217" s="343">
        <v>0</v>
      </c>
      <c r="H217" s="313">
        <v>0</v>
      </c>
      <c r="I217" s="513">
        <v>0</v>
      </c>
      <c r="J217" s="232">
        <f t="shared" si="51"/>
        <v>0</v>
      </c>
      <c r="K217" s="141"/>
      <c r="L217" s="159">
        <f t="shared" si="47"/>
        <v>0</v>
      </c>
      <c r="M217" s="72"/>
      <c r="N217" s="1"/>
      <c r="O217" s="78"/>
      <c r="P217" s="78"/>
      <c r="Q217" s="1"/>
      <c r="R217" s="78"/>
      <c r="S217" s="78"/>
      <c r="T217" s="44"/>
      <c r="U217" s="343"/>
      <c r="V217" s="78"/>
      <c r="W217" s="78"/>
      <c r="X217" s="44"/>
    </row>
    <row r="218" spans="1:24" ht="15.75" hidden="1" thickBot="1" x14ac:dyDescent="0.3">
      <c r="B218" s="54"/>
      <c r="C218" s="2"/>
      <c r="D218" s="624" t="s">
        <v>379</v>
      </c>
      <c r="E218" s="624"/>
      <c r="F218" s="159">
        <v>0</v>
      </c>
      <c r="G218" s="343">
        <v>0</v>
      </c>
      <c r="H218" s="313">
        <v>0</v>
      </c>
      <c r="I218" s="513">
        <v>0</v>
      </c>
      <c r="J218" s="232">
        <f t="shared" si="51"/>
        <v>0</v>
      </c>
      <c r="K218" s="141"/>
      <c r="L218" s="159">
        <f t="shared" si="47"/>
        <v>0</v>
      </c>
      <c r="M218" s="72"/>
      <c r="N218" s="1"/>
      <c r="O218" s="78"/>
      <c r="P218" s="78"/>
      <c r="Q218" s="1"/>
      <c r="R218" s="78"/>
      <c r="S218" s="78"/>
      <c r="T218" s="44"/>
      <c r="U218" s="343"/>
      <c r="V218" s="78"/>
      <c r="W218" s="78"/>
      <c r="X218" s="44"/>
    </row>
    <row r="219" spans="1:24" ht="15.75" hidden="1" thickBot="1" x14ac:dyDescent="0.3">
      <c r="B219" s="54"/>
      <c r="C219" s="2"/>
      <c r="D219" s="624" t="s">
        <v>380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si="51"/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25.5" hidden="1" customHeight="1" x14ac:dyDescent="0.25">
      <c r="B220" s="54"/>
      <c r="C220" s="2"/>
      <c r="D220" s="625" t="s">
        <v>538</v>
      </c>
      <c r="E220" s="625"/>
      <c r="F220" s="159">
        <v>0</v>
      </c>
      <c r="G220" s="343">
        <v>0</v>
      </c>
      <c r="H220" s="313">
        <v>0</v>
      </c>
      <c r="I220" s="513">
        <v>0</v>
      </c>
      <c r="J220" s="242">
        <f t="shared" si="51"/>
        <v>0</v>
      </c>
      <c r="K220" s="15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25.5" hidden="1" customHeight="1" x14ac:dyDescent="0.25">
      <c r="B221" s="54"/>
      <c r="C221" s="2"/>
      <c r="D221" s="625" t="s">
        <v>541</v>
      </c>
      <c r="E221" s="625"/>
      <c r="F221" s="159">
        <v>0</v>
      </c>
      <c r="G221" s="343">
        <v>0</v>
      </c>
      <c r="H221" s="313">
        <v>0</v>
      </c>
      <c r="I221" s="513">
        <v>0</v>
      </c>
      <c r="J221" s="242">
        <f t="shared" si="51"/>
        <v>0</v>
      </c>
      <c r="K221" s="15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.75" hidden="1" thickBot="1" x14ac:dyDescent="0.3">
      <c r="B222" s="54"/>
      <c r="C222" s="2"/>
      <c r="D222" s="624" t="s">
        <v>381</v>
      </c>
      <c r="E222" s="624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.75" hidden="1" thickBot="1" x14ac:dyDescent="0.3">
      <c r="B223" s="54"/>
      <c r="C223" s="2"/>
      <c r="D223" s="624" t="s">
        <v>382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15.75" hidden="1" thickBot="1" x14ac:dyDescent="0.3">
      <c r="B224" s="56"/>
      <c r="C224" s="20"/>
      <c r="D224" s="631" t="s">
        <v>567</v>
      </c>
      <c r="E224" s="631"/>
      <c r="F224" s="159">
        <v>0</v>
      </c>
      <c r="G224" s="467">
        <v>0</v>
      </c>
      <c r="H224" s="486">
        <v>0</v>
      </c>
      <c r="I224" s="514">
        <v>0</v>
      </c>
      <c r="J224" s="234">
        <f t="shared" si="51"/>
        <v>0</v>
      </c>
      <c r="K224" s="143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15.75" thickBot="1" x14ac:dyDescent="0.3">
      <c r="B225" s="96" t="s">
        <v>284</v>
      </c>
      <c r="C225" s="632" t="s">
        <v>285</v>
      </c>
      <c r="D225" s="633"/>
      <c r="E225" s="633"/>
      <c r="F225" s="156">
        <v>0</v>
      </c>
      <c r="G225" s="338">
        <v>0</v>
      </c>
      <c r="H225" s="308">
        <v>0</v>
      </c>
      <c r="I225" s="506">
        <v>0</v>
      </c>
      <c r="J225" s="235">
        <f>J226+J247+J253+J254</f>
        <v>0</v>
      </c>
      <c r="K225" s="144">
        <f>K226+K247+K253+K254</f>
        <v>0</v>
      </c>
      <c r="L225" s="156">
        <f t="shared" si="47"/>
        <v>0</v>
      </c>
      <c r="M225" s="82">
        <f t="shared" ref="M225:X225" si="52">M226+M247+M253+M254</f>
        <v>0</v>
      </c>
      <c r="N225" s="83">
        <f t="shared" si="52"/>
        <v>0</v>
      </c>
      <c r="O225" s="86">
        <f t="shared" si="52"/>
        <v>0</v>
      </c>
      <c r="P225" s="86">
        <f t="shared" si="52"/>
        <v>0</v>
      </c>
      <c r="Q225" s="83">
        <f t="shared" si="52"/>
        <v>0</v>
      </c>
      <c r="R225" s="86">
        <f t="shared" si="52"/>
        <v>0</v>
      </c>
      <c r="S225" s="86">
        <f t="shared" si="52"/>
        <v>0</v>
      </c>
      <c r="T225" s="87">
        <f t="shared" si="52"/>
        <v>0</v>
      </c>
      <c r="U225" s="338">
        <f t="shared" si="52"/>
        <v>0</v>
      </c>
      <c r="V225" s="86">
        <f t="shared" si="52"/>
        <v>0</v>
      </c>
      <c r="W225" s="86">
        <f t="shared" si="52"/>
        <v>0</v>
      </c>
      <c r="X225" s="87">
        <f t="shared" si="52"/>
        <v>0</v>
      </c>
    </row>
    <row r="226" spans="1:24" ht="15.75" hidden="1" thickBot="1" x14ac:dyDescent="0.3">
      <c r="B226" s="108" t="s">
        <v>691</v>
      </c>
      <c r="C226" s="634" t="s">
        <v>286</v>
      </c>
      <c r="D226" s="635"/>
      <c r="E226" s="635"/>
      <c r="F226" s="157">
        <v>0</v>
      </c>
      <c r="G226" s="339">
        <v>0</v>
      </c>
      <c r="H226" s="309">
        <v>0</v>
      </c>
      <c r="I226" s="507">
        <v>0</v>
      </c>
      <c r="J226" s="231">
        <f>J227+J231+J238+J239+J240+J241+J242+J243+J244</f>
        <v>0</v>
      </c>
      <c r="K226" s="140">
        <f>K227+K231+K238+K239+K240+K241+K242+K243+K244</f>
        <v>0</v>
      </c>
      <c r="L226" s="157">
        <f t="shared" si="47"/>
        <v>0</v>
      </c>
      <c r="M226" s="109">
        <f t="shared" ref="M226:X226" si="53">M227+M231+M238+M239+M240+M241+M242+M243+M244</f>
        <v>0</v>
      </c>
      <c r="N226" s="110">
        <f t="shared" si="53"/>
        <v>0</v>
      </c>
      <c r="O226" s="113">
        <f t="shared" si="53"/>
        <v>0</v>
      </c>
      <c r="P226" s="113">
        <f t="shared" si="53"/>
        <v>0</v>
      </c>
      <c r="Q226" s="110">
        <f t="shared" si="53"/>
        <v>0</v>
      </c>
      <c r="R226" s="113">
        <f t="shared" si="53"/>
        <v>0</v>
      </c>
      <c r="S226" s="113">
        <f t="shared" si="53"/>
        <v>0</v>
      </c>
      <c r="T226" s="114">
        <f t="shared" si="53"/>
        <v>0</v>
      </c>
      <c r="U226" s="339">
        <f t="shared" si="53"/>
        <v>0</v>
      </c>
      <c r="V226" s="113">
        <f t="shared" si="53"/>
        <v>0</v>
      </c>
      <c r="W226" s="113">
        <f t="shared" si="53"/>
        <v>0</v>
      </c>
      <c r="X226" s="114">
        <f t="shared" si="53"/>
        <v>0</v>
      </c>
    </row>
    <row r="227" spans="1:24" s="18" customFormat="1" ht="15.75" hidden="1" thickBot="1" x14ac:dyDescent="0.3">
      <c r="A227" s="118"/>
      <c r="B227" s="53" t="s">
        <v>692</v>
      </c>
      <c r="C227" s="628" t="s">
        <v>287</v>
      </c>
      <c r="D227" s="629"/>
      <c r="E227" s="629"/>
      <c r="F227" s="160">
        <v>0</v>
      </c>
      <c r="G227" s="342">
        <v>0</v>
      </c>
      <c r="H227" s="312">
        <v>0</v>
      </c>
      <c r="I227" s="510">
        <v>0</v>
      </c>
      <c r="J227" s="239">
        <f>J228+J229+J230</f>
        <v>0</v>
      </c>
      <c r="K227" s="148">
        <f>K228+K229+K230</f>
        <v>0</v>
      </c>
      <c r="L227" s="160">
        <f t="shared" si="47"/>
        <v>0</v>
      </c>
      <c r="M227" s="74">
        <f t="shared" ref="M227:X227" si="54">M228+M229+M230</f>
        <v>0</v>
      </c>
      <c r="N227" s="13">
        <f t="shared" si="54"/>
        <v>0</v>
      </c>
      <c r="O227" s="79">
        <f t="shared" si="54"/>
        <v>0</v>
      </c>
      <c r="P227" s="79">
        <f t="shared" si="54"/>
        <v>0</v>
      </c>
      <c r="Q227" s="13">
        <f t="shared" si="54"/>
        <v>0</v>
      </c>
      <c r="R227" s="79">
        <f t="shared" si="54"/>
        <v>0</v>
      </c>
      <c r="S227" s="79">
        <f t="shared" si="54"/>
        <v>0</v>
      </c>
      <c r="T227" s="45">
        <f t="shared" si="54"/>
        <v>0</v>
      </c>
      <c r="U227" s="342">
        <f t="shared" si="54"/>
        <v>0</v>
      </c>
      <c r="V227" s="79">
        <f t="shared" si="54"/>
        <v>0</v>
      </c>
      <c r="W227" s="79">
        <f t="shared" si="54"/>
        <v>0</v>
      </c>
      <c r="X227" s="45">
        <f t="shared" si="54"/>
        <v>0</v>
      </c>
    </row>
    <row r="228" spans="1:24" s="199" customFormat="1" ht="15.75" hidden="1" thickBot="1" x14ac:dyDescent="0.3">
      <c r="A228" s="118" t="s">
        <v>288</v>
      </c>
      <c r="B228" s="181" t="s">
        <v>693</v>
      </c>
      <c r="C228" s="228"/>
      <c r="D228" s="724" t="s">
        <v>705</v>
      </c>
      <c r="E228" s="724"/>
      <c r="F228" s="183">
        <v>0</v>
      </c>
      <c r="G228" s="340">
        <v>0</v>
      </c>
      <c r="H228" s="310">
        <v>0</v>
      </c>
      <c r="I228" s="508">
        <v>0</v>
      </c>
      <c r="J228" s="268">
        <f>SUM(P228:AA228)</f>
        <v>0</v>
      </c>
      <c r="K228" s="269"/>
      <c r="L228" s="183">
        <f t="shared" si="47"/>
        <v>0</v>
      </c>
      <c r="M228" s="191"/>
      <c r="N228" s="185"/>
      <c r="O228" s="186"/>
      <c r="P228" s="186"/>
      <c r="Q228" s="185"/>
      <c r="R228" s="186"/>
      <c r="S228" s="186"/>
      <c r="T228" s="187"/>
      <c r="U228" s="340"/>
      <c r="V228" s="186"/>
      <c r="W228" s="186"/>
      <c r="X228" s="187"/>
    </row>
    <row r="229" spans="1:24" s="199" customFormat="1" ht="15.75" hidden="1" thickBot="1" x14ac:dyDescent="0.3">
      <c r="A229" s="118" t="s">
        <v>289</v>
      </c>
      <c r="B229" s="181" t="s">
        <v>694</v>
      </c>
      <c r="C229" s="190"/>
      <c r="D229" s="630" t="s">
        <v>706</v>
      </c>
      <c r="E229" s="630"/>
      <c r="F229" s="183">
        <v>0</v>
      </c>
      <c r="G229" s="340">
        <v>0</v>
      </c>
      <c r="H229" s="310">
        <v>0</v>
      </c>
      <c r="I229" s="508">
        <v>0</v>
      </c>
      <c r="J229" s="251">
        <f>SUM(P229:AA229)</f>
        <v>0</v>
      </c>
      <c r="K229" s="182"/>
      <c r="L229" s="183">
        <f t="shared" si="47"/>
        <v>0</v>
      </c>
      <c r="M229" s="191"/>
      <c r="N229" s="185"/>
      <c r="O229" s="186"/>
      <c r="P229" s="186"/>
      <c r="Q229" s="185"/>
      <c r="R229" s="186"/>
      <c r="S229" s="186"/>
      <c r="T229" s="187"/>
      <c r="U229" s="340"/>
      <c r="V229" s="186"/>
      <c r="W229" s="186"/>
      <c r="X229" s="187"/>
    </row>
    <row r="230" spans="1:24" s="199" customFormat="1" ht="15.75" hidden="1" thickBot="1" x14ac:dyDescent="0.3">
      <c r="A230" s="118" t="s">
        <v>290</v>
      </c>
      <c r="B230" s="181" t="s">
        <v>695</v>
      </c>
      <c r="C230" s="190"/>
      <c r="D230" s="630" t="s">
        <v>707</v>
      </c>
      <c r="E230" s="630"/>
      <c r="F230" s="183">
        <v>0</v>
      </c>
      <c r="G230" s="340">
        <v>0</v>
      </c>
      <c r="H230" s="310">
        <v>0</v>
      </c>
      <c r="I230" s="508">
        <v>0</v>
      </c>
      <c r="J230" s="251">
        <f>SUM(P230:AA230)</f>
        <v>0</v>
      </c>
      <c r="K230" s="182"/>
      <c r="L230" s="183">
        <f t="shared" si="47"/>
        <v>0</v>
      </c>
      <c r="M230" s="191"/>
      <c r="N230" s="185"/>
      <c r="O230" s="186"/>
      <c r="P230" s="186"/>
      <c r="Q230" s="185"/>
      <c r="R230" s="186"/>
      <c r="S230" s="186"/>
      <c r="T230" s="187"/>
      <c r="U230" s="340"/>
      <c r="V230" s="186"/>
      <c r="W230" s="186"/>
      <c r="X230" s="187"/>
    </row>
    <row r="231" spans="1:24" s="18" customFormat="1" ht="15.75" hidden="1" thickBot="1" x14ac:dyDescent="0.3">
      <c r="A231" s="118"/>
      <c r="B231" s="53" t="s">
        <v>696</v>
      </c>
      <c r="C231" s="628" t="s">
        <v>291</v>
      </c>
      <c r="D231" s="629"/>
      <c r="E231" s="629"/>
      <c r="F231" s="160">
        <v>0</v>
      </c>
      <c r="G231" s="342">
        <v>0</v>
      </c>
      <c r="H231" s="312">
        <v>0</v>
      </c>
      <c r="I231" s="510">
        <v>0</v>
      </c>
      <c r="J231" s="239">
        <f>J232+J233+J234+J235+J236+J237</f>
        <v>0</v>
      </c>
      <c r="K231" s="148">
        <f>K232+K233+K234+K235+K236+K237</f>
        <v>0</v>
      </c>
      <c r="L231" s="160">
        <f t="shared" si="47"/>
        <v>0</v>
      </c>
      <c r="M231" s="74">
        <f t="shared" ref="M231:X231" si="55">M232+M233+M234+M235+M236+M237</f>
        <v>0</v>
      </c>
      <c r="N231" s="13">
        <f t="shared" si="55"/>
        <v>0</v>
      </c>
      <c r="O231" s="79">
        <f t="shared" si="55"/>
        <v>0</v>
      </c>
      <c r="P231" s="79">
        <f t="shared" si="55"/>
        <v>0</v>
      </c>
      <c r="Q231" s="13">
        <f t="shared" si="55"/>
        <v>0</v>
      </c>
      <c r="R231" s="79">
        <f t="shared" si="55"/>
        <v>0</v>
      </c>
      <c r="S231" s="79">
        <f t="shared" si="55"/>
        <v>0</v>
      </c>
      <c r="T231" s="45">
        <f t="shared" si="55"/>
        <v>0</v>
      </c>
      <c r="U231" s="342">
        <f t="shared" si="55"/>
        <v>0</v>
      </c>
      <c r="V231" s="79">
        <f t="shared" si="55"/>
        <v>0</v>
      </c>
      <c r="W231" s="79">
        <f t="shared" si="55"/>
        <v>0</v>
      </c>
      <c r="X231" s="45">
        <f t="shared" si="55"/>
        <v>0</v>
      </c>
    </row>
    <row r="232" spans="1:24" s="199" customFormat="1" ht="15.75" hidden="1" thickBot="1" x14ac:dyDescent="0.3">
      <c r="A232" s="118" t="s">
        <v>292</v>
      </c>
      <c r="B232" s="181" t="s">
        <v>697</v>
      </c>
      <c r="C232" s="190"/>
      <c r="D232" s="630" t="s">
        <v>383</v>
      </c>
      <c r="E232" s="630"/>
      <c r="F232" s="183">
        <v>0</v>
      </c>
      <c r="G232" s="340">
        <v>0</v>
      </c>
      <c r="H232" s="310">
        <v>0</v>
      </c>
      <c r="I232" s="508">
        <v>0</v>
      </c>
      <c r="J232" s="251">
        <f t="shared" ref="J232:J243" si="56">SUM(P232:AA232)</f>
        <v>0</v>
      </c>
      <c r="K232" s="182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.75" hidden="1" thickBot="1" x14ac:dyDescent="0.3">
      <c r="A233" s="118" t="s">
        <v>293</v>
      </c>
      <c r="B233" s="181" t="s">
        <v>698</v>
      </c>
      <c r="C233" s="190"/>
      <c r="D233" s="630" t="s">
        <v>384</v>
      </c>
      <c r="E233" s="630"/>
      <c r="F233" s="183">
        <v>0</v>
      </c>
      <c r="G233" s="340">
        <v>0</v>
      </c>
      <c r="H233" s="310">
        <v>0</v>
      </c>
      <c r="I233" s="508">
        <v>0</v>
      </c>
      <c r="J233" s="251">
        <f t="shared" si="56"/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.75" hidden="1" thickBot="1" x14ac:dyDescent="0.3">
      <c r="A234" s="118" t="s">
        <v>885</v>
      </c>
      <c r="B234" s="181" t="s">
        <v>886</v>
      </c>
      <c r="C234" s="190"/>
      <c r="D234" s="630" t="s">
        <v>887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 t="shared" si="56"/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99" customFormat="1" ht="15.75" hidden="1" thickBot="1" x14ac:dyDescent="0.3">
      <c r="A235" s="118" t="s">
        <v>294</v>
      </c>
      <c r="B235" s="181" t="s">
        <v>699</v>
      </c>
      <c r="C235" s="190"/>
      <c r="D235" s="630" t="s">
        <v>295</v>
      </c>
      <c r="E235" s="630"/>
      <c r="F235" s="183">
        <v>0</v>
      </c>
      <c r="G235" s="340">
        <v>0</v>
      </c>
      <c r="H235" s="310">
        <v>0</v>
      </c>
      <c r="I235" s="508">
        <v>0</v>
      </c>
      <c r="J235" s="251">
        <f t="shared" si="56"/>
        <v>0</v>
      </c>
      <c r="K235" s="182"/>
      <c r="L235" s="183">
        <f t="shared" si="47"/>
        <v>0</v>
      </c>
      <c r="M235" s="191"/>
      <c r="N235" s="185"/>
      <c r="O235" s="186"/>
      <c r="P235" s="186"/>
      <c r="Q235" s="185"/>
      <c r="R235" s="186"/>
      <c r="S235" s="186"/>
      <c r="T235" s="187"/>
      <c r="U235" s="340"/>
      <c r="V235" s="186"/>
      <c r="W235" s="186"/>
      <c r="X235" s="187"/>
    </row>
    <row r="236" spans="1:24" s="199" customFormat="1" ht="15.75" hidden="1" thickBot="1" x14ac:dyDescent="0.3">
      <c r="A236" s="118" t="s">
        <v>296</v>
      </c>
      <c r="B236" s="181" t="s">
        <v>700</v>
      </c>
      <c r="C236" s="190"/>
      <c r="D236" s="630" t="s">
        <v>297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si="56"/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.75" hidden="1" thickBot="1" x14ac:dyDescent="0.3">
      <c r="A237" s="118" t="s">
        <v>888</v>
      </c>
      <c r="B237" s="181" t="s">
        <v>889</v>
      </c>
      <c r="C237" s="190"/>
      <c r="D237" s="630" t="s">
        <v>890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41" customFormat="1" ht="15.75" hidden="1" thickBot="1" x14ac:dyDescent="0.3">
      <c r="A238" s="118" t="s">
        <v>891</v>
      </c>
      <c r="B238" s="53" t="s">
        <v>892</v>
      </c>
      <c r="C238" s="628" t="s">
        <v>893</v>
      </c>
      <c r="D238" s="629"/>
      <c r="E238" s="629"/>
      <c r="F238" s="160">
        <v>0</v>
      </c>
      <c r="G238" s="342">
        <v>0</v>
      </c>
      <c r="H238" s="312">
        <v>0</v>
      </c>
      <c r="I238" s="510">
        <v>0</v>
      </c>
      <c r="J238" s="239">
        <f t="shared" si="56"/>
        <v>0</v>
      </c>
      <c r="K238" s="148"/>
      <c r="L238" s="160">
        <f t="shared" si="47"/>
        <v>0</v>
      </c>
      <c r="M238" s="74"/>
      <c r="N238" s="13"/>
      <c r="O238" s="79"/>
      <c r="P238" s="79"/>
      <c r="Q238" s="13"/>
      <c r="R238" s="79"/>
      <c r="S238" s="79"/>
      <c r="T238" s="45"/>
      <c r="U238" s="342"/>
      <c r="V238" s="79"/>
      <c r="W238" s="79"/>
      <c r="X238" s="45"/>
    </row>
    <row r="239" spans="1:24" s="41" customFormat="1" ht="15.75" hidden="1" thickBot="1" x14ac:dyDescent="0.3">
      <c r="A239" s="118" t="s">
        <v>298</v>
      </c>
      <c r="B239" s="53" t="s">
        <v>701</v>
      </c>
      <c r="C239" s="628" t="s">
        <v>299</v>
      </c>
      <c r="D239" s="629"/>
      <c r="E239" s="629"/>
      <c r="F239" s="160">
        <v>0</v>
      </c>
      <c r="G239" s="342">
        <v>0</v>
      </c>
      <c r="H239" s="312">
        <v>0</v>
      </c>
      <c r="I239" s="510">
        <v>0</v>
      </c>
      <c r="J239" s="239">
        <f t="shared" si="56"/>
        <v>0</v>
      </c>
      <c r="K239" s="148"/>
      <c r="L239" s="160">
        <f t="shared" si="47"/>
        <v>0</v>
      </c>
      <c r="M239" s="74"/>
      <c r="N239" s="13"/>
      <c r="O239" s="79"/>
      <c r="P239" s="79"/>
      <c r="Q239" s="13"/>
      <c r="R239" s="79"/>
      <c r="S239" s="79"/>
      <c r="T239" s="45"/>
      <c r="U239" s="342"/>
      <c r="V239" s="79"/>
      <c r="W239" s="79"/>
      <c r="X239" s="45"/>
    </row>
    <row r="240" spans="1:24" s="41" customFormat="1" ht="15.75" hidden="1" thickBot="1" x14ac:dyDescent="0.3">
      <c r="A240" s="118" t="s">
        <v>300</v>
      </c>
      <c r="B240" s="53" t="s">
        <v>702</v>
      </c>
      <c r="C240" s="628" t="s">
        <v>894</v>
      </c>
      <c r="D240" s="629"/>
      <c r="E240" s="629"/>
      <c r="F240" s="160">
        <v>0</v>
      </c>
      <c r="G240" s="342">
        <v>0</v>
      </c>
      <c r="H240" s="312">
        <v>0</v>
      </c>
      <c r="I240" s="510">
        <v>0</v>
      </c>
      <c r="J240" s="239">
        <f t="shared" si="56"/>
        <v>0</v>
      </c>
      <c r="K240" s="148"/>
      <c r="L240" s="160">
        <f t="shared" si="47"/>
        <v>0</v>
      </c>
      <c r="M240" s="74"/>
      <c r="N240" s="13"/>
      <c r="O240" s="79"/>
      <c r="P240" s="79"/>
      <c r="Q240" s="13"/>
      <c r="R240" s="79"/>
      <c r="S240" s="79"/>
      <c r="T240" s="45"/>
      <c r="U240" s="342"/>
      <c r="V240" s="79"/>
      <c r="W240" s="79"/>
      <c r="X240" s="45"/>
    </row>
    <row r="241" spans="1:24" s="41" customFormat="1" ht="15.75" hidden="1" thickBot="1" x14ac:dyDescent="0.3">
      <c r="A241" s="118" t="s">
        <v>301</v>
      </c>
      <c r="B241" s="53" t="s">
        <v>703</v>
      </c>
      <c r="C241" s="628" t="s">
        <v>895</v>
      </c>
      <c r="D241" s="629"/>
      <c r="E241" s="629"/>
      <c r="F241" s="160">
        <v>0</v>
      </c>
      <c r="G241" s="342">
        <v>0</v>
      </c>
      <c r="H241" s="312">
        <v>0</v>
      </c>
      <c r="I241" s="510">
        <v>0</v>
      </c>
      <c r="J241" s="239">
        <f t="shared" si="56"/>
        <v>0</v>
      </c>
      <c r="K241" s="148"/>
      <c r="L241" s="160">
        <f t="shared" si="47"/>
        <v>0</v>
      </c>
      <c r="M241" s="74"/>
      <c r="N241" s="13"/>
      <c r="O241" s="79"/>
      <c r="P241" s="79"/>
      <c r="Q241" s="13"/>
      <c r="R241" s="79"/>
      <c r="S241" s="79"/>
      <c r="T241" s="45"/>
      <c r="U241" s="342"/>
      <c r="V241" s="79"/>
      <c r="W241" s="79"/>
      <c r="X241" s="45"/>
    </row>
    <row r="242" spans="1:24" s="41" customFormat="1" ht="15.75" hidden="1" thickBot="1" x14ac:dyDescent="0.3">
      <c r="A242" s="118" t="s">
        <v>302</v>
      </c>
      <c r="B242" s="53" t="s">
        <v>704</v>
      </c>
      <c r="C242" s="628" t="s">
        <v>303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.75" hidden="1" thickBot="1" x14ac:dyDescent="0.3">
      <c r="A243" s="118" t="s">
        <v>896</v>
      </c>
      <c r="B243" s="53" t="s">
        <v>897</v>
      </c>
      <c r="C243" s="628" t="s">
        <v>899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.75" hidden="1" thickBot="1" x14ac:dyDescent="0.3">
      <c r="A244" s="118"/>
      <c r="B244" s="53" t="s">
        <v>898</v>
      </c>
      <c r="C244" s="628" t="s">
        <v>900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>J245+J246</f>
        <v>0</v>
      </c>
      <c r="K244" s="148">
        <f>K245+K246</f>
        <v>0</v>
      </c>
      <c r="L244" s="160">
        <f t="shared" si="47"/>
        <v>0</v>
      </c>
      <c r="M244" s="74">
        <f t="shared" ref="M244:X244" si="57">M245+M246</f>
        <v>0</v>
      </c>
      <c r="N244" s="13">
        <f t="shared" si="57"/>
        <v>0</v>
      </c>
      <c r="O244" s="79">
        <f t="shared" si="57"/>
        <v>0</v>
      </c>
      <c r="P244" s="79">
        <f t="shared" si="57"/>
        <v>0</v>
      </c>
      <c r="Q244" s="13">
        <f t="shared" si="57"/>
        <v>0</v>
      </c>
      <c r="R244" s="79">
        <f t="shared" si="57"/>
        <v>0</v>
      </c>
      <c r="S244" s="79">
        <f t="shared" si="57"/>
        <v>0</v>
      </c>
      <c r="T244" s="45">
        <f t="shared" si="57"/>
        <v>0</v>
      </c>
      <c r="U244" s="342">
        <f t="shared" si="57"/>
        <v>0</v>
      </c>
      <c r="V244" s="79">
        <f t="shared" si="57"/>
        <v>0</v>
      </c>
      <c r="W244" s="79">
        <f t="shared" si="57"/>
        <v>0</v>
      </c>
      <c r="X244" s="45">
        <f t="shared" si="57"/>
        <v>0</v>
      </c>
    </row>
    <row r="245" spans="1:24" s="199" customFormat="1" ht="15.75" hidden="1" thickBot="1" x14ac:dyDescent="0.3">
      <c r="A245" s="118" t="s">
        <v>902</v>
      </c>
      <c r="B245" s="181" t="s">
        <v>901</v>
      </c>
      <c r="C245" s="190"/>
      <c r="D245" s="630" t="s">
        <v>905</v>
      </c>
      <c r="E245" s="630"/>
      <c r="F245" s="183">
        <v>0</v>
      </c>
      <c r="G245" s="340">
        <v>0</v>
      </c>
      <c r="H245" s="310">
        <v>0</v>
      </c>
      <c r="I245" s="508">
        <v>0</v>
      </c>
      <c r="J245" s="251">
        <f>SUM(P245:AA245)</f>
        <v>0</v>
      </c>
      <c r="K245" s="182"/>
      <c r="L245" s="183">
        <f t="shared" si="47"/>
        <v>0</v>
      </c>
      <c r="M245" s="191"/>
      <c r="N245" s="185"/>
      <c r="O245" s="186"/>
      <c r="P245" s="186"/>
      <c r="Q245" s="185"/>
      <c r="R245" s="186"/>
      <c r="S245" s="186"/>
      <c r="T245" s="187"/>
      <c r="U245" s="340"/>
      <c r="V245" s="186"/>
      <c r="W245" s="186"/>
      <c r="X245" s="187"/>
    </row>
    <row r="246" spans="1:24" s="199" customFormat="1" ht="15.75" hidden="1" thickBot="1" x14ac:dyDescent="0.3">
      <c r="A246" s="118" t="s">
        <v>903</v>
      </c>
      <c r="B246" s="181" t="s">
        <v>904</v>
      </c>
      <c r="C246" s="190"/>
      <c r="D246" s="630" t="s">
        <v>906</v>
      </c>
      <c r="E246" s="630"/>
      <c r="F246" s="183">
        <v>0</v>
      </c>
      <c r="G246" s="340">
        <v>0</v>
      </c>
      <c r="H246" s="310">
        <v>0</v>
      </c>
      <c r="I246" s="508">
        <v>0</v>
      </c>
      <c r="J246" s="251">
        <f>SUM(P246:AA246)</f>
        <v>0</v>
      </c>
      <c r="K246" s="182"/>
      <c r="L246" s="183">
        <f t="shared" si="47"/>
        <v>0</v>
      </c>
      <c r="M246" s="191"/>
      <c r="N246" s="185"/>
      <c r="O246" s="186"/>
      <c r="P246" s="186"/>
      <c r="Q246" s="185"/>
      <c r="R246" s="186"/>
      <c r="S246" s="186"/>
      <c r="T246" s="187"/>
      <c r="U246" s="340"/>
      <c r="V246" s="186"/>
      <c r="W246" s="186"/>
      <c r="X246" s="187"/>
    </row>
    <row r="247" spans="1:24" ht="15.75" hidden="1" thickBot="1" x14ac:dyDescent="0.3">
      <c r="B247" s="88" t="s">
        <v>708</v>
      </c>
      <c r="C247" s="626" t="s">
        <v>304</v>
      </c>
      <c r="D247" s="627"/>
      <c r="E247" s="627"/>
      <c r="F247" s="158">
        <v>0</v>
      </c>
      <c r="G247" s="341">
        <v>0</v>
      </c>
      <c r="H247" s="311">
        <v>0</v>
      </c>
      <c r="I247" s="509">
        <v>0</v>
      </c>
      <c r="J247" s="233">
        <f>J248+J249+J250+J251+J252</f>
        <v>0</v>
      </c>
      <c r="K247" s="142">
        <f>K248+K249+K250+K251+K252</f>
        <v>0</v>
      </c>
      <c r="L247" s="158">
        <f t="shared" si="47"/>
        <v>0</v>
      </c>
      <c r="M247" s="90">
        <f t="shared" ref="M247:X247" si="58">M248+M249+M250+M251+M252</f>
        <v>0</v>
      </c>
      <c r="N247" s="91">
        <f t="shared" si="58"/>
        <v>0</v>
      </c>
      <c r="O247" s="94">
        <f t="shared" si="58"/>
        <v>0</v>
      </c>
      <c r="P247" s="94">
        <f t="shared" si="58"/>
        <v>0</v>
      </c>
      <c r="Q247" s="91">
        <f t="shared" si="58"/>
        <v>0</v>
      </c>
      <c r="R247" s="94">
        <f t="shared" si="58"/>
        <v>0</v>
      </c>
      <c r="S247" s="94">
        <f t="shared" si="58"/>
        <v>0</v>
      </c>
      <c r="T247" s="95">
        <f t="shared" si="58"/>
        <v>0</v>
      </c>
      <c r="U247" s="341">
        <f t="shared" si="58"/>
        <v>0</v>
      </c>
      <c r="V247" s="94">
        <f t="shared" si="58"/>
        <v>0</v>
      </c>
      <c r="W247" s="94">
        <f t="shared" si="58"/>
        <v>0</v>
      </c>
      <c r="X247" s="95">
        <f t="shared" si="58"/>
        <v>0</v>
      </c>
    </row>
    <row r="248" spans="1:24" s="41" customFormat="1" ht="15.75" hidden="1" thickBot="1" x14ac:dyDescent="0.3">
      <c r="A248" s="118" t="s">
        <v>305</v>
      </c>
      <c r="B248" s="188" t="s">
        <v>709</v>
      </c>
      <c r="C248" s="706" t="s">
        <v>385</v>
      </c>
      <c r="D248" s="707"/>
      <c r="E248" s="707"/>
      <c r="F248" s="201">
        <v>0</v>
      </c>
      <c r="G248" s="347">
        <v>0</v>
      </c>
      <c r="H248" s="319">
        <v>0</v>
      </c>
      <c r="I248" s="511">
        <v>0</v>
      </c>
      <c r="J248" s="252">
        <f t="shared" ref="J248:J254" si="59">SUM(P248:AA248)</f>
        <v>0</v>
      </c>
      <c r="K248" s="189"/>
      <c r="L248" s="201">
        <f t="shared" si="47"/>
        <v>0</v>
      </c>
      <c r="M248" s="202"/>
      <c r="N248" s="203"/>
      <c r="O248" s="206"/>
      <c r="P248" s="206"/>
      <c r="Q248" s="203"/>
      <c r="R248" s="206"/>
      <c r="S248" s="206"/>
      <c r="T248" s="204"/>
      <c r="U248" s="347"/>
      <c r="V248" s="206"/>
      <c r="W248" s="206"/>
      <c r="X248" s="204"/>
    </row>
    <row r="249" spans="1:24" s="41" customFormat="1" ht="15.75" hidden="1" thickBot="1" x14ac:dyDescent="0.3">
      <c r="A249" s="118" t="s">
        <v>306</v>
      </c>
      <c r="B249" s="188" t="s">
        <v>710</v>
      </c>
      <c r="C249" s="706" t="s">
        <v>386</v>
      </c>
      <c r="D249" s="707"/>
      <c r="E249" s="707"/>
      <c r="F249" s="201">
        <v>0</v>
      </c>
      <c r="G249" s="347">
        <v>0</v>
      </c>
      <c r="H249" s="319">
        <v>0</v>
      </c>
      <c r="I249" s="511">
        <v>0</v>
      </c>
      <c r="J249" s="252">
        <f t="shared" si="59"/>
        <v>0</v>
      </c>
      <c r="K249" s="189"/>
      <c r="L249" s="201">
        <f t="shared" si="47"/>
        <v>0</v>
      </c>
      <c r="M249" s="202"/>
      <c r="N249" s="203"/>
      <c r="O249" s="206"/>
      <c r="P249" s="206"/>
      <c r="Q249" s="203"/>
      <c r="R249" s="206"/>
      <c r="S249" s="206"/>
      <c r="T249" s="204"/>
      <c r="U249" s="347"/>
      <c r="V249" s="206"/>
      <c r="W249" s="206"/>
      <c r="X249" s="204"/>
    </row>
    <row r="250" spans="1:24" s="41" customFormat="1" ht="15.75" hidden="1" thickBot="1" x14ac:dyDescent="0.3">
      <c r="A250" s="118" t="s">
        <v>307</v>
      </c>
      <c r="B250" s="188" t="s">
        <v>711</v>
      </c>
      <c r="C250" s="706" t="s">
        <v>308</v>
      </c>
      <c r="D250" s="707"/>
      <c r="E250" s="707"/>
      <c r="F250" s="201">
        <v>0</v>
      </c>
      <c r="G250" s="347">
        <v>0</v>
      </c>
      <c r="H250" s="319">
        <v>0</v>
      </c>
      <c r="I250" s="511">
        <v>0</v>
      </c>
      <c r="J250" s="252">
        <f t="shared" si="59"/>
        <v>0</v>
      </c>
      <c r="K250" s="189"/>
      <c r="L250" s="201">
        <f t="shared" si="47"/>
        <v>0</v>
      </c>
      <c r="M250" s="202"/>
      <c r="N250" s="203"/>
      <c r="O250" s="206"/>
      <c r="P250" s="206"/>
      <c r="Q250" s="203"/>
      <c r="R250" s="206"/>
      <c r="S250" s="206"/>
      <c r="T250" s="204"/>
      <c r="U250" s="347"/>
      <c r="V250" s="206"/>
      <c r="W250" s="206"/>
      <c r="X250" s="204"/>
    </row>
    <row r="251" spans="1:24" s="41" customFormat="1" ht="15.75" hidden="1" thickBot="1" x14ac:dyDescent="0.3">
      <c r="A251" s="118" t="s">
        <v>309</v>
      </c>
      <c r="B251" s="188" t="s">
        <v>712</v>
      </c>
      <c r="C251" s="706" t="s">
        <v>310</v>
      </c>
      <c r="D251" s="707"/>
      <c r="E251" s="707"/>
      <c r="F251" s="201">
        <v>0</v>
      </c>
      <c r="G251" s="347">
        <v>0</v>
      </c>
      <c r="H251" s="319">
        <v>0</v>
      </c>
      <c r="I251" s="511">
        <v>0</v>
      </c>
      <c r="J251" s="252">
        <f t="shared" si="59"/>
        <v>0</v>
      </c>
      <c r="K251" s="189"/>
      <c r="L251" s="201">
        <f t="shared" si="47"/>
        <v>0</v>
      </c>
      <c r="M251" s="202"/>
      <c r="N251" s="203"/>
      <c r="O251" s="206"/>
      <c r="P251" s="206"/>
      <c r="Q251" s="203"/>
      <c r="R251" s="206"/>
      <c r="S251" s="206"/>
      <c r="T251" s="204"/>
      <c r="U251" s="347"/>
      <c r="V251" s="206"/>
      <c r="W251" s="206"/>
      <c r="X251" s="204"/>
    </row>
    <row r="252" spans="1:24" s="41" customFormat="1" ht="15.75" hidden="1" thickBot="1" x14ac:dyDescent="0.3">
      <c r="A252" s="118" t="s">
        <v>311</v>
      </c>
      <c r="B252" s="188" t="s">
        <v>713</v>
      </c>
      <c r="C252" s="706" t="s">
        <v>387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si="59"/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ht="15.75" hidden="1" thickBot="1" x14ac:dyDescent="0.3">
      <c r="A253" s="118" t="s">
        <v>313</v>
      </c>
      <c r="B253" s="88" t="s">
        <v>714</v>
      </c>
      <c r="C253" s="626" t="s">
        <v>312</v>
      </c>
      <c r="D253" s="627"/>
      <c r="E253" s="627"/>
      <c r="F253" s="158">
        <v>0</v>
      </c>
      <c r="G253" s="341">
        <v>0</v>
      </c>
      <c r="H253" s="311">
        <v>0</v>
      </c>
      <c r="I253" s="509">
        <v>0</v>
      </c>
      <c r="J253" s="233">
        <f t="shared" si="59"/>
        <v>0</v>
      </c>
      <c r="K253" s="142"/>
      <c r="L253" s="158">
        <f t="shared" si="47"/>
        <v>0</v>
      </c>
      <c r="M253" s="90"/>
      <c r="N253" s="91"/>
      <c r="O253" s="94"/>
      <c r="P253" s="94"/>
      <c r="Q253" s="91"/>
      <c r="R253" s="94"/>
      <c r="S253" s="94"/>
      <c r="T253" s="95"/>
      <c r="U253" s="341"/>
      <c r="V253" s="94"/>
      <c r="W253" s="94"/>
      <c r="X253" s="95"/>
    </row>
    <row r="254" spans="1:24" ht="15.75" hidden="1" thickBot="1" x14ac:dyDescent="0.3">
      <c r="A254" s="118" t="s">
        <v>907</v>
      </c>
      <c r="B254" s="88" t="s">
        <v>908</v>
      </c>
      <c r="C254" s="626" t="s">
        <v>909</v>
      </c>
      <c r="D254" s="627"/>
      <c r="E254" s="627"/>
      <c r="F254" s="158">
        <v>0</v>
      </c>
      <c r="G254" s="341">
        <v>0</v>
      </c>
      <c r="H254" s="311">
        <v>0</v>
      </c>
      <c r="I254" s="509">
        <v>0</v>
      </c>
      <c r="J254" s="233">
        <f t="shared" si="59"/>
        <v>0</v>
      </c>
      <c r="K254" s="142"/>
      <c r="L254" s="158">
        <f t="shared" si="47"/>
        <v>0</v>
      </c>
      <c r="M254" s="90"/>
      <c r="N254" s="91"/>
      <c r="O254" s="94"/>
      <c r="P254" s="94"/>
      <c r="Q254" s="91"/>
      <c r="R254" s="94"/>
      <c r="S254" s="94"/>
      <c r="T254" s="95"/>
      <c r="U254" s="341"/>
      <c r="V254" s="94"/>
      <c r="W254" s="94"/>
      <c r="X254" s="95"/>
    </row>
    <row r="255" spans="1:24" ht="15.75" thickBot="1" x14ac:dyDescent="0.3">
      <c r="B255" s="722" t="s">
        <v>314</v>
      </c>
      <c r="C255" s="723"/>
      <c r="D255" s="723"/>
      <c r="E255" s="723"/>
      <c r="F255" s="156">
        <v>41840023</v>
      </c>
      <c r="G255" s="338">
        <v>41840023</v>
      </c>
      <c r="H255" s="308">
        <v>41840023</v>
      </c>
      <c r="I255" s="506">
        <v>41840023</v>
      </c>
      <c r="J255" s="230">
        <f>J5+J24+J32+J59+J75+J147+J157+J162+J225</f>
        <v>0</v>
      </c>
      <c r="K255" s="139">
        <f>K5+K24+K32+K59+K75+K147+K157+K162+K225</f>
        <v>0</v>
      </c>
      <c r="L255" s="156">
        <f t="shared" si="47"/>
        <v>0</v>
      </c>
      <c r="M255" s="82">
        <f t="shared" ref="M255:X255" si="60">M5+M24+M32+M59+M75+M147+M157+M162+M225</f>
        <v>0</v>
      </c>
      <c r="N255" s="83">
        <f t="shared" si="60"/>
        <v>0</v>
      </c>
      <c r="O255" s="86">
        <f t="shared" si="60"/>
        <v>0</v>
      </c>
      <c r="P255" s="86">
        <f t="shared" si="60"/>
        <v>0</v>
      </c>
      <c r="Q255" s="83">
        <f t="shared" si="60"/>
        <v>0</v>
      </c>
      <c r="R255" s="86">
        <f t="shared" si="60"/>
        <v>0</v>
      </c>
      <c r="S255" s="86">
        <f t="shared" si="60"/>
        <v>0</v>
      </c>
      <c r="T255" s="87">
        <f t="shared" si="60"/>
        <v>0</v>
      </c>
      <c r="U255" s="338">
        <f t="shared" si="60"/>
        <v>0</v>
      </c>
      <c r="V255" s="86">
        <f t="shared" si="60"/>
        <v>0</v>
      </c>
      <c r="W255" s="86">
        <f t="shared" si="60"/>
        <v>0</v>
      </c>
      <c r="X255" s="87">
        <f t="shared" si="60"/>
        <v>0</v>
      </c>
    </row>
    <row r="256" spans="1:24" x14ac:dyDescent="0.25">
      <c r="B256" s="22"/>
      <c r="C256" s="23"/>
      <c r="D256" s="23"/>
      <c r="E256" s="24"/>
      <c r="F256" s="24"/>
      <c r="G256" s="24"/>
      <c r="H256" s="24"/>
      <c r="I256" s="24"/>
      <c r="J256" s="58"/>
      <c r="K256" s="58"/>
      <c r="L256" s="58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5"/>
      <c r="C257" s="26"/>
      <c r="D257" s="26"/>
      <c r="E257" s="24"/>
      <c r="F257" s="24"/>
      <c r="G257" s="24"/>
      <c r="H257" s="24"/>
      <c r="I257" s="24"/>
      <c r="J257" s="58"/>
      <c r="K257" s="58"/>
      <c r="L257" s="58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7"/>
      <c r="C258" s="24"/>
      <c r="D258" s="24"/>
      <c r="E258" s="28"/>
      <c r="F258" s="28"/>
      <c r="G258" s="28"/>
      <c r="H258" s="28"/>
      <c r="I258" s="28"/>
      <c r="J258" s="58"/>
      <c r="K258" s="58"/>
      <c r="L258" s="5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7"/>
      <c r="C259" s="24"/>
      <c r="D259" s="24"/>
      <c r="E259" s="28"/>
      <c r="F259" s="28"/>
      <c r="G259" s="28"/>
      <c r="H259" s="28"/>
      <c r="I259" s="28"/>
      <c r="J259" s="58"/>
      <c r="K259" s="58"/>
      <c r="L259" s="5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7"/>
      <c r="C260" s="24"/>
      <c r="D260" s="24"/>
      <c r="E260" s="28"/>
      <c r="F260" s="28"/>
      <c r="G260" s="28"/>
      <c r="H260" s="28"/>
      <c r="I260" s="28"/>
      <c r="J260" s="58"/>
      <c r="K260" s="58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7"/>
      <c r="C261" s="24"/>
      <c r="D261" s="24"/>
      <c r="E261" s="28"/>
      <c r="F261" s="28"/>
      <c r="G261" s="28"/>
      <c r="H261" s="28"/>
      <c r="I261" s="28"/>
      <c r="J261" s="58"/>
      <c r="K261" s="58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58"/>
      <c r="K262" s="5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58"/>
      <c r="K263" s="5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8"/>
      <c r="D264" s="28"/>
      <c r="E264" s="24"/>
      <c r="F264" s="24"/>
      <c r="G264" s="24"/>
      <c r="H264" s="24"/>
      <c r="I264" s="24"/>
      <c r="J264" s="58"/>
      <c r="K264" s="5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8"/>
      <c r="D265" s="28"/>
      <c r="E265" s="24"/>
      <c r="F265" s="24"/>
      <c r="G265" s="24"/>
      <c r="H265" s="24"/>
      <c r="I265" s="24"/>
      <c r="J265" s="58"/>
      <c r="K265" s="5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8"/>
      <c r="D266" s="28"/>
      <c r="E266" s="24"/>
      <c r="F266" s="24"/>
      <c r="G266" s="24"/>
      <c r="H266" s="24"/>
      <c r="I266" s="24"/>
      <c r="J266" s="58"/>
      <c r="K266" s="5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58"/>
      <c r="K267" s="5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4"/>
      <c r="D268" s="24"/>
      <c r="E268" s="28"/>
      <c r="F268" s="28"/>
      <c r="G268" s="28"/>
      <c r="H268" s="28"/>
      <c r="I268" s="28"/>
      <c r="J268" s="58"/>
      <c r="K268" s="58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4"/>
      <c r="D269" s="24"/>
      <c r="E269" s="28"/>
      <c r="F269" s="28"/>
      <c r="G269" s="28"/>
      <c r="H269" s="28"/>
      <c r="I269" s="28"/>
      <c r="J269" s="58"/>
      <c r="K269" s="58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20"/>
      <c r="B270" s="27"/>
      <c r="C270" s="24"/>
      <c r="D270" s="24"/>
      <c r="E270" s="28"/>
      <c r="F270" s="28"/>
      <c r="G270" s="28"/>
      <c r="H270" s="28"/>
      <c r="I270" s="28"/>
      <c r="J270" s="58"/>
      <c r="K270" s="58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20"/>
      <c r="B271" s="27"/>
      <c r="C271" s="24"/>
      <c r="D271" s="24"/>
      <c r="E271" s="28"/>
      <c r="F271" s="28"/>
      <c r="G271" s="28"/>
      <c r="H271" s="28"/>
      <c r="I271" s="28"/>
      <c r="J271" s="58"/>
      <c r="K271" s="5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20"/>
      <c r="B272" s="27"/>
      <c r="C272" s="24"/>
      <c r="D272" s="24"/>
      <c r="E272" s="28"/>
      <c r="F272" s="28"/>
      <c r="G272" s="28"/>
      <c r="H272" s="28"/>
      <c r="I272" s="28"/>
      <c r="J272" s="58"/>
      <c r="K272" s="5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20"/>
      <c r="B273" s="27"/>
      <c r="C273" s="24"/>
      <c r="D273" s="24"/>
      <c r="E273" s="28"/>
      <c r="F273" s="28"/>
      <c r="G273" s="28"/>
      <c r="H273" s="28"/>
      <c r="I273" s="28"/>
      <c r="J273" s="58"/>
      <c r="K273" s="5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58"/>
      <c r="K274" s="5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58"/>
      <c r="K275" s="5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58"/>
      <c r="K276" s="5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8"/>
      <c r="D277" s="28"/>
      <c r="E277" s="24"/>
      <c r="F277" s="24"/>
      <c r="G277" s="24"/>
      <c r="H277" s="24"/>
      <c r="I277" s="24"/>
      <c r="J277" s="58"/>
      <c r="K277" s="5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58"/>
      <c r="K278" s="5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58"/>
      <c r="K279" s="5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58"/>
      <c r="K280" s="5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4"/>
      <c r="D281" s="24"/>
      <c r="E281" s="28"/>
      <c r="F281" s="28"/>
      <c r="G281" s="28"/>
      <c r="H281" s="28"/>
      <c r="I281" s="28"/>
      <c r="J281" s="58"/>
      <c r="K281" s="58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58"/>
      <c r="K282" s="5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58"/>
      <c r="K283" s="5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58"/>
      <c r="K284" s="5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58"/>
      <c r="K285" s="5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58"/>
      <c r="K286" s="5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58"/>
      <c r="K287" s="5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8"/>
      <c r="D288" s="28"/>
      <c r="E288" s="24"/>
      <c r="F288" s="24"/>
      <c r="G288" s="24"/>
      <c r="H288" s="24"/>
      <c r="I288" s="24"/>
      <c r="J288" s="58"/>
      <c r="K288" s="5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58"/>
      <c r="K289" s="5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58"/>
      <c r="K290" s="5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58"/>
      <c r="K291" s="5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4"/>
      <c r="D292" s="24"/>
      <c r="E292" s="28"/>
      <c r="F292" s="28"/>
      <c r="G292" s="28"/>
      <c r="H292" s="28"/>
      <c r="I292" s="28"/>
      <c r="J292" s="58"/>
      <c r="K292" s="58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58"/>
      <c r="K293" s="5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58"/>
      <c r="K294" s="5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58"/>
      <c r="K295" s="5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58"/>
      <c r="K296" s="5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58"/>
      <c r="K297" s="5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58"/>
      <c r="K298" s="5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9"/>
      <c r="C299" s="23"/>
      <c r="D299" s="23"/>
      <c r="E299" s="24"/>
      <c r="F299" s="24"/>
      <c r="G299" s="24"/>
      <c r="H299" s="24"/>
      <c r="I299" s="24"/>
      <c r="J299" s="58"/>
      <c r="K299" s="5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8"/>
      <c r="D300" s="28"/>
      <c r="E300" s="24"/>
      <c r="F300" s="24"/>
      <c r="G300" s="24"/>
      <c r="H300" s="24"/>
      <c r="I300" s="24"/>
      <c r="J300" s="58"/>
      <c r="K300" s="5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8"/>
      <c r="D301" s="28"/>
      <c r="E301" s="24"/>
      <c r="F301" s="24"/>
      <c r="G301" s="24"/>
      <c r="H301" s="24"/>
      <c r="I301" s="24"/>
      <c r="J301" s="58"/>
      <c r="K301" s="5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8"/>
      <c r="D302" s="28"/>
      <c r="E302" s="24"/>
      <c r="F302" s="24"/>
      <c r="G302" s="24"/>
      <c r="H302" s="24"/>
      <c r="I302" s="24"/>
      <c r="J302" s="58"/>
      <c r="K302" s="5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7"/>
      <c r="C303" s="24"/>
      <c r="D303" s="24"/>
      <c r="E303" s="28"/>
      <c r="F303" s="28"/>
      <c r="G303" s="28"/>
      <c r="H303" s="28"/>
      <c r="I303" s="28"/>
      <c r="J303" s="58"/>
      <c r="K303" s="58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4"/>
      <c r="D304" s="24"/>
      <c r="E304" s="28"/>
      <c r="F304" s="28"/>
      <c r="G304" s="28"/>
      <c r="H304" s="28"/>
      <c r="I304" s="28"/>
      <c r="J304" s="58"/>
      <c r="K304" s="58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4"/>
      <c r="D305" s="24"/>
      <c r="E305" s="28"/>
      <c r="F305" s="28"/>
      <c r="G305" s="28"/>
      <c r="H305" s="28"/>
      <c r="I305" s="28"/>
      <c r="J305" s="58"/>
      <c r="K305" s="58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4"/>
      <c r="D306" s="24"/>
      <c r="E306" s="28"/>
      <c r="F306" s="28"/>
      <c r="G306" s="28"/>
      <c r="H306" s="28"/>
      <c r="I306" s="28"/>
      <c r="J306" s="58"/>
      <c r="K306" s="58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58"/>
      <c r="K307" s="5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58"/>
      <c r="K308" s="5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58"/>
      <c r="K309" s="5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58"/>
      <c r="K310" s="5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58"/>
      <c r="K311" s="5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58"/>
      <c r="K312" s="5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8"/>
      <c r="D313" s="28"/>
      <c r="E313" s="24"/>
      <c r="F313" s="24"/>
      <c r="G313" s="24"/>
      <c r="H313" s="24"/>
      <c r="I313" s="24"/>
      <c r="J313" s="58"/>
      <c r="K313" s="5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58"/>
      <c r="K314" s="5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58"/>
      <c r="K315" s="5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58"/>
      <c r="K316" s="5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4"/>
      <c r="D317" s="24"/>
      <c r="E317" s="28"/>
      <c r="F317" s="28"/>
      <c r="G317" s="28"/>
      <c r="H317" s="28"/>
      <c r="I317" s="28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8"/>
      <c r="L318" s="18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:24" s="12" customFormat="1" x14ac:dyDescent="0.25">
      <c r="A319" s="121"/>
      <c r="B319" s="27"/>
      <c r="C319" s="24"/>
      <c r="D319" s="24"/>
      <c r="E319" s="28"/>
      <c r="F319" s="28"/>
      <c r="G319" s="28"/>
      <c r="H319" s="28"/>
      <c r="I319" s="28"/>
      <c r="J319" s="49"/>
      <c r="K319" s="49"/>
      <c r="L319" s="49"/>
    </row>
    <row r="320" spans="1:24" s="12" customFormat="1" x14ac:dyDescent="0.25">
      <c r="A320" s="121"/>
      <c r="B320" s="27"/>
      <c r="C320" s="24"/>
      <c r="D320" s="24"/>
      <c r="E320" s="28"/>
      <c r="F320" s="28"/>
      <c r="G320" s="28"/>
      <c r="H320" s="28"/>
      <c r="I320" s="28"/>
      <c r="J320" s="49"/>
      <c r="K320" s="49"/>
      <c r="L320" s="49"/>
    </row>
    <row r="321" spans="1:24" s="12" customFormat="1" x14ac:dyDescent="0.25">
      <c r="A321" s="121"/>
      <c r="B321" s="27"/>
      <c r="C321" s="24"/>
      <c r="D321" s="24"/>
      <c r="E321" s="28"/>
      <c r="F321" s="28"/>
      <c r="G321" s="28"/>
      <c r="H321" s="28"/>
      <c r="I321" s="28"/>
      <c r="J321" s="49"/>
      <c r="K321" s="49"/>
      <c r="L321" s="49"/>
    </row>
    <row r="322" spans="1:24" s="12" customFormat="1" x14ac:dyDescent="0.25">
      <c r="A322" s="121"/>
      <c r="B322" s="27"/>
      <c r="C322" s="24"/>
      <c r="D322" s="24"/>
      <c r="E322" s="28"/>
      <c r="F322" s="28"/>
      <c r="G322" s="28"/>
      <c r="H322" s="28"/>
      <c r="I322" s="28"/>
      <c r="J322" s="49"/>
      <c r="K322" s="49"/>
      <c r="L322" s="49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49"/>
      <c r="K323" s="49"/>
      <c r="L323" s="49"/>
    </row>
    <row r="324" spans="1:24" s="12" customFormat="1" x14ac:dyDescent="0.25">
      <c r="A324" s="121"/>
      <c r="B324" s="27"/>
      <c r="C324" s="28"/>
      <c r="D324" s="28"/>
      <c r="E324" s="24"/>
      <c r="F324" s="24"/>
      <c r="G324" s="24"/>
      <c r="H324" s="24"/>
      <c r="I324" s="24"/>
      <c r="J324" s="49"/>
      <c r="K324" s="49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49"/>
      <c r="K325" s="49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49"/>
      <c r="K326" s="49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49"/>
      <c r="K327" s="49"/>
      <c r="L327" s="49"/>
    </row>
    <row r="328" spans="1:24" s="12" customFormat="1" x14ac:dyDescent="0.25">
      <c r="A328" s="121"/>
      <c r="B328" s="27"/>
      <c r="C328" s="24"/>
      <c r="D328" s="24"/>
      <c r="E328" s="28"/>
      <c r="F328" s="28"/>
      <c r="G328" s="28"/>
      <c r="H328" s="28"/>
      <c r="I328" s="28"/>
      <c r="J328" s="49"/>
      <c r="K328" s="49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49"/>
      <c r="K329" s="49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49"/>
      <c r="K330" s="49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49"/>
      <c r="K331" s="49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49"/>
      <c r="K332" s="49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49"/>
      <c r="K333" s="49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49"/>
      <c r="K334" s="49"/>
      <c r="L334" s="49"/>
    </row>
    <row r="335" spans="1:24" x14ac:dyDescent="0.25">
      <c r="B335" s="29"/>
      <c r="C335" s="23"/>
      <c r="D335" s="23"/>
      <c r="E335" s="28"/>
      <c r="F335" s="28"/>
      <c r="G335" s="28"/>
      <c r="H335" s="28"/>
      <c r="I335" s="28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4" x14ac:dyDescent="0.25">
      <c r="B336" s="30"/>
      <c r="C336" s="26"/>
      <c r="D336" s="26"/>
      <c r="E336" s="24"/>
      <c r="F336" s="24"/>
      <c r="G336" s="24"/>
      <c r="H336" s="24"/>
      <c r="I336" s="24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4" x14ac:dyDescent="0.25">
      <c r="B337" s="27"/>
      <c r="C337" s="24"/>
      <c r="D337" s="24"/>
      <c r="E337" s="28"/>
      <c r="F337" s="28"/>
      <c r="G337" s="28"/>
      <c r="H337" s="28"/>
      <c r="I337" s="28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4" x14ac:dyDescent="0.25">
      <c r="B338" s="27"/>
      <c r="C338" s="28"/>
      <c r="D338" s="28"/>
      <c r="E338" s="24"/>
      <c r="F338" s="24"/>
      <c r="G338" s="24"/>
      <c r="H338" s="24"/>
      <c r="I338" s="24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4" x14ac:dyDescent="0.25">
      <c r="B339" s="27"/>
      <c r="C339" s="24"/>
      <c r="D339" s="24"/>
      <c r="E339" s="28"/>
      <c r="F339" s="28"/>
      <c r="G339" s="28"/>
      <c r="H339" s="28"/>
      <c r="I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27"/>
      <c r="C340" s="24"/>
      <c r="D340" s="24"/>
      <c r="E340" s="28"/>
      <c r="F340" s="28"/>
      <c r="G340" s="28"/>
      <c r="H340" s="28"/>
      <c r="I340" s="28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4"/>
      <c r="D342" s="24"/>
      <c r="E342" s="28"/>
      <c r="F342" s="28"/>
      <c r="G342" s="28"/>
      <c r="H342" s="28"/>
      <c r="I342" s="28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8"/>
      <c r="D343" s="28"/>
      <c r="E343" s="24"/>
      <c r="F343" s="24"/>
      <c r="G343" s="24"/>
      <c r="H343" s="24"/>
      <c r="I343" s="24"/>
      <c r="J343" s="58"/>
      <c r="K343" s="58"/>
      <c r="L343" s="5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58"/>
      <c r="K344" s="58"/>
      <c r="L344" s="5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58"/>
      <c r="K345" s="58"/>
      <c r="L345" s="5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B346" s="27"/>
      <c r="C346" s="28"/>
      <c r="D346" s="28"/>
      <c r="E346" s="24"/>
      <c r="F346" s="24"/>
      <c r="G346" s="24"/>
      <c r="H346" s="24"/>
      <c r="I346" s="24"/>
      <c r="J346" s="58"/>
      <c r="K346" s="58"/>
      <c r="L346" s="5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58"/>
      <c r="K347" s="58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58"/>
      <c r="K348" s="5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58"/>
      <c r="K349" s="5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0"/>
      <c r="B350" s="27"/>
      <c r="C350" s="24"/>
      <c r="D350" s="24"/>
      <c r="E350" s="28"/>
      <c r="F350" s="28"/>
      <c r="G350" s="28"/>
      <c r="H350" s="28"/>
      <c r="I350" s="28"/>
      <c r="J350" s="58"/>
      <c r="K350" s="58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0"/>
      <c r="B351" s="27"/>
      <c r="C351" s="28"/>
      <c r="D351" s="28"/>
      <c r="E351" s="24"/>
      <c r="F351" s="24"/>
      <c r="G351" s="24"/>
      <c r="H351" s="24"/>
      <c r="I351" s="24"/>
      <c r="J351" s="58"/>
      <c r="K351" s="58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0"/>
      <c r="B352" s="27"/>
      <c r="C352" s="24"/>
      <c r="D352" s="24"/>
      <c r="E352" s="28"/>
      <c r="F352" s="28"/>
      <c r="G352" s="28"/>
      <c r="H352" s="28"/>
      <c r="I352" s="28"/>
      <c r="J352" s="58"/>
      <c r="K352" s="5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0"/>
      <c r="B353" s="27"/>
      <c r="C353" s="24"/>
      <c r="D353" s="24"/>
      <c r="E353" s="28"/>
      <c r="F353" s="28"/>
      <c r="G353" s="28"/>
      <c r="H353" s="28"/>
      <c r="I353" s="28"/>
      <c r="J353" s="58"/>
      <c r="K353" s="5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58"/>
      <c r="K354" s="5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4"/>
      <c r="D355" s="24"/>
      <c r="E355" s="28"/>
      <c r="F355" s="28"/>
      <c r="G355" s="28"/>
      <c r="H355" s="28"/>
      <c r="I355" s="28"/>
      <c r="J355" s="58"/>
      <c r="K355" s="58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58"/>
      <c r="K356" s="5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58"/>
      <c r="K357" s="5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58"/>
      <c r="K358" s="5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58"/>
      <c r="K359" s="5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58"/>
      <c r="K360" s="5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58"/>
      <c r="K361" s="5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9"/>
      <c r="C362" s="23"/>
      <c r="D362" s="23"/>
      <c r="E362" s="24"/>
      <c r="F362" s="24"/>
      <c r="G362" s="24"/>
      <c r="H362" s="24"/>
      <c r="I362" s="24"/>
      <c r="J362" s="58"/>
      <c r="K362" s="5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8"/>
      <c r="D363" s="28"/>
      <c r="E363" s="24"/>
      <c r="F363" s="24"/>
      <c r="G363" s="24"/>
      <c r="H363" s="24"/>
      <c r="I363" s="24"/>
      <c r="J363" s="58"/>
      <c r="K363" s="5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8"/>
      <c r="D364" s="28"/>
      <c r="E364" s="24"/>
      <c r="F364" s="24"/>
      <c r="G364" s="24"/>
      <c r="H364" s="24"/>
      <c r="I364" s="24"/>
      <c r="J364" s="58"/>
      <c r="K364" s="5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58"/>
      <c r="K365" s="5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7"/>
      <c r="C366" s="24"/>
      <c r="D366" s="24"/>
      <c r="E366" s="28"/>
      <c r="F366" s="28"/>
      <c r="G366" s="28"/>
      <c r="H366" s="28"/>
      <c r="I366" s="28"/>
      <c r="J366" s="58"/>
      <c r="K366" s="58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4"/>
      <c r="D367" s="24"/>
      <c r="E367" s="28"/>
      <c r="F367" s="28"/>
      <c r="G367" s="28"/>
      <c r="H367" s="28"/>
      <c r="I367" s="28"/>
      <c r="J367" s="58"/>
      <c r="K367" s="58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58"/>
      <c r="K368" s="58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58"/>
      <c r="K369" s="5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58"/>
      <c r="K370" s="5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8"/>
      <c r="D371" s="28"/>
      <c r="E371" s="24"/>
      <c r="F371" s="24"/>
      <c r="G371" s="24"/>
      <c r="H371" s="24"/>
      <c r="I371" s="24"/>
      <c r="J371" s="58"/>
      <c r="K371" s="5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4"/>
      <c r="D372" s="24"/>
      <c r="E372" s="28"/>
      <c r="F372" s="28"/>
      <c r="G372" s="28"/>
      <c r="H372" s="28"/>
      <c r="I372" s="28"/>
      <c r="J372" s="58"/>
      <c r="K372" s="58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58"/>
      <c r="K373" s="5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58"/>
      <c r="K374" s="5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4"/>
      <c r="D375" s="24"/>
      <c r="E375" s="28"/>
      <c r="F375" s="28"/>
      <c r="G375" s="28"/>
      <c r="H375" s="28"/>
      <c r="I375" s="28"/>
      <c r="J375" s="58"/>
      <c r="K375" s="58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58"/>
      <c r="K376" s="5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58"/>
      <c r="K377" s="5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58"/>
      <c r="K378" s="5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8"/>
      <c r="D379" s="28"/>
      <c r="E379" s="24"/>
      <c r="F379" s="24"/>
      <c r="G379" s="24"/>
      <c r="H379" s="24"/>
      <c r="I379" s="24"/>
      <c r="J379" s="58"/>
      <c r="K379" s="5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8"/>
      <c r="D380" s="28"/>
      <c r="E380" s="24"/>
      <c r="F380" s="24"/>
      <c r="G380" s="24"/>
      <c r="H380" s="24"/>
      <c r="I380" s="24"/>
      <c r="J380" s="58"/>
      <c r="K380" s="5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8"/>
      <c r="D381" s="28"/>
      <c r="E381" s="24"/>
      <c r="F381" s="24"/>
      <c r="G381" s="24"/>
      <c r="H381" s="24"/>
      <c r="I381" s="24"/>
      <c r="J381" s="58"/>
      <c r="K381" s="5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8"/>
      <c r="D382" s="28"/>
      <c r="E382" s="24"/>
      <c r="F382" s="24"/>
      <c r="G382" s="24"/>
      <c r="H382" s="24"/>
      <c r="I382" s="24"/>
      <c r="J382" s="58"/>
      <c r="K382" s="5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4"/>
      <c r="D383" s="24"/>
      <c r="E383" s="28"/>
      <c r="F383" s="28"/>
      <c r="G383" s="28"/>
      <c r="H383" s="28"/>
      <c r="I383" s="28"/>
      <c r="J383" s="58"/>
      <c r="K383" s="58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4"/>
      <c r="D384" s="24"/>
      <c r="E384" s="28"/>
      <c r="F384" s="28"/>
      <c r="G384" s="28"/>
      <c r="H384" s="28"/>
      <c r="I384" s="28"/>
      <c r="J384" s="58"/>
      <c r="K384" s="58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4"/>
      <c r="D385" s="24"/>
      <c r="E385" s="28"/>
      <c r="F385" s="28"/>
      <c r="G385" s="28"/>
      <c r="H385" s="28"/>
      <c r="I385" s="28"/>
      <c r="J385" s="58"/>
      <c r="K385" s="58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4"/>
      <c r="D386" s="24"/>
      <c r="E386" s="28"/>
      <c r="F386" s="28"/>
      <c r="G386" s="28"/>
      <c r="H386" s="28"/>
      <c r="I386" s="28"/>
      <c r="J386" s="58"/>
      <c r="K386" s="58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8"/>
      <c r="D387" s="28"/>
      <c r="E387" s="24"/>
      <c r="F387" s="24"/>
      <c r="G387" s="24"/>
      <c r="H387" s="24"/>
      <c r="I387" s="24"/>
      <c r="J387" s="58"/>
      <c r="K387" s="5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58"/>
      <c r="K388" s="5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58"/>
      <c r="K389" s="5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58"/>
      <c r="K390" s="5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4"/>
      <c r="D391" s="24"/>
      <c r="E391" s="28"/>
      <c r="F391" s="28"/>
      <c r="G391" s="28"/>
      <c r="H391" s="28"/>
      <c r="I391" s="28"/>
      <c r="J391" s="58"/>
      <c r="K391" s="58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58"/>
      <c r="K392" s="5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8"/>
      <c r="D393" s="28"/>
      <c r="E393" s="24"/>
      <c r="F393" s="24"/>
      <c r="G393" s="24"/>
      <c r="H393" s="24"/>
      <c r="I393" s="24"/>
      <c r="J393" s="58"/>
      <c r="K393" s="5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8"/>
      <c r="D394" s="28"/>
      <c r="E394" s="24"/>
      <c r="F394" s="24"/>
      <c r="G394" s="24"/>
      <c r="H394" s="24"/>
      <c r="I394" s="24"/>
      <c r="J394" s="58"/>
      <c r="K394" s="5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58"/>
      <c r="K395" s="5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58"/>
      <c r="K396" s="5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4"/>
      <c r="D397" s="24"/>
      <c r="E397" s="28"/>
      <c r="F397" s="28"/>
      <c r="G397" s="28"/>
      <c r="H397" s="28"/>
      <c r="I397" s="28"/>
      <c r="J397" s="58"/>
      <c r="K397" s="58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9"/>
      <c r="C398" s="23"/>
      <c r="D398" s="23"/>
      <c r="E398" s="24"/>
      <c r="F398" s="24"/>
      <c r="G398" s="24"/>
      <c r="H398" s="24"/>
      <c r="I398" s="24"/>
      <c r="J398" s="58"/>
      <c r="K398" s="58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8"/>
      <c r="D399" s="28"/>
      <c r="E399" s="24"/>
      <c r="F399" s="24"/>
      <c r="G399" s="24"/>
      <c r="H399" s="24"/>
      <c r="I399" s="24"/>
      <c r="J399" s="58"/>
      <c r="K399" s="5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8"/>
      <c r="D400" s="28"/>
      <c r="E400" s="24"/>
      <c r="F400" s="24"/>
      <c r="G400" s="24"/>
      <c r="H400" s="24"/>
      <c r="I400" s="24"/>
      <c r="J400" s="58"/>
      <c r="K400" s="5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58"/>
      <c r="K401" s="5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7"/>
      <c r="C402" s="24"/>
      <c r="D402" s="24"/>
      <c r="E402" s="28"/>
      <c r="F402" s="28"/>
      <c r="G402" s="28"/>
      <c r="H402" s="28"/>
      <c r="I402" s="28"/>
      <c r="J402" s="58"/>
      <c r="K402" s="58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58"/>
      <c r="K403" s="58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58"/>
      <c r="K404" s="58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58"/>
      <c r="K405" s="5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58"/>
      <c r="K406" s="5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58"/>
      <c r="K407" s="58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9"/>
      <c r="C408" s="23"/>
      <c r="D408" s="23"/>
      <c r="E408" s="24"/>
      <c r="F408" s="24"/>
      <c r="G408" s="24"/>
      <c r="H408" s="24"/>
      <c r="I408" s="24"/>
      <c r="J408" s="58"/>
      <c r="K408" s="58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8"/>
      <c r="D409" s="28"/>
      <c r="E409" s="24"/>
      <c r="F409" s="24"/>
      <c r="G409" s="24"/>
      <c r="H409" s="24"/>
      <c r="I409" s="24"/>
      <c r="J409" s="58"/>
      <c r="K409" s="5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8"/>
      <c r="D410" s="28"/>
      <c r="E410" s="24"/>
      <c r="F410" s="24"/>
      <c r="G410" s="24"/>
      <c r="H410" s="24"/>
      <c r="I410" s="24"/>
      <c r="J410" s="58"/>
      <c r="K410" s="5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58"/>
      <c r="K411" s="58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7"/>
      <c r="C412" s="28"/>
      <c r="D412" s="28"/>
      <c r="E412" s="24"/>
      <c r="F412" s="24"/>
      <c r="G412" s="24"/>
      <c r="H412" s="24"/>
      <c r="I412" s="24"/>
      <c r="J412" s="58"/>
      <c r="K412" s="58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4"/>
      <c r="D413" s="24"/>
      <c r="E413" s="28"/>
      <c r="F413" s="28"/>
      <c r="G413" s="28"/>
      <c r="H413" s="28"/>
      <c r="I413" s="28"/>
      <c r="J413" s="58"/>
      <c r="K413" s="58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4"/>
      <c r="D414" s="24"/>
      <c r="E414" s="28"/>
      <c r="F414" s="28"/>
      <c r="G414" s="28"/>
      <c r="H414" s="28"/>
      <c r="I414" s="28"/>
      <c r="J414" s="58"/>
      <c r="K414" s="58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4"/>
      <c r="D415" s="24"/>
      <c r="E415" s="28"/>
      <c r="F415" s="28"/>
      <c r="G415" s="28"/>
      <c r="H415" s="28"/>
      <c r="I415" s="28"/>
      <c r="J415" s="58"/>
      <c r="K415" s="58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4"/>
      <c r="D416" s="24"/>
      <c r="E416" s="28"/>
      <c r="F416" s="28"/>
      <c r="G416" s="28"/>
      <c r="H416" s="28"/>
      <c r="I416" s="28"/>
      <c r="J416" s="58"/>
      <c r="K416" s="58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58"/>
      <c r="K417" s="5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58"/>
      <c r="K418" s="5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58"/>
      <c r="K419" s="5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58"/>
      <c r="K420" s="5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58"/>
      <c r="K421" s="5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8"/>
      <c r="D422" s="28"/>
      <c r="E422" s="24"/>
      <c r="F422" s="24"/>
      <c r="G422" s="24"/>
      <c r="H422" s="24"/>
      <c r="I422" s="24"/>
      <c r="J422" s="58"/>
      <c r="K422" s="5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58"/>
      <c r="K423" s="5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58"/>
      <c r="K424" s="5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58"/>
      <c r="K425" s="5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4"/>
      <c r="D426" s="24"/>
      <c r="E426" s="28"/>
      <c r="F426" s="28"/>
      <c r="G426" s="28"/>
      <c r="H426" s="28"/>
      <c r="I426" s="28"/>
      <c r="J426" s="58"/>
      <c r="K426" s="58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58"/>
      <c r="K427" s="5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58"/>
      <c r="K428" s="5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58"/>
      <c r="K429" s="5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58"/>
      <c r="K430" s="5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58"/>
      <c r="K431" s="5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58"/>
      <c r="K432" s="5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58"/>
      <c r="K433" s="5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9"/>
      <c r="C434" s="23"/>
      <c r="D434" s="23"/>
      <c r="E434" s="24"/>
      <c r="F434" s="24"/>
      <c r="G434" s="24"/>
      <c r="H434" s="24"/>
      <c r="I434" s="24"/>
      <c r="J434" s="58"/>
      <c r="K434" s="5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8"/>
      <c r="D435" s="28"/>
      <c r="E435" s="24"/>
      <c r="F435" s="24"/>
      <c r="G435" s="24"/>
      <c r="H435" s="24"/>
      <c r="I435" s="24"/>
      <c r="J435" s="58"/>
      <c r="K435" s="5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8"/>
      <c r="D436" s="28"/>
      <c r="E436" s="24"/>
      <c r="F436" s="24"/>
      <c r="G436" s="24"/>
      <c r="H436" s="24"/>
      <c r="I436" s="24"/>
      <c r="J436" s="58"/>
      <c r="K436" s="5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8"/>
      <c r="D437" s="28"/>
      <c r="E437" s="24"/>
      <c r="F437" s="24"/>
      <c r="G437" s="24"/>
      <c r="H437" s="24"/>
      <c r="I437" s="24"/>
      <c r="J437" s="58"/>
      <c r="K437" s="5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7"/>
      <c r="C438" s="28"/>
      <c r="D438" s="28"/>
      <c r="E438" s="24"/>
      <c r="F438" s="24"/>
      <c r="G438" s="24"/>
      <c r="H438" s="24"/>
      <c r="I438" s="24"/>
      <c r="J438" s="58"/>
      <c r="K438" s="58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4"/>
      <c r="D439" s="24"/>
      <c r="E439" s="28"/>
      <c r="F439" s="28"/>
      <c r="G439" s="28"/>
      <c r="H439" s="28"/>
      <c r="I439" s="28"/>
      <c r="J439" s="58"/>
      <c r="K439" s="58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4"/>
      <c r="D440" s="24"/>
      <c r="E440" s="28"/>
      <c r="F440" s="28"/>
      <c r="G440" s="28"/>
      <c r="H440" s="28"/>
      <c r="I440" s="28"/>
      <c r="J440" s="58"/>
      <c r="K440" s="58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4"/>
      <c r="D441" s="24"/>
      <c r="E441" s="28"/>
      <c r="F441" s="28"/>
      <c r="G441" s="28"/>
      <c r="H441" s="28"/>
      <c r="I441" s="28"/>
      <c r="J441" s="58"/>
      <c r="K441" s="58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4"/>
      <c r="D442" s="24"/>
      <c r="E442" s="28"/>
      <c r="F442" s="28"/>
      <c r="G442" s="28"/>
      <c r="H442" s="28"/>
      <c r="I442" s="28"/>
      <c r="J442" s="58"/>
      <c r="K442" s="58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58"/>
      <c r="K443" s="5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58"/>
      <c r="K444" s="5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58"/>
      <c r="K445" s="5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58"/>
      <c r="K446" s="5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58"/>
      <c r="K447" s="5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8"/>
      <c r="D448" s="28"/>
      <c r="E448" s="24"/>
      <c r="F448" s="24"/>
      <c r="G448" s="24"/>
      <c r="H448" s="24"/>
      <c r="I448" s="24"/>
      <c r="J448" s="58"/>
      <c r="K448" s="5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58"/>
      <c r="K449" s="5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58"/>
      <c r="K450" s="5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58"/>
      <c r="K451" s="5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4"/>
      <c r="D452" s="24"/>
      <c r="E452" s="28"/>
      <c r="F452" s="28"/>
      <c r="G452" s="28"/>
      <c r="H452" s="28"/>
      <c r="I452" s="28"/>
      <c r="J452" s="58"/>
      <c r="K452" s="58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58"/>
      <c r="K453" s="5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58"/>
      <c r="K454" s="5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58"/>
      <c r="K455" s="5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58"/>
      <c r="K456" s="5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58"/>
      <c r="K457" s="5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58"/>
      <c r="K458" s="5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58"/>
      <c r="K459" s="5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9"/>
      <c r="C460" s="23"/>
      <c r="D460" s="23"/>
      <c r="E460" s="24"/>
      <c r="F460" s="24"/>
      <c r="G460" s="24"/>
      <c r="H460" s="24"/>
      <c r="I460" s="24"/>
      <c r="J460" s="58"/>
      <c r="K460" s="5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32"/>
      <c r="C461" s="33"/>
      <c r="D461" s="33"/>
      <c r="E461" s="24"/>
      <c r="F461" s="24"/>
      <c r="G461" s="24"/>
      <c r="H461" s="24"/>
      <c r="I461" s="24"/>
      <c r="J461" s="58"/>
      <c r="K461" s="5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34"/>
      <c r="C462" s="35"/>
      <c r="D462" s="35"/>
      <c r="E462" s="36"/>
      <c r="F462" s="36"/>
      <c r="G462" s="36"/>
      <c r="H462" s="36"/>
      <c r="I462" s="36"/>
      <c r="J462" s="58"/>
      <c r="K462" s="5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19"/>
      <c r="C463" s="37"/>
      <c r="D463" s="37"/>
      <c r="E463" s="24"/>
      <c r="F463" s="24"/>
      <c r="G463" s="24"/>
      <c r="H463" s="24"/>
      <c r="I463" s="24"/>
      <c r="J463" s="58"/>
      <c r="K463" s="5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19"/>
      <c r="C464" s="37"/>
      <c r="D464" s="37"/>
      <c r="E464" s="24"/>
      <c r="F464" s="24"/>
      <c r="G464" s="24"/>
      <c r="H464" s="24"/>
      <c r="I464" s="24"/>
      <c r="J464" s="58"/>
      <c r="K464" s="58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19"/>
      <c r="C465" s="37"/>
      <c r="D465" s="37"/>
      <c r="E465" s="24"/>
      <c r="F465" s="24"/>
      <c r="G465" s="24"/>
      <c r="H465" s="24"/>
      <c r="I465" s="24"/>
      <c r="J465" s="58"/>
      <c r="K465" s="58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58"/>
      <c r="K466" s="58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58"/>
      <c r="K467" s="58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24"/>
      <c r="D468" s="24"/>
      <c r="E468" s="37"/>
      <c r="F468" s="37"/>
      <c r="G468" s="37"/>
      <c r="H468" s="37"/>
      <c r="I468" s="37"/>
    </row>
    <row r="469" spans="1:24" x14ac:dyDescent="0.25">
      <c r="A469" s="120"/>
      <c r="B469" s="19"/>
      <c r="C469" s="24"/>
      <c r="D469" s="24"/>
      <c r="E469" s="37"/>
      <c r="F469" s="37"/>
      <c r="G469" s="37"/>
      <c r="H469" s="37"/>
      <c r="I469" s="37"/>
    </row>
    <row r="470" spans="1:24" x14ac:dyDescent="0.25">
      <c r="A470" s="120"/>
      <c r="B470" s="19"/>
      <c r="C470" s="24"/>
      <c r="D470" s="24"/>
      <c r="E470" s="37"/>
      <c r="F470" s="37"/>
      <c r="G470" s="37"/>
      <c r="H470" s="37"/>
      <c r="I470" s="37"/>
    </row>
    <row r="471" spans="1:24" x14ac:dyDescent="0.25">
      <c r="A471" s="120"/>
      <c r="B471" s="19"/>
      <c r="C471" s="24"/>
      <c r="D471" s="24"/>
      <c r="E471" s="37"/>
      <c r="F471" s="37"/>
      <c r="G471" s="37"/>
      <c r="H471" s="37"/>
      <c r="I471" s="37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</row>
    <row r="474" spans="1:24" x14ac:dyDescent="0.25">
      <c r="A474" s="120"/>
      <c r="B474" s="34"/>
      <c r="C474" s="35"/>
      <c r="D474" s="35"/>
      <c r="E474" s="36"/>
      <c r="F474" s="36"/>
      <c r="G474" s="36"/>
      <c r="H474" s="36"/>
      <c r="I474" s="36"/>
    </row>
    <row r="475" spans="1:24" x14ac:dyDescent="0.25">
      <c r="A475" s="120"/>
      <c r="B475" s="19"/>
      <c r="C475" s="37"/>
      <c r="D475" s="37"/>
      <c r="E475" s="24"/>
      <c r="F475" s="24"/>
      <c r="G475" s="24"/>
      <c r="H475" s="24"/>
      <c r="I475" s="24"/>
    </row>
    <row r="476" spans="1:24" x14ac:dyDescent="0.25">
      <c r="A476" s="120"/>
      <c r="B476" s="19"/>
      <c r="C476" s="37"/>
      <c r="D476" s="37"/>
      <c r="E476" s="24"/>
      <c r="F476" s="24"/>
      <c r="G476" s="24"/>
      <c r="H476" s="24"/>
      <c r="I476" s="24"/>
    </row>
    <row r="477" spans="1:24" x14ac:dyDescent="0.25">
      <c r="A477" s="120"/>
      <c r="B477" s="19"/>
      <c r="C477" s="37"/>
      <c r="D477" s="37"/>
      <c r="E477" s="24"/>
      <c r="F477" s="24"/>
      <c r="G477" s="24"/>
      <c r="H477" s="24"/>
      <c r="I477" s="24"/>
    </row>
    <row r="478" spans="1:24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8"/>
      <c r="L478" s="18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</row>
    <row r="479" spans="1:24" s="12" customFormat="1" x14ac:dyDescent="0.25">
      <c r="A479" s="121"/>
      <c r="B479" s="19"/>
      <c r="C479" s="37"/>
      <c r="D479" s="37"/>
      <c r="E479" s="24"/>
      <c r="F479" s="24"/>
      <c r="G479" s="24"/>
      <c r="H479" s="24"/>
      <c r="I479" s="24"/>
      <c r="J479" s="49"/>
      <c r="K479" s="49"/>
      <c r="L479" s="49"/>
    </row>
    <row r="480" spans="1:24" s="12" customFormat="1" x14ac:dyDescent="0.25">
      <c r="A480" s="121"/>
      <c r="B480" s="32"/>
      <c r="C480" s="33"/>
      <c r="D480" s="33"/>
      <c r="E480" s="24"/>
      <c r="F480" s="24"/>
      <c r="G480" s="24"/>
      <c r="H480" s="24"/>
      <c r="I480" s="24"/>
      <c r="J480" s="49"/>
      <c r="K480" s="49"/>
      <c r="L480" s="49"/>
    </row>
    <row r="481" spans="1:24" s="12" customFormat="1" x14ac:dyDescent="0.25">
      <c r="A481" s="121"/>
      <c r="B481" s="19"/>
      <c r="C481" s="37"/>
      <c r="D481" s="37"/>
      <c r="E481" s="24"/>
      <c r="F481" s="24"/>
      <c r="G481" s="24"/>
      <c r="H481" s="24"/>
      <c r="I481" s="24"/>
      <c r="J481" s="49"/>
      <c r="K481" s="49"/>
      <c r="L481" s="49"/>
    </row>
    <row r="482" spans="1:24" s="12" customFormat="1" x14ac:dyDescent="0.25">
      <c r="A482" s="121"/>
      <c r="B482" s="19"/>
      <c r="C482" s="37"/>
      <c r="D482" s="37"/>
      <c r="E482" s="24"/>
      <c r="F482" s="24"/>
      <c r="G482" s="24"/>
      <c r="H482" s="24"/>
      <c r="I482" s="24"/>
      <c r="J482" s="49"/>
      <c r="K482" s="49"/>
      <c r="L482" s="49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49"/>
      <c r="K483" s="49"/>
      <c r="L483" s="49"/>
    </row>
    <row r="484" spans="1:24" s="12" customFormat="1" x14ac:dyDescent="0.25">
      <c r="A484" s="121"/>
      <c r="B484" s="19"/>
      <c r="C484" s="37"/>
      <c r="D484" s="37"/>
      <c r="E484" s="24"/>
      <c r="F484" s="24"/>
      <c r="G484" s="24"/>
      <c r="H484" s="24"/>
      <c r="I484" s="24"/>
      <c r="J484" s="49"/>
      <c r="K484" s="49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49"/>
      <c r="K485" s="49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49"/>
      <c r="K486" s="49"/>
      <c r="L486" s="49"/>
    </row>
    <row r="487" spans="1:24" x14ac:dyDescent="0.25">
      <c r="A487" s="120"/>
      <c r="B487" s="17"/>
      <c r="C487" s="17"/>
      <c r="D487" s="17"/>
      <c r="E487" s="17"/>
      <c r="F487" s="17"/>
      <c r="G487" s="17"/>
      <c r="H487" s="17"/>
      <c r="I487" s="17"/>
      <c r="J487" s="18"/>
      <c r="K487" s="18"/>
      <c r="L487" s="18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</row>
    <row r="488" spans="1:24" x14ac:dyDescent="0.25">
      <c r="A488" s="120"/>
      <c r="B488" s="17"/>
      <c r="C488" s="17"/>
      <c r="D488" s="17"/>
      <c r="E488" s="17"/>
      <c r="F488" s="17"/>
      <c r="G488" s="17"/>
      <c r="H488" s="17"/>
      <c r="I488" s="17"/>
      <c r="J488" s="18"/>
      <c r="K488" s="18"/>
      <c r="L488" s="18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</row>
    <row r="489" spans="1:24" x14ac:dyDescent="0.25">
      <c r="A489" s="120"/>
      <c r="B489" s="17"/>
      <c r="C489" s="17"/>
      <c r="D489" s="17"/>
      <c r="E489" s="17"/>
      <c r="F489" s="17"/>
      <c r="G489" s="17"/>
      <c r="H489" s="17"/>
      <c r="I489" s="17"/>
      <c r="J489" s="18"/>
      <c r="K489" s="18"/>
      <c r="L489" s="18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</row>
    <row r="490" spans="1:24" x14ac:dyDescent="0.25">
      <c r="A490" s="120"/>
      <c r="B490" s="17"/>
      <c r="C490" s="17"/>
      <c r="D490" s="17"/>
      <c r="E490" s="17"/>
      <c r="F490" s="17"/>
      <c r="G490" s="17"/>
      <c r="H490" s="17"/>
      <c r="I490" s="17"/>
      <c r="J490" s="18"/>
      <c r="K490" s="18"/>
      <c r="L490" s="18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8"/>
      <c r="K491" s="18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8"/>
      <c r="K492" s="18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8"/>
      <c r="K493" s="18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8"/>
      <c r="K494" s="18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8"/>
      <c r="K495" s="18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8"/>
      <c r="K496" s="18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8"/>
      <c r="K497" s="18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8"/>
      <c r="K498" s="18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8"/>
      <c r="K499" s="18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8"/>
      <c r="K500" s="18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8"/>
      <c r="K501" s="18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8"/>
      <c r="K502" s="18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8"/>
      <c r="K503" s="18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8"/>
      <c r="K504" s="18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8"/>
      <c r="K505" s="18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8"/>
      <c r="K506" s="18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8"/>
      <c r="K507" s="18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8"/>
      <c r="K508" s="18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8"/>
      <c r="K509" s="18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8"/>
      <c r="K510" s="18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8"/>
      <c r="K511" s="18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8"/>
      <c r="K512" s="18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8"/>
      <c r="K513" s="18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8"/>
      <c r="K514" s="18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8"/>
      <c r="K515" s="18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8"/>
      <c r="K516" s="18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8"/>
      <c r="K517" s="18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8"/>
      <c r="K518" s="18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8"/>
      <c r="K519" s="18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8"/>
      <c r="K520" s="18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8"/>
      <c r="K521" s="18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8"/>
      <c r="K522" s="18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8"/>
      <c r="K523" s="18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8"/>
      <c r="K524" s="18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8"/>
      <c r="K525" s="18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8"/>
      <c r="K526" s="18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8"/>
      <c r="K527" s="18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8"/>
      <c r="K528" s="18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8"/>
      <c r="K529" s="18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8"/>
      <c r="K530" s="18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8"/>
      <c r="K531" s="18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8"/>
      <c r="K532" s="18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8"/>
      <c r="K533" s="18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8"/>
      <c r="K534" s="18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8"/>
      <c r="K535" s="18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8"/>
      <c r="K536" s="18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8"/>
      <c r="K537" s="18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8"/>
      <c r="K538" s="18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8"/>
      <c r="K539" s="18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8"/>
      <c r="K540" s="18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8"/>
      <c r="K541" s="18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8"/>
      <c r="K542" s="18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8"/>
      <c r="K543" s="18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8"/>
      <c r="K544" s="18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8"/>
      <c r="K545" s="18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8"/>
      <c r="K546" s="18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8"/>
      <c r="K547" s="18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8"/>
      <c r="K548" s="18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8"/>
      <c r="K549" s="18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8"/>
      <c r="K550" s="18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8"/>
      <c r="K551" s="18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8"/>
      <c r="K552" s="18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8"/>
      <c r="K553" s="18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8"/>
      <c r="K554" s="18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8"/>
      <c r="K555" s="18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8"/>
      <c r="K556" s="18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8"/>
      <c r="K557" s="18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8"/>
      <c r="K558" s="18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8"/>
      <c r="K559" s="18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8"/>
      <c r="K560" s="18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8"/>
      <c r="K561" s="18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8"/>
      <c r="K562" s="18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8"/>
      <c r="K563" s="18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8"/>
      <c r="K564" s="18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8"/>
      <c r="K565" s="18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8"/>
      <c r="K566" s="18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8"/>
      <c r="K567" s="18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8"/>
      <c r="K568" s="18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8"/>
      <c r="K569" s="18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8"/>
      <c r="K570" s="18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8"/>
      <c r="K571" s="18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8"/>
      <c r="K572" s="18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8"/>
      <c r="K573" s="18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8"/>
      <c r="K574" s="18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8"/>
      <c r="K575" s="18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8"/>
      <c r="K576" s="18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8"/>
      <c r="K577" s="18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8"/>
      <c r="K578" s="18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8"/>
      <c r="K579" s="18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8"/>
      <c r="K580" s="18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8"/>
      <c r="K581" s="18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8"/>
      <c r="K582" s="18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8"/>
      <c r="K583" s="18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8"/>
      <c r="K584" s="18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8"/>
      <c r="K585" s="18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8"/>
      <c r="K586" s="18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8"/>
      <c r="K587" s="18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8"/>
      <c r="K588" s="18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8"/>
      <c r="K589" s="18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8"/>
      <c r="K590" s="18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8"/>
      <c r="K591" s="18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8"/>
      <c r="K592" s="18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8"/>
      <c r="K593" s="18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8"/>
      <c r="K594" s="18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8"/>
      <c r="K595" s="18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8"/>
      <c r="K596" s="18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8"/>
      <c r="K597" s="18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8"/>
      <c r="K598" s="18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8"/>
      <c r="K599" s="18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8"/>
      <c r="K600" s="18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8"/>
      <c r="K601" s="18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8"/>
      <c r="K602" s="18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8"/>
      <c r="K603" s="18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8"/>
      <c r="K604" s="18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8"/>
      <c r="K605" s="18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8"/>
      <c r="K606" s="18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8"/>
      <c r="K607" s="18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8"/>
      <c r="K608" s="18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8"/>
      <c r="K609" s="18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8"/>
      <c r="K610" s="18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8"/>
      <c r="K611" s="18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8"/>
      <c r="K612" s="18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8"/>
      <c r="K613" s="18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8"/>
      <c r="K614" s="18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8"/>
      <c r="K615" s="18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8"/>
      <c r="K616" s="18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8"/>
      <c r="K617" s="18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8"/>
      <c r="K618" s="18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8"/>
      <c r="K619" s="18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8"/>
      <c r="K620" s="18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8"/>
      <c r="K621" s="18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8"/>
      <c r="K622" s="18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8"/>
      <c r="K623" s="18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8"/>
      <c r="K624" s="18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8"/>
      <c r="K625" s="18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8"/>
      <c r="K626" s="18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8"/>
      <c r="K627" s="18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8"/>
      <c r="K628" s="18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8"/>
      <c r="K629" s="18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8"/>
      <c r="K630" s="18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8"/>
      <c r="K631" s="18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8"/>
      <c r="K632" s="18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8"/>
      <c r="K633" s="18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8"/>
      <c r="K634" s="18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8"/>
      <c r="K635" s="18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8"/>
      <c r="K636" s="18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8"/>
      <c r="K637" s="18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8"/>
      <c r="K638" s="18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8"/>
      <c r="K639" s="18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8"/>
      <c r="K640" s="18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8"/>
      <c r="K641" s="18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8"/>
      <c r="K642" s="18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8"/>
      <c r="K643" s="18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8"/>
      <c r="K644" s="18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8"/>
      <c r="K645" s="18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8"/>
      <c r="K646" s="18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8"/>
      <c r="K647" s="18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8"/>
      <c r="K648" s="18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8"/>
      <c r="K649" s="18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8"/>
      <c r="K650" s="18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8"/>
      <c r="K651" s="18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8"/>
      <c r="K652" s="18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8"/>
      <c r="K653" s="18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8"/>
      <c r="K654" s="18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8"/>
      <c r="K655" s="18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8"/>
      <c r="K656" s="18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8"/>
      <c r="K657" s="18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8"/>
      <c r="K658" s="18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8"/>
      <c r="K659" s="18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8"/>
      <c r="K660" s="18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8"/>
      <c r="K661" s="18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8"/>
      <c r="K662" s="18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8"/>
      <c r="K663" s="18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8"/>
      <c r="K664" s="18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8"/>
      <c r="K665" s="18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8"/>
      <c r="K666" s="18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8"/>
      <c r="K667" s="18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8"/>
      <c r="K668" s="18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8"/>
      <c r="K669" s="18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8"/>
      <c r="K670" s="18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8"/>
      <c r="K671" s="18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8"/>
      <c r="K672" s="18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8"/>
      <c r="K673" s="18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8"/>
      <c r="K674" s="18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8"/>
      <c r="K675" s="18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8"/>
      <c r="K676" s="18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8"/>
      <c r="K677" s="18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8"/>
      <c r="K678" s="18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8"/>
      <c r="K679" s="18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8"/>
      <c r="K680" s="18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8"/>
      <c r="K681" s="18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8"/>
      <c r="K682" s="18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8"/>
      <c r="K683" s="18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8"/>
      <c r="K684" s="18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8"/>
      <c r="K685" s="18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8"/>
      <c r="K686" s="18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8"/>
      <c r="K687" s="18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8"/>
      <c r="K688" s="18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8"/>
      <c r="K689" s="18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8"/>
      <c r="K690" s="18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8"/>
      <c r="K691" s="18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8"/>
      <c r="K692" s="18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8"/>
      <c r="K693" s="18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8"/>
      <c r="K694" s="18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8"/>
      <c r="K695" s="18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8"/>
      <c r="K696" s="18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8"/>
      <c r="K697" s="18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8"/>
      <c r="K698" s="18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8"/>
      <c r="K699" s="18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8"/>
      <c r="K700" s="18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8"/>
      <c r="K701" s="18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8"/>
      <c r="K702" s="18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8"/>
      <c r="K703" s="18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8"/>
      <c r="K704" s="18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8"/>
      <c r="K705" s="18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8"/>
      <c r="K706" s="18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8"/>
      <c r="K707" s="18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8"/>
      <c r="K708" s="18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8"/>
      <c r="K709" s="18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8"/>
      <c r="K710" s="18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8"/>
      <c r="K711" s="18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8"/>
      <c r="K712" s="18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8"/>
      <c r="K713" s="18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8"/>
      <c r="K714" s="18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8"/>
      <c r="K715" s="18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8"/>
      <c r="K716" s="18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8"/>
      <c r="K717" s="18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8"/>
      <c r="K718" s="18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8"/>
      <c r="K719" s="18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</sheetData>
  <mergeCells count="246">
    <mergeCell ref="U2:X3"/>
    <mergeCell ref="M2:T3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J2:L2"/>
    <mergeCell ref="J3:J4"/>
    <mergeCell ref="K3:K4"/>
    <mergeCell ref="L3:L4"/>
    <mergeCell ref="C23:E23"/>
    <mergeCell ref="B2:E4"/>
    <mergeCell ref="C5:E5"/>
    <mergeCell ref="C6:E6"/>
    <mergeCell ref="C20:E20"/>
    <mergeCell ref="I2:I4"/>
    <mergeCell ref="C21:E21"/>
    <mergeCell ref="C22:E22"/>
    <mergeCell ref="F2:F4"/>
    <mergeCell ref="G2:G4"/>
    <mergeCell ref="H2:H4"/>
  </mergeCells>
  <pageMargins left="0.25" right="0.25" top="0.75" bottom="0.75" header="0.3" footer="0.3"/>
  <pageSetup paperSize="9" scale="56" orientation="landscape" horizontalDpi="4294967293" r:id="rId1"/>
  <headerFooter>
    <oddHeader>&amp;C&amp;"Times New Roman,Félkövér"&amp;12 013350 Az önkormányzati vagyonnal való gazdálkodással kapcsolatos feladatokKiadások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013B-DF15-4C45-B4FB-CEDD093A374F}">
  <dimension ref="A1:W254"/>
  <sheetViews>
    <sheetView zoomScaleNormal="100" zoomScalePageLayoutView="85" workbookViewId="0">
      <selection activeCell="F262" sqref="F262"/>
    </sheetView>
  </sheetViews>
  <sheetFormatPr defaultRowHeight="15" x14ac:dyDescent="0.25"/>
  <cols>
    <col min="4" max="4" width="29.140625" customWidth="1"/>
    <col min="5" max="5" width="12" customWidth="1"/>
    <col min="6" max="6" width="12.42578125" customWidth="1"/>
    <col min="7" max="7" width="11.7109375" customWidth="1"/>
    <col min="8" max="8" width="11.28515625" customWidth="1"/>
    <col min="9" max="9" width="11" customWidth="1"/>
    <col min="10" max="10" width="10.85546875" customWidth="1"/>
    <col min="11" max="11" width="11.7109375" customWidth="1"/>
    <col min="12" max="16" width="9.28515625" bestFit="1" customWidth="1"/>
    <col min="17" max="17" width="11.140625" customWidth="1"/>
    <col min="18" max="22" width="9.28515625" bestFit="1" customWidth="1"/>
    <col min="23" max="23" width="12" bestFit="1" customWidth="1"/>
  </cols>
  <sheetData>
    <row r="1" spans="1:23" ht="15" customHeight="1" x14ac:dyDescent="0.25">
      <c r="A1" s="677" t="s">
        <v>0</v>
      </c>
      <c r="B1" s="668"/>
      <c r="C1" s="668"/>
      <c r="D1" s="668"/>
      <c r="E1" s="669" t="s">
        <v>1049</v>
      </c>
      <c r="F1" s="669" t="s">
        <v>1052</v>
      </c>
      <c r="G1" s="669" t="s">
        <v>1054</v>
      </c>
      <c r="H1" s="669" t="s">
        <v>1055</v>
      </c>
      <c r="I1" s="691" t="s">
        <v>1041</v>
      </c>
      <c r="J1" s="683"/>
      <c r="K1" s="684"/>
      <c r="L1" s="661" t="s">
        <v>1053</v>
      </c>
      <c r="M1" s="668"/>
      <c r="N1" s="668"/>
      <c r="O1" s="668"/>
      <c r="P1" s="668"/>
      <c r="Q1" s="668"/>
      <c r="R1" s="668"/>
      <c r="S1" s="669"/>
      <c r="T1" s="668" t="s">
        <v>1045</v>
      </c>
      <c r="U1" s="668"/>
      <c r="V1" s="668"/>
      <c r="W1" s="669"/>
    </row>
    <row r="2" spans="1:23" x14ac:dyDescent="0.25">
      <c r="A2" s="678"/>
      <c r="B2" s="679"/>
      <c r="C2" s="679"/>
      <c r="D2" s="679"/>
      <c r="E2" s="689"/>
      <c r="F2" s="689"/>
      <c r="G2" s="689"/>
      <c r="H2" s="689"/>
      <c r="I2" s="692" t="s">
        <v>853</v>
      </c>
      <c r="J2" s="694" t="s">
        <v>854</v>
      </c>
      <c r="K2" s="696" t="s">
        <v>571</v>
      </c>
      <c r="L2" s="672"/>
      <c r="M2" s="670"/>
      <c r="N2" s="670"/>
      <c r="O2" s="670"/>
      <c r="P2" s="670"/>
      <c r="Q2" s="670"/>
      <c r="R2" s="670"/>
      <c r="S2" s="671"/>
      <c r="T2" s="670"/>
      <c r="U2" s="670"/>
      <c r="V2" s="670"/>
      <c r="W2" s="671"/>
    </row>
    <row r="3" spans="1:23" ht="25.5" customHeight="1" thickBot="1" x14ac:dyDescent="0.3">
      <c r="A3" s="680"/>
      <c r="B3" s="681"/>
      <c r="C3" s="681"/>
      <c r="D3" s="681"/>
      <c r="E3" s="690"/>
      <c r="F3" s="690"/>
      <c r="G3" s="690"/>
      <c r="H3" s="690"/>
      <c r="I3" s="693"/>
      <c r="J3" s="695"/>
      <c r="K3" s="697"/>
      <c r="L3" s="122" t="s">
        <v>592</v>
      </c>
      <c r="M3" s="63" t="s">
        <v>593</v>
      </c>
      <c r="N3" s="408" t="s">
        <v>594</v>
      </c>
      <c r="O3" s="408" t="s">
        <v>595</v>
      </c>
      <c r="P3" s="80" t="s">
        <v>596</v>
      </c>
      <c r="Q3" s="408" t="s">
        <v>597</v>
      </c>
      <c r="R3" s="408" t="s">
        <v>598</v>
      </c>
      <c r="S3" s="390" t="s">
        <v>599</v>
      </c>
      <c r="T3" s="528" t="s">
        <v>600</v>
      </c>
      <c r="U3" s="408" t="s">
        <v>601</v>
      </c>
      <c r="V3" s="408" t="s">
        <v>602</v>
      </c>
      <c r="W3" s="390" t="s">
        <v>603</v>
      </c>
    </row>
    <row r="4" spans="1:23" ht="15.75" thickBot="1" x14ac:dyDescent="0.3">
      <c r="A4" s="81" t="s">
        <v>118</v>
      </c>
      <c r="B4" s="698" t="s">
        <v>119</v>
      </c>
      <c r="C4" s="699"/>
      <c r="D4" s="699"/>
      <c r="E4" s="156">
        <v>0</v>
      </c>
      <c r="F4" s="338">
        <v>0</v>
      </c>
      <c r="G4" s="308">
        <v>0</v>
      </c>
      <c r="H4" s="506">
        <v>0</v>
      </c>
      <c r="I4" s="230">
        <f>I5+I19</f>
        <v>0</v>
      </c>
      <c r="J4" s="139">
        <f>J5+J19</f>
        <v>0</v>
      </c>
      <c r="K4" s="156">
        <f>SUM(I4:J4)</f>
        <v>0</v>
      </c>
      <c r="L4" s="82">
        <f t="shared" ref="L4:W4" si="0">L5+L19</f>
        <v>0</v>
      </c>
      <c r="M4" s="83">
        <f t="shared" si="0"/>
        <v>0</v>
      </c>
      <c r="N4" s="86">
        <f t="shared" si="0"/>
        <v>0</v>
      </c>
      <c r="O4" s="86">
        <f t="shared" si="0"/>
        <v>0</v>
      </c>
      <c r="P4" s="83">
        <f t="shared" si="0"/>
        <v>0</v>
      </c>
      <c r="Q4" s="86">
        <f t="shared" si="0"/>
        <v>0</v>
      </c>
      <c r="R4" s="86">
        <f t="shared" si="0"/>
        <v>0</v>
      </c>
      <c r="S4" s="87">
        <f t="shared" si="0"/>
        <v>0</v>
      </c>
      <c r="T4" s="338">
        <f t="shared" si="0"/>
        <v>0</v>
      </c>
      <c r="U4" s="86">
        <f t="shared" si="0"/>
        <v>0</v>
      </c>
      <c r="V4" s="86">
        <f t="shared" si="0"/>
        <v>0</v>
      </c>
      <c r="W4" s="87">
        <f t="shared" si="0"/>
        <v>0</v>
      </c>
    </row>
    <row r="5" spans="1:23" hidden="1" x14ac:dyDescent="0.25">
      <c r="A5" s="115" t="s">
        <v>608</v>
      </c>
      <c r="B5" s="653" t="s">
        <v>120</v>
      </c>
      <c r="C5" s="654"/>
      <c r="D5" s="654"/>
      <c r="E5" s="157">
        <v>0</v>
      </c>
      <c r="F5" s="339">
        <v>0</v>
      </c>
      <c r="G5" s="309">
        <v>0</v>
      </c>
      <c r="H5" s="507">
        <v>0</v>
      </c>
      <c r="I5" s="231">
        <f>I6+I7+I8+I9+I10+I11+I12+I13+I14+I15+I16+I17+I18</f>
        <v>0</v>
      </c>
      <c r="J5" s="140">
        <f>J6+J7+J8+J9+J10+J11+J12+J13+J14+J15+J16+J17+J18</f>
        <v>0</v>
      </c>
      <c r="K5" s="157">
        <f t="shared" ref="K5:K68" si="1">SUM(I5:J5)</f>
        <v>0</v>
      </c>
      <c r="L5" s="109">
        <f t="shared" ref="L5:W5" si="2">L6+L7+L8+L9+L10+L11+L12+L13+L14+L15+L16+L17+L18</f>
        <v>0</v>
      </c>
      <c r="M5" s="110">
        <f t="shared" si="2"/>
        <v>0</v>
      </c>
      <c r="N5" s="113">
        <f t="shared" si="2"/>
        <v>0</v>
      </c>
      <c r="O5" s="113">
        <f t="shared" si="2"/>
        <v>0</v>
      </c>
      <c r="P5" s="110">
        <f t="shared" si="2"/>
        <v>0</v>
      </c>
      <c r="Q5" s="113">
        <f t="shared" si="2"/>
        <v>0</v>
      </c>
      <c r="R5" s="113">
        <f t="shared" si="2"/>
        <v>0</v>
      </c>
      <c r="S5" s="114">
        <f t="shared" si="2"/>
        <v>0</v>
      </c>
      <c r="T5" s="339">
        <f t="shared" si="2"/>
        <v>0</v>
      </c>
      <c r="U5" s="113">
        <f t="shared" si="2"/>
        <v>0</v>
      </c>
      <c r="V5" s="113">
        <f t="shared" si="2"/>
        <v>0</v>
      </c>
      <c r="W5" s="114">
        <f t="shared" si="2"/>
        <v>0</v>
      </c>
    </row>
    <row r="6" spans="1:23" hidden="1" x14ac:dyDescent="0.25">
      <c r="A6" s="181" t="s">
        <v>609</v>
      </c>
      <c r="B6" s="194"/>
      <c r="C6" s="247" t="s">
        <v>122</v>
      </c>
      <c r="D6" s="247"/>
      <c r="E6" s="183">
        <v>0</v>
      </c>
      <c r="F6" s="340">
        <v>0</v>
      </c>
      <c r="G6" s="310">
        <v>0</v>
      </c>
      <c r="H6" s="508">
        <v>0</v>
      </c>
      <c r="I6" s="251">
        <f>SUM(O6:Z6)</f>
        <v>0</v>
      </c>
      <c r="J6" s="182"/>
      <c r="K6" s="183">
        <f t="shared" si="1"/>
        <v>0</v>
      </c>
      <c r="L6" s="191"/>
      <c r="M6" s="185"/>
      <c r="N6" s="186"/>
      <c r="O6" s="186"/>
      <c r="P6" s="185"/>
      <c r="Q6" s="186"/>
      <c r="R6" s="186"/>
      <c r="S6" s="187"/>
      <c r="T6" s="340"/>
      <c r="U6" s="186"/>
      <c r="V6" s="186"/>
      <c r="W6" s="187"/>
    </row>
    <row r="7" spans="1:23" hidden="1" x14ac:dyDescent="0.25">
      <c r="A7" s="181" t="s">
        <v>610</v>
      </c>
      <c r="B7" s="194"/>
      <c r="C7" s="247" t="s">
        <v>124</v>
      </c>
      <c r="D7" s="247"/>
      <c r="E7" s="183">
        <v>0</v>
      </c>
      <c r="F7" s="340">
        <v>0</v>
      </c>
      <c r="G7" s="310">
        <v>0</v>
      </c>
      <c r="H7" s="508">
        <v>0</v>
      </c>
      <c r="I7" s="251">
        <f t="shared" ref="I7:I18" si="3">SUM(O7:Z7)</f>
        <v>0</v>
      </c>
      <c r="J7" s="182"/>
      <c r="K7" s="183">
        <f t="shared" si="1"/>
        <v>0</v>
      </c>
      <c r="L7" s="191"/>
      <c r="M7" s="185"/>
      <c r="N7" s="186"/>
      <c r="O7" s="186"/>
      <c r="P7" s="185"/>
      <c r="Q7" s="186"/>
      <c r="R7" s="186"/>
      <c r="S7" s="187"/>
      <c r="T7" s="340"/>
      <c r="U7" s="186"/>
      <c r="V7" s="186"/>
      <c r="W7" s="187"/>
    </row>
    <row r="8" spans="1:23" hidden="1" x14ac:dyDescent="0.25">
      <c r="A8" s="181" t="s">
        <v>611</v>
      </c>
      <c r="B8" s="194"/>
      <c r="C8" s="247" t="s">
        <v>126</v>
      </c>
      <c r="D8" s="247"/>
      <c r="E8" s="183">
        <v>0</v>
      </c>
      <c r="F8" s="340">
        <v>0</v>
      </c>
      <c r="G8" s="310">
        <v>0</v>
      </c>
      <c r="H8" s="508">
        <v>0</v>
      </c>
      <c r="I8" s="251">
        <f t="shared" si="3"/>
        <v>0</v>
      </c>
      <c r="J8" s="182"/>
      <c r="K8" s="183">
        <f t="shared" si="1"/>
        <v>0</v>
      </c>
      <c r="L8" s="191"/>
      <c r="M8" s="185"/>
      <c r="N8" s="186"/>
      <c r="O8" s="186"/>
      <c r="P8" s="185"/>
      <c r="Q8" s="186"/>
      <c r="R8" s="186"/>
      <c r="S8" s="187"/>
      <c r="T8" s="340"/>
      <c r="U8" s="186"/>
      <c r="V8" s="186"/>
      <c r="W8" s="187"/>
    </row>
    <row r="9" spans="1:23" hidden="1" x14ac:dyDescent="0.25">
      <c r="A9" s="181" t="s">
        <v>612</v>
      </c>
      <c r="B9" s="194"/>
      <c r="C9" s="247" t="s">
        <v>351</v>
      </c>
      <c r="D9" s="247"/>
      <c r="E9" s="183">
        <v>0</v>
      </c>
      <c r="F9" s="340">
        <v>0</v>
      </c>
      <c r="G9" s="310">
        <v>0</v>
      </c>
      <c r="H9" s="508">
        <v>0</v>
      </c>
      <c r="I9" s="251">
        <f t="shared" si="3"/>
        <v>0</v>
      </c>
      <c r="J9" s="182"/>
      <c r="K9" s="183">
        <f t="shared" si="1"/>
        <v>0</v>
      </c>
      <c r="L9" s="191"/>
      <c r="M9" s="185"/>
      <c r="N9" s="186"/>
      <c r="O9" s="186"/>
      <c r="P9" s="185"/>
      <c r="Q9" s="186"/>
      <c r="R9" s="186"/>
      <c r="S9" s="187"/>
      <c r="T9" s="340"/>
      <c r="U9" s="186"/>
      <c r="V9" s="186"/>
      <c r="W9" s="187"/>
    </row>
    <row r="10" spans="1:23" hidden="1" x14ac:dyDescent="0.25">
      <c r="A10" s="181" t="s">
        <v>613</v>
      </c>
      <c r="B10" s="194"/>
      <c r="C10" s="247" t="s">
        <v>129</v>
      </c>
      <c r="D10" s="247"/>
      <c r="E10" s="183">
        <v>0</v>
      </c>
      <c r="F10" s="340">
        <v>0</v>
      </c>
      <c r="G10" s="310">
        <v>0</v>
      </c>
      <c r="H10" s="508">
        <v>0</v>
      </c>
      <c r="I10" s="251">
        <f t="shared" si="3"/>
        <v>0</v>
      </c>
      <c r="J10" s="182"/>
      <c r="K10" s="183">
        <f t="shared" si="1"/>
        <v>0</v>
      </c>
      <c r="L10" s="191"/>
      <c r="M10" s="185"/>
      <c r="N10" s="186"/>
      <c r="O10" s="186"/>
      <c r="P10" s="185"/>
      <c r="Q10" s="186"/>
      <c r="R10" s="186"/>
      <c r="S10" s="187"/>
      <c r="T10" s="340"/>
      <c r="U10" s="186"/>
      <c r="V10" s="186"/>
      <c r="W10" s="187"/>
    </row>
    <row r="11" spans="1:23" hidden="1" x14ac:dyDescent="0.25">
      <c r="A11" s="181" t="s">
        <v>614</v>
      </c>
      <c r="B11" s="194"/>
      <c r="C11" s="247" t="s">
        <v>131</v>
      </c>
      <c r="D11" s="247"/>
      <c r="E11" s="183">
        <v>0</v>
      </c>
      <c r="F11" s="340">
        <v>0</v>
      </c>
      <c r="G11" s="310">
        <v>0</v>
      </c>
      <c r="H11" s="508">
        <v>0</v>
      </c>
      <c r="I11" s="251">
        <f t="shared" si="3"/>
        <v>0</v>
      </c>
      <c r="J11" s="182"/>
      <c r="K11" s="183">
        <f t="shared" si="1"/>
        <v>0</v>
      </c>
      <c r="L11" s="191"/>
      <c r="M11" s="185"/>
      <c r="N11" s="186"/>
      <c r="O11" s="186"/>
      <c r="P11" s="185"/>
      <c r="Q11" s="186"/>
      <c r="R11" s="186"/>
      <c r="S11" s="187"/>
      <c r="T11" s="340"/>
      <c r="U11" s="186"/>
      <c r="V11" s="186"/>
      <c r="W11" s="187"/>
    </row>
    <row r="12" spans="1:23" hidden="1" x14ac:dyDescent="0.25">
      <c r="A12" s="181" t="s">
        <v>615</v>
      </c>
      <c r="B12" s="194"/>
      <c r="C12" s="247" t="s">
        <v>133</v>
      </c>
      <c r="D12" s="247"/>
      <c r="E12" s="183">
        <v>0</v>
      </c>
      <c r="F12" s="340">
        <v>0</v>
      </c>
      <c r="G12" s="310">
        <v>0</v>
      </c>
      <c r="H12" s="508">
        <v>0</v>
      </c>
      <c r="I12" s="251">
        <f t="shared" si="3"/>
        <v>0</v>
      </c>
      <c r="J12" s="182"/>
      <c r="K12" s="183">
        <f t="shared" si="1"/>
        <v>0</v>
      </c>
      <c r="L12" s="191"/>
      <c r="M12" s="185"/>
      <c r="N12" s="186"/>
      <c r="O12" s="186"/>
      <c r="P12" s="185"/>
      <c r="Q12" s="186"/>
      <c r="R12" s="186"/>
      <c r="S12" s="187"/>
      <c r="T12" s="340"/>
      <c r="U12" s="186"/>
      <c r="V12" s="186"/>
      <c r="W12" s="187"/>
    </row>
    <row r="13" spans="1:23" hidden="1" x14ac:dyDescent="0.25">
      <c r="A13" s="181" t="s">
        <v>616</v>
      </c>
      <c r="B13" s="194"/>
      <c r="C13" s="247" t="s">
        <v>135</v>
      </c>
      <c r="D13" s="247"/>
      <c r="E13" s="183">
        <v>0</v>
      </c>
      <c r="F13" s="340">
        <v>0</v>
      </c>
      <c r="G13" s="310">
        <v>0</v>
      </c>
      <c r="H13" s="508">
        <v>0</v>
      </c>
      <c r="I13" s="251">
        <f t="shared" si="3"/>
        <v>0</v>
      </c>
      <c r="J13" s="182"/>
      <c r="K13" s="183">
        <f t="shared" si="1"/>
        <v>0</v>
      </c>
      <c r="L13" s="191"/>
      <c r="M13" s="185"/>
      <c r="N13" s="186"/>
      <c r="O13" s="186"/>
      <c r="P13" s="185"/>
      <c r="Q13" s="186"/>
      <c r="R13" s="186"/>
      <c r="S13" s="187"/>
      <c r="T13" s="340"/>
      <c r="U13" s="186"/>
      <c r="V13" s="186"/>
      <c r="W13" s="187"/>
    </row>
    <row r="14" spans="1:23" hidden="1" x14ac:dyDescent="0.25">
      <c r="A14" s="181" t="s">
        <v>617</v>
      </c>
      <c r="B14" s="194"/>
      <c r="C14" s="247" t="s">
        <v>137</v>
      </c>
      <c r="D14" s="247"/>
      <c r="E14" s="183">
        <v>0</v>
      </c>
      <c r="F14" s="340">
        <v>0</v>
      </c>
      <c r="G14" s="310">
        <v>0</v>
      </c>
      <c r="H14" s="508">
        <v>0</v>
      </c>
      <c r="I14" s="251">
        <f t="shared" si="3"/>
        <v>0</v>
      </c>
      <c r="J14" s="182"/>
      <c r="K14" s="183">
        <f t="shared" si="1"/>
        <v>0</v>
      </c>
      <c r="L14" s="191"/>
      <c r="M14" s="185"/>
      <c r="N14" s="186"/>
      <c r="O14" s="186"/>
      <c r="P14" s="185"/>
      <c r="Q14" s="186"/>
      <c r="R14" s="186"/>
      <c r="S14" s="187"/>
      <c r="T14" s="340"/>
      <c r="U14" s="186"/>
      <c r="V14" s="186"/>
      <c r="W14" s="187"/>
    </row>
    <row r="15" spans="1:23" hidden="1" x14ac:dyDescent="0.25">
      <c r="A15" s="181" t="s">
        <v>618</v>
      </c>
      <c r="B15" s="194"/>
      <c r="C15" s="247" t="s">
        <v>139</v>
      </c>
      <c r="D15" s="247"/>
      <c r="E15" s="183">
        <v>0</v>
      </c>
      <c r="F15" s="340">
        <v>0</v>
      </c>
      <c r="G15" s="310">
        <v>0</v>
      </c>
      <c r="H15" s="508">
        <v>0</v>
      </c>
      <c r="I15" s="251">
        <f t="shared" si="3"/>
        <v>0</v>
      </c>
      <c r="J15" s="182"/>
      <c r="K15" s="183">
        <f t="shared" si="1"/>
        <v>0</v>
      </c>
      <c r="L15" s="191"/>
      <c r="M15" s="185"/>
      <c r="N15" s="186"/>
      <c r="O15" s="186"/>
      <c r="P15" s="185"/>
      <c r="Q15" s="186"/>
      <c r="R15" s="186"/>
      <c r="S15" s="187"/>
      <c r="T15" s="340"/>
      <c r="U15" s="186"/>
      <c r="V15" s="186"/>
      <c r="W15" s="187"/>
    </row>
    <row r="16" spans="1:23" hidden="1" x14ac:dyDescent="0.25">
      <c r="A16" s="181" t="s">
        <v>619</v>
      </c>
      <c r="B16" s="194"/>
      <c r="C16" s="247" t="s">
        <v>141</v>
      </c>
      <c r="D16" s="247"/>
      <c r="E16" s="183">
        <v>0</v>
      </c>
      <c r="F16" s="340">
        <v>0</v>
      </c>
      <c r="G16" s="310">
        <v>0</v>
      </c>
      <c r="H16" s="508">
        <v>0</v>
      </c>
      <c r="I16" s="251">
        <f t="shared" si="3"/>
        <v>0</v>
      </c>
      <c r="J16" s="182"/>
      <c r="K16" s="183">
        <f t="shared" si="1"/>
        <v>0</v>
      </c>
      <c r="L16" s="191"/>
      <c r="M16" s="185"/>
      <c r="N16" s="186"/>
      <c r="O16" s="186"/>
      <c r="P16" s="185"/>
      <c r="Q16" s="186"/>
      <c r="R16" s="186"/>
      <c r="S16" s="187"/>
      <c r="T16" s="340"/>
      <c r="U16" s="186"/>
      <c r="V16" s="186"/>
      <c r="W16" s="187"/>
    </row>
    <row r="17" spans="1:23" hidden="1" x14ac:dyDescent="0.25">
      <c r="A17" s="181" t="s">
        <v>620</v>
      </c>
      <c r="B17" s="194"/>
      <c r="C17" s="247" t="s">
        <v>143</v>
      </c>
      <c r="D17" s="247"/>
      <c r="E17" s="183">
        <v>0</v>
      </c>
      <c r="F17" s="340">
        <v>0</v>
      </c>
      <c r="G17" s="310">
        <v>0</v>
      </c>
      <c r="H17" s="508">
        <v>0</v>
      </c>
      <c r="I17" s="251">
        <f t="shared" si="3"/>
        <v>0</v>
      </c>
      <c r="J17" s="182"/>
      <c r="K17" s="183">
        <f t="shared" si="1"/>
        <v>0</v>
      </c>
      <c r="L17" s="191"/>
      <c r="M17" s="185"/>
      <c r="N17" s="186"/>
      <c r="O17" s="186"/>
      <c r="P17" s="185"/>
      <c r="Q17" s="186"/>
      <c r="R17" s="186"/>
      <c r="S17" s="187"/>
      <c r="T17" s="340"/>
      <c r="U17" s="186"/>
      <c r="V17" s="186"/>
      <c r="W17" s="187"/>
    </row>
    <row r="18" spans="1:23" hidden="1" x14ac:dyDescent="0.25">
      <c r="A18" s="181" t="s">
        <v>621</v>
      </c>
      <c r="B18" s="194"/>
      <c r="C18" s="247" t="s">
        <v>145</v>
      </c>
      <c r="D18" s="247"/>
      <c r="E18" s="183">
        <v>0</v>
      </c>
      <c r="F18" s="340">
        <v>0</v>
      </c>
      <c r="G18" s="310">
        <v>0</v>
      </c>
      <c r="H18" s="508">
        <v>0</v>
      </c>
      <c r="I18" s="251">
        <f t="shared" si="3"/>
        <v>0</v>
      </c>
      <c r="J18" s="182"/>
      <c r="K18" s="183">
        <f t="shared" si="1"/>
        <v>0</v>
      </c>
      <c r="L18" s="191"/>
      <c r="M18" s="185"/>
      <c r="N18" s="186"/>
      <c r="O18" s="186"/>
      <c r="P18" s="185"/>
      <c r="Q18" s="186"/>
      <c r="R18" s="186"/>
      <c r="S18" s="187"/>
      <c r="T18" s="340"/>
      <c r="U18" s="186"/>
      <c r="V18" s="186"/>
      <c r="W18" s="187"/>
    </row>
    <row r="19" spans="1:23" hidden="1" x14ac:dyDescent="0.25">
      <c r="A19" s="88" t="s">
        <v>622</v>
      </c>
      <c r="B19" s="640" t="s">
        <v>146</v>
      </c>
      <c r="C19" s="641"/>
      <c r="D19" s="641"/>
      <c r="E19" s="158">
        <v>0</v>
      </c>
      <c r="F19" s="341">
        <v>0</v>
      </c>
      <c r="G19" s="311">
        <v>0</v>
      </c>
      <c r="H19" s="509">
        <v>0</v>
      </c>
      <c r="I19" s="233">
        <f>I20+I21+I22</f>
        <v>0</v>
      </c>
      <c r="J19" s="142">
        <f>J20+J21+J22</f>
        <v>0</v>
      </c>
      <c r="K19" s="158">
        <f t="shared" si="1"/>
        <v>0</v>
      </c>
      <c r="L19" s="90">
        <f t="shared" ref="L19:W19" si="4">L20+L21+L22</f>
        <v>0</v>
      </c>
      <c r="M19" s="91">
        <f t="shared" si="4"/>
        <v>0</v>
      </c>
      <c r="N19" s="94">
        <f t="shared" si="4"/>
        <v>0</v>
      </c>
      <c r="O19" s="94">
        <f t="shared" si="4"/>
        <v>0</v>
      </c>
      <c r="P19" s="91">
        <f t="shared" si="4"/>
        <v>0</v>
      </c>
      <c r="Q19" s="94">
        <f t="shared" si="4"/>
        <v>0</v>
      </c>
      <c r="R19" s="94">
        <f t="shared" si="4"/>
        <v>0</v>
      </c>
      <c r="S19" s="95">
        <f t="shared" si="4"/>
        <v>0</v>
      </c>
      <c r="T19" s="341">
        <f t="shared" si="4"/>
        <v>0</v>
      </c>
      <c r="U19" s="94">
        <f t="shared" si="4"/>
        <v>0</v>
      </c>
      <c r="V19" s="94">
        <f t="shared" si="4"/>
        <v>0</v>
      </c>
      <c r="W19" s="95">
        <f t="shared" si="4"/>
        <v>0</v>
      </c>
    </row>
    <row r="20" spans="1:23" hidden="1" x14ac:dyDescent="0.25">
      <c r="A20" s="53" t="s">
        <v>623</v>
      </c>
      <c r="B20" s="642" t="s">
        <v>148</v>
      </c>
      <c r="C20" s="643"/>
      <c r="D20" s="643"/>
      <c r="E20" s="160">
        <v>0</v>
      </c>
      <c r="F20" s="342">
        <v>0</v>
      </c>
      <c r="G20" s="312">
        <v>0</v>
      </c>
      <c r="H20" s="510">
        <v>0</v>
      </c>
      <c r="I20" s="239">
        <f>SUM(O20:Z20)</f>
        <v>0</v>
      </c>
      <c r="J20" s="148"/>
      <c r="K20" s="160">
        <f t="shared" si="1"/>
        <v>0</v>
      </c>
      <c r="L20" s="74"/>
      <c r="M20" s="13"/>
      <c r="N20" s="79"/>
      <c r="O20" s="79"/>
      <c r="P20" s="13"/>
      <c r="Q20" s="79"/>
      <c r="R20" s="79"/>
      <c r="S20" s="45"/>
      <c r="T20" s="342"/>
      <c r="U20" s="79"/>
      <c r="V20" s="79"/>
      <c r="W20" s="45"/>
    </row>
    <row r="21" spans="1:23" hidden="1" x14ac:dyDescent="0.25">
      <c r="A21" s="53" t="s">
        <v>624</v>
      </c>
      <c r="B21" s="644" t="s">
        <v>875</v>
      </c>
      <c r="C21" s="645"/>
      <c r="D21" s="645"/>
      <c r="E21" s="160">
        <v>0</v>
      </c>
      <c r="F21" s="342">
        <v>0</v>
      </c>
      <c r="G21" s="312">
        <v>0</v>
      </c>
      <c r="H21" s="510">
        <v>0</v>
      </c>
      <c r="I21" s="239">
        <f>SUM(O21:Z21)</f>
        <v>0</v>
      </c>
      <c r="J21" s="148"/>
      <c r="K21" s="160">
        <f t="shared" si="1"/>
        <v>0</v>
      </c>
      <c r="L21" s="74"/>
      <c r="M21" s="13"/>
      <c r="N21" s="79"/>
      <c r="O21" s="79"/>
      <c r="P21" s="13"/>
      <c r="Q21" s="79"/>
      <c r="R21" s="79"/>
      <c r="S21" s="45"/>
      <c r="T21" s="342"/>
      <c r="U21" s="79"/>
      <c r="V21" s="79"/>
      <c r="W21" s="45"/>
    </row>
    <row r="22" spans="1:23" ht="15.75" hidden="1" thickBot="1" x14ac:dyDescent="0.3">
      <c r="A22" s="188" t="s">
        <v>625</v>
      </c>
      <c r="B22" s="687" t="s">
        <v>151</v>
      </c>
      <c r="C22" s="688"/>
      <c r="D22" s="688"/>
      <c r="E22" s="160">
        <v>0</v>
      </c>
      <c r="F22" s="347">
        <v>0</v>
      </c>
      <c r="G22" s="319">
        <v>0</v>
      </c>
      <c r="H22" s="511">
        <v>0</v>
      </c>
      <c r="I22" s="252">
        <f>SUM(O22:Z22)</f>
        <v>0</v>
      </c>
      <c r="J22" s="189"/>
      <c r="K22" s="160">
        <f t="shared" si="1"/>
        <v>0</v>
      </c>
      <c r="L22" s="74"/>
      <c r="M22" s="13"/>
      <c r="N22" s="79"/>
      <c r="O22" s="79"/>
      <c r="P22" s="13"/>
      <c r="Q22" s="79"/>
      <c r="R22" s="79"/>
      <c r="S22" s="45"/>
      <c r="T22" s="342"/>
      <c r="U22" s="79"/>
      <c r="V22" s="79"/>
      <c r="W22" s="45"/>
    </row>
    <row r="23" spans="1:23" ht="15.75" thickBot="1" x14ac:dyDescent="0.3">
      <c r="A23" s="81" t="s">
        <v>152</v>
      </c>
      <c r="B23" s="660" t="s">
        <v>802</v>
      </c>
      <c r="C23" s="660"/>
      <c r="D23" s="648"/>
      <c r="E23" s="156">
        <v>0</v>
      </c>
      <c r="F23" s="338">
        <v>0</v>
      </c>
      <c r="G23" s="308">
        <v>0</v>
      </c>
      <c r="H23" s="506">
        <v>0</v>
      </c>
      <c r="I23" s="235">
        <f>I24+I25+I26+I27+I28+I29+I30</f>
        <v>0</v>
      </c>
      <c r="J23" s="144">
        <f>J24+J25+J26+J27+J28+J29+J30</f>
        <v>0</v>
      </c>
      <c r="K23" s="156">
        <f t="shared" si="1"/>
        <v>0</v>
      </c>
      <c r="L23" s="82">
        <f t="shared" ref="L23:W23" si="5">L24+L25+L26+L27+L28+L29+L30</f>
        <v>0</v>
      </c>
      <c r="M23" s="83">
        <f t="shared" si="5"/>
        <v>0</v>
      </c>
      <c r="N23" s="86">
        <f t="shared" si="5"/>
        <v>0</v>
      </c>
      <c r="O23" s="86">
        <f t="shared" si="5"/>
        <v>0</v>
      </c>
      <c r="P23" s="83">
        <f t="shared" si="5"/>
        <v>0</v>
      </c>
      <c r="Q23" s="86">
        <f t="shared" si="5"/>
        <v>0</v>
      </c>
      <c r="R23" s="86">
        <f t="shared" si="5"/>
        <v>0</v>
      </c>
      <c r="S23" s="87">
        <f t="shared" si="5"/>
        <v>0</v>
      </c>
      <c r="T23" s="338">
        <f t="shared" si="5"/>
        <v>0</v>
      </c>
      <c r="U23" s="86">
        <f t="shared" si="5"/>
        <v>0</v>
      </c>
      <c r="V23" s="86">
        <f t="shared" si="5"/>
        <v>0</v>
      </c>
      <c r="W23" s="87">
        <f t="shared" si="5"/>
        <v>0</v>
      </c>
    </row>
    <row r="24" spans="1:23" hidden="1" x14ac:dyDescent="0.25">
      <c r="A24" s="59"/>
      <c r="B24" s="700" t="s">
        <v>154</v>
      </c>
      <c r="C24" s="701"/>
      <c r="D24" s="701"/>
      <c r="E24" s="159">
        <v>0</v>
      </c>
      <c r="F24" s="468">
        <v>0</v>
      </c>
      <c r="G24" s="316">
        <v>0</v>
      </c>
      <c r="H24" s="512">
        <v>0</v>
      </c>
      <c r="I24" s="236">
        <f t="shared" ref="I24:I30" si="6">SUM(O24:Z24)</f>
        <v>0</v>
      </c>
      <c r="J24" s="145"/>
      <c r="K24" s="159">
        <f t="shared" si="1"/>
        <v>0</v>
      </c>
      <c r="L24" s="72"/>
      <c r="M24" s="1"/>
      <c r="N24" s="78"/>
      <c r="O24" s="78"/>
      <c r="P24" s="1"/>
      <c r="Q24" s="78"/>
      <c r="R24" s="78"/>
      <c r="S24" s="44"/>
      <c r="T24" s="343"/>
      <c r="U24" s="78"/>
      <c r="V24" s="78"/>
      <c r="W24" s="44"/>
    </row>
    <row r="25" spans="1:23" hidden="1" x14ac:dyDescent="0.25">
      <c r="A25" s="60"/>
      <c r="B25" s="702" t="s">
        <v>155</v>
      </c>
      <c r="C25" s="703"/>
      <c r="D25" s="703"/>
      <c r="E25" s="159">
        <v>0</v>
      </c>
      <c r="F25" s="343">
        <v>0</v>
      </c>
      <c r="G25" s="313">
        <v>0</v>
      </c>
      <c r="H25" s="513">
        <v>0</v>
      </c>
      <c r="I25" s="237">
        <f t="shared" si="6"/>
        <v>0</v>
      </c>
      <c r="J25" s="146"/>
      <c r="K25" s="159">
        <f t="shared" si="1"/>
        <v>0</v>
      </c>
      <c r="L25" s="72"/>
      <c r="M25" s="1"/>
      <c r="N25" s="78"/>
      <c r="O25" s="78"/>
      <c r="P25" s="1"/>
      <c r="Q25" s="78"/>
      <c r="R25" s="78"/>
      <c r="S25" s="44"/>
      <c r="T25" s="343"/>
      <c r="U25" s="78"/>
      <c r="V25" s="78"/>
      <c r="W25" s="44"/>
    </row>
    <row r="26" spans="1:23" hidden="1" x14ac:dyDescent="0.25">
      <c r="A26" s="60"/>
      <c r="B26" s="702" t="s">
        <v>156</v>
      </c>
      <c r="C26" s="703"/>
      <c r="D26" s="703"/>
      <c r="E26" s="159">
        <v>0</v>
      </c>
      <c r="F26" s="343">
        <v>0</v>
      </c>
      <c r="G26" s="313">
        <v>0</v>
      </c>
      <c r="H26" s="513">
        <v>0</v>
      </c>
      <c r="I26" s="237">
        <f t="shared" si="6"/>
        <v>0</v>
      </c>
      <c r="J26" s="146"/>
      <c r="K26" s="159">
        <f t="shared" si="1"/>
        <v>0</v>
      </c>
      <c r="L26" s="72"/>
      <c r="M26" s="1"/>
      <c r="N26" s="78"/>
      <c r="O26" s="78"/>
      <c r="P26" s="1"/>
      <c r="Q26" s="78"/>
      <c r="R26" s="78"/>
      <c r="S26" s="44"/>
      <c r="T26" s="343"/>
      <c r="U26" s="78"/>
      <c r="V26" s="78"/>
      <c r="W26" s="44"/>
    </row>
    <row r="27" spans="1:23" hidden="1" x14ac:dyDescent="0.25">
      <c r="A27" s="60"/>
      <c r="B27" s="702" t="s">
        <v>157</v>
      </c>
      <c r="C27" s="703"/>
      <c r="D27" s="703"/>
      <c r="E27" s="159">
        <v>0</v>
      </c>
      <c r="F27" s="343">
        <v>0</v>
      </c>
      <c r="G27" s="313">
        <v>0</v>
      </c>
      <c r="H27" s="513">
        <v>0</v>
      </c>
      <c r="I27" s="237">
        <f t="shared" si="6"/>
        <v>0</v>
      </c>
      <c r="J27" s="146"/>
      <c r="K27" s="159">
        <f t="shared" si="1"/>
        <v>0</v>
      </c>
      <c r="L27" s="72"/>
      <c r="M27" s="1"/>
      <c r="N27" s="78"/>
      <c r="O27" s="78"/>
      <c r="P27" s="1"/>
      <c r="Q27" s="78"/>
      <c r="R27" s="78"/>
      <c r="S27" s="44"/>
      <c r="T27" s="343"/>
      <c r="U27" s="78"/>
      <c r="V27" s="78"/>
      <c r="W27" s="44"/>
    </row>
    <row r="28" spans="1:23" hidden="1" x14ac:dyDescent="0.25">
      <c r="A28" s="60"/>
      <c r="B28" s="702" t="s">
        <v>158</v>
      </c>
      <c r="C28" s="703"/>
      <c r="D28" s="703"/>
      <c r="E28" s="159">
        <v>0</v>
      </c>
      <c r="F28" s="343">
        <v>0</v>
      </c>
      <c r="G28" s="313">
        <v>0</v>
      </c>
      <c r="H28" s="513">
        <v>0</v>
      </c>
      <c r="I28" s="237">
        <f t="shared" si="6"/>
        <v>0</v>
      </c>
      <c r="J28" s="146"/>
      <c r="K28" s="159">
        <f t="shared" si="1"/>
        <v>0</v>
      </c>
      <c r="L28" s="72"/>
      <c r="M28" s="1"/>
      <c r="N28" s="78"/>
      <c r="O28" s="78"/>
      <c r="P28" s="1"/>
      <c r="Q28" s="78"/>
      <c r="R28" s="78"/>
      <c r="S28" s="44"/>
      <c r="T28" s="343"/>
      <c r="U28" s="78"/>
      <c r="V28" s="78"/>
      <c r="W28" s="44"/>
    </row>
    <row r="29" spans="1:23" hidden="1" x14ac:dyDescent="0.25">
      <c r="A29" s="60"/>
      <c r="B29" s="702" t="s">
        <v>159</v>
      </c>
      <c r="C29" s="703"/>
      <c r="D29" s="703"/>
      <c r="E29" s="159">
        <v>0</v>
      </c>
      <c r="F29" s="343">
        <v>0</v>
      </c>
      <c r="G29" s="313">
        <v>0</v>
      </c>
      <c r="H29" s="513">
        <v>0</v>
      </c>
      <c r="I29" s="237">
        <f t="shared" si="6"/>
        <v>0</v>
      </c>
      <c r="J29" s="146"/>
      <c r="K29" s="159">
        <f t="shared" si="1"/>
        <v>0</v>
      </c>
      <c r="L29" s="72"/>
      <c r="M29" s="1"/>
      <c r="N29" s="78"/>
      <c r="O29" s="78"/>
      <c r="P29" s="1"/>
      <c r="Q29" s="78"/>
      <c r="R29" s="78"/>
      <c r="S29" s="44"/>
      <c r="T29" s="343"/>
      <c r="U29" s="78"/>
      <c r="V29" s="78"/>
      <c r="W29" s="44"/>
    </row>
    <row r="30" spans="1:23" ht="15.75" hidden="1" thickBot="1" x14ac:dyDescent="0.3">
      <c r="A30" s="61"/>
      <c r="B30" s="704" t="s">
        <v>160</v>
      </c>
      <c r="C30" s="705"/>
      <c r="D30" s="705"/>
      <c r="E30" s="159">
        <v>0</v>
      </c>
      <c r="F30" s="467">
        <v>0</v>
      </c>
      <c r="G30" s="486">
        <v>0</v>
      </c>
      <c r="H30" s="514">
        <v>0</v>
      </c>
      <c r="I30" s="238">
        <f t="shared" si="6"/>
        <v>0</v>
      </c>
      <c r="J30" s="147"/>
      <c r="K30" s="159">
        <f t="shared" si="1"/>
        <v>0</v>
      </c>
      <c r="L30" s="72"/>
      <c r="M30" s="1"/>
      <c r="N30" s="78"/>
      <c r="O30" s="78"/>
      <c r="P30" s="1"/>
      <c r="Q30" s="78"/>
      <c r="R30" s="78"/>
      <c r="S30" s="44"/>
      <c r="T30" s="343"/>
      <c r="U30" s="78"/>
      <c r="V30" s="78"/>
      <c r="W30" s="44"/>
    </row>
    <row r="31" spans="1:23" ht="15.75" thickBot="1" x14ac:dyDescent="0.3">
      <c r="A31" s="81" t="s">
        <v>161</v>
      </c>
      <c r="B31" s="648" t="s">
        <v>162</v>
      </c>
      <c r="C31" s="649"/>
      <c r="D31" s="649"/>
      <c r="E31" s="156">
        <v>0</v>
      </c>
      <c r="F31" s="338">
        <v>0</v>
      </c>
      <c r="G31" s="308">
        <v>0</v>
      </c>
      <c r="H31" s="506">
        <v>0</v>
      </c>
      <c r="I31" s="235">
        <f>I32+I36+I39+I49+I52</f>
        <v>2794</v>
      </c>
      <c r="J31" s="144">
        <f>J32+J36+J39+J49+J52</f>
        <v>0</v>
      </c>
      <c r="K31" s="156">
        <f t="shared" si="1"/>
        <v>2794</v>
      </c>
      <c r="L31" s="82">
        <f t="shared" ref="L31:W31" si="7">L32+L36+L39+L49+L52</f>
        <v>0</v>
      </c>
      <c r="M31" s="83">
        <f t="shared" si="7"/>
        <v>2794</v>
      </c>
      <c r="N31" s="86">
        <f t="shared" si="7"/>
        <v>0</v>
      </c>
      <c r="O31" s="86">
        <f t="shared" si="7"/>
        <v>0</v>
      </c>
      <c r="P31" s="83">
        <f t="shared" si="7"/>
        <v>0</v>
      </c>
      <c r="Q31" s="86">
        <f t="shared" si="7"/>
        <v>0</v>
      </c>
      <c r="R31" s="86">
        <f t="shared" si="7"/>
        <v>0</v>
      </c>
      <c r="S31" s="87">
        <f t="shared" si="7"/>
        <v>0</v>
      </c>
      <c r="T31" s="338">
        <f t="shared" si="7"/>
        <v>0</v>
      </c>
      <c r="U31" s="86">
        <f t="shared" si="7"/>
        <v>0</v>
      </c>
      <c r="V31" s="86">
        <f t="shared" si="7"/>
        <v>0</v>
      </c>
      <c r="W31" s="87">
        <f t="shared" si="7"/>
        <v>0</v>
      </c>
    </row>
    <row r="32" spans="1:23" hidden="1" x14ac:dyDescent="0.25">
      <c r="A32" s="115" t="s">
        <v>626</v>
      </c>
      <c r="B32" s="653" t="s">
        <v>163</v>
      </c>
      <c r="C32" s="654"/>
      <c r="D32" s="654"/>
      <c r="E32" s="157">
        <v>0</v>
      </c>
      <c r="F32" s="339">
        <v>0</v>
      </c>
      <c r="G32" s="309">
        <v>0</v>
      </c>
      <c r="H32" s="507">
        <v>0</v>
      </c>
      <c r="I32" s="231">
        <f>I33+I34+I35</f>
        <v>0</v>
      </c>
      <c r="J32" s="140">
        <f>J33+J34+J35</f>
        <v>0</v>
      </c>
      <c r="K32" s="157">
        <f t="shared" si="1"/>
        <v>0</v>
      </c>
      <c r="L32" s="109">
        <f t="shared" ref="L32:W32" si="8">L33+L34+L35</f>
        <v>0</v>
      </c>
      <c r="M32" s="110">
        <f t="shared" si="8"/>
        <v>0</v>
      </c>
      <c r="N32" s="113">
        <f t="shared" si="8"/>
        <v>0</v>
      </c>
      <c r="O32" s="113">
        <f t="shared" si="8"/>
        <v>0</v>
      </c>
      <c r="P32" s="110">
        <f t="shared" si="8"/>
        <v>0</v>
      </c>
      <c r="Q32" s="113">
        <f t="shared" si="8"/>
        <v>0</v>
      </c>
      <c r="R32" s="113">
        <f t="shared" si="8"/>
        <v>0</v>
      </c>
      <c r="S32" s="114">
        <f t="shared" si="8"/>
        <v>0</v>
      </c>
      <c r="T32" s="339">
        <f t="shared" si="8"/>
        <v>0</v>
      </c>
      <c r="U32" s="113">
        <f t="shared" si="8"/>
        <v>0</v>
      </c>
      <c r="V32" s="113">
        <f t="shared" si="8"/>
        <v>0</v>
      </c>
      <c r="W32" s="114">
        <f t="shared" si="8"/>
        <v>0</v>
      </c>
    </row>
    <row r="33" spans="1:23" hidden="1" x14ac:dyDescent="0.25">
      <c r="A33" s="53" t="s">
        <v>627</v>
      </c>
      <c r="B33" s="642" t="s">
        <v>165</v>
      </c>
      <c r="C33" s="643"/>
      <c r="D33" s="643"/>
      <c r="E33" s="160">
        <v>0</v>
      </c>
      <c r="F33" s="342">
        <v>0</v>
      </c>
      <c r="G33" s="312">
        <v>0</v>
      </c>
      <c r="H33" s="510">
        <v>0</v>
      </c>
      <c r="I33" s="239">
        <f>SUM(O33:Z33)</f>
        <v>0</v>
      </c>
      <c r="J33" s="148"/>
      <c r="K33" s="160">
        <f t="shared" si="1"/>
        <v>0</v>
      </c>
      <c r="L33" s="74"/>
      <c r="M33" s="13"/>
      <c r="N33" s="79"/>
      <c r="O33" s="79"/>
      <c r="P33" s="13"/>
      <c r="Q33" s="79"/>
      <c r="R33" s="79"/>
      <c r="S33" s="45"/>
      <c r="T33" s="342"/>
      <c r="U33" s="79"/>
      <c r="V33" s="79"/>
      <c r="W33" s="45"/>
    </row>
    <row r="34" spans="1:23" hidden="1" x14ac:dyDescent="0.25">
      <c r="A34" s="53" t="s">
        <v>628</v>
      </c>
      <c r="B34" s="642" t="s">
        <v>167</v>
      </c>
      <c r="C34" s="643"/>
      <c r="D34" s="643"/>
      <c r="E34" s="160">
        <v>0</v>
      </c>
      <c r="F34" s="342">
        <v>0</v>
      </c>
      <c r="G34" s="312">
        <v>0</v>
      </c>
      <c r="H34" s="510">
        <v>0</v>
      </c>
      <c r="I34" s="239">
        <f>SUM(O34:Z34)</f>
        <v>0</v>
      </c>
      <c r="J34" s="148"/>
      <c r="K34" s="160">
        <f t="shared" si="1"/>
        <v>0</v>
      </c>
      <c r="L34" s="74"/>
      <c r="M34" s="13"/>
      <c r="N34" s="79"/>
      <c r="O34" s="79"/>
      <c r="P34" s="13"/>
      <c r="Q34" s="79"/>
      <c r="R34" s="79"/>
      <c r="S34" s="45"/>
      <c r="T34" s="342"/>
      <c r="U34" s="79"/>
      <c r="V34" s="79"/>
      <c r="W34" s="45"/>
    </row>
    <row r="35" spans="1:23" hidden="1" x14ac:dyDescent="0.25">
      <c r="A35" s="53" t="s">
        <v>629</v>
      </c>
      <c r="B35" s="642" t="s">
        <v>169</v>
      </c>
      <c r="C35" s="643"/>
      <c r="D35" s="643"/>
      <c r="E35" s="160">
        <v>0</v>
      </c>
      <c r="F35" s="342">
        <v>0</v>
      </c>
      <c r="G35" s="312">
        <v>0</v>
      </c>
      <c r="H35" s="510">
        <v>0</v>
      </c>
      <c r="I35" s="239">
        <f>SUM(O35:Z35)</f>
        <v>0</v>
      </c>
      <c r="J35" s="148"/>
      <c r="K35" s="160">
        <f t="shared" si="1"/>
        <v>0</v>
      </c>
      <c r="L35" s="74"/>
      <c r="M35" s="13"/>
      <c r="N35" s="79"/>
      <c r="O35" s="79"/>
      <c r="P35" s="13"/>
      <c r="Q35" s="79"/>
      <c r="R35" s="79"/>
      <c r="S35" s="45"/>
      <c r="T35" s="342"/>
      <c r="U35" s="79"/>
      <c r="V35" s="79"/>
      <c r="W35" s="45"/>
    </row>
    <row r="36" spans="1:23" hidden="1" x14ac:dyDescent="0.25">
      <c r="A36" s="88" t="s">
        <v>630</v>
      </c>
      <c r="B36" s="640" t="s">
        <v>170</v>
      </c>
      <c r="C36" s="641"/>
      <c r="D36" s="641"/>
      <c r="E36" s="158">
        <v>0</v>
      </c>
      <c r="F36" s="341">
        <v>0</v>
      </c>
      <c r="G36" s="311">
        <v>0</v>
      </c>
      <c r="H36" s="509">
        <v>0</v>
      </c>
      <c r="I36" s="233">
        <f>I37+I38</f>
        <v>0</v>
      </c>
      <c r="J36" s="142">
        <f>J37+J38</f>
        <v>0</v>
      </c>
      <c r="K36" s="158">
        <f t="shared" si="1"/>
        <v>0</v>
      </c>
      <c r="L36" s="90">
        <f t="shared" ref="L36:W36" si="9">L37+L38</f>
        <v>0</v>
      </c>
      <c r="M36" s="91">
        <f t="shared" si="9"/>
        <v>0</v>
      </c>
      <c r="N36" s="94">
        <f t="shared" si="9"/>
        <v>0</v>
      </c>
      <c r="O36" s="94">
        <f t="shared" si="9"/>
        <v>0</v>
      </c>
      <c r="P36" s="91">
        <f t="shared" si="9"/>
        <v>0</v>
      </c>
      <c r="Q36" s="94">
        <f t="shared" si="9"/>
        <v>0</v>
      </c>
      <c r="R36" s="94">
        <f t="shared" si="9"/>
        <v>0</v>
      </c>
      <c r="S36" s="95">
        <f t="shared" si="9"/>
        <v>0</v>
      </c>
      <c r="T36" s="341">
        <f t="shared" si="9"/>
        <v>0</v>
      </c>
      <c r="U36" s="94">
        <f t="shared" si="9"/>
        <v>0</v>
      </c>
      <c r="V36" s="94">
        <f t="shared" si="9"/>
        <v>0</v>
      </c>
      <c r="W36" s="95">
        <f t="shared" si="9"/>
        <v>0</v>
      </c>
    </row>
    <row r="37" spans="1:23" hidden="1" x14ac:dyDescent="0.25">
      <c r="A37" s="53" t="s">
        <v>631</v>
      </c>
      <c r="B37" s="642" t="s">
        <v>172</v>
      </c>
      <c r="C37" s="643"/>
      <c r="D37" s="643"/>
      <c r="E37" s="160">
        <v>0</v>
      </c>
      <c r="F37" s="342">
        <v>0</v>
      </c>
      <c r="G37" s="312">
        <v>0</v>
      </c>
      <c r="H37" s="510">
        <v>0</v>
      </c>
      <c r="I37" s="239">
        <f>SUM(O37:Z37)</f>
        <v>0</v>
      </c>
      <c r="J37" s="148"/>
      <c r="K37" s="160">
        <f t="shared" si="1"/>
        <v>0</v>
      </c>
      <c r="L37" s="74"/>
      <c r="M37" s="13"/>
      <c r="N37" s="79"/>
      <c r="O37" s="79"/>
      <c r="P37" s="13"/>
      <c r="Q37" s="79"/>
      <c r="R37" s="79"/>
      <c r="S37" s="45"/>
      <c r="T37" s="342"/>
      <c r="U37" s="79"/>
      <c r="V37" s="79"/>
      <c r="W37" s="45"/>
    </row>
    <row r="38" spans="1:23" hidden="1" x14ac:dyDescent="0.25">
      <c r="A38" s="53" t="s">
        <v>632</v>
      </c>
      <c r="B38" s="642" t="s">
        <v>174</v>
      </c>
      <c r="C38" s="643"/>
      <c r="D38" s="643"/>
      <c r="E38" s="160">
        <v>0</v>
      </c>
      <c r="F38" s="342">
        <v>0</v>
      </c>
      <c r="G38" s="312">
        <v>0</v>
      </c>
      <c r="H38" s="510">
        <v>0</v>
      </c>
      <c r="I38" s="239">
        <f>SUM(O38:Z38)</f>
        <v>0</v>
      </c>
      <c r="J38" s="148"/>
      <c r="K38" s="160">
        <f t="shared" si="1"/>
        <v>0</v>
      </c>
      <c r="L38" s="74"/>
      <c r="M38" s="13"/>
      <c r="N38" s="79"/>
      <c r="O38" s="79"/>
      <c r="P38" s="13"/>
      <c r="Q38" s="79"/>
      <c r="R38" s="79"/>
      <c r="S38" s="45"/>
      <c r="T38" s="342"/>
      <c r="U38" s="79"/>
      <c r="V38" s="79"/>
      <c r="W38" s="45"/>
    </row>
    <row r="39" spans="1:23" x14ac:dyDescent="0.25">
      <c r="A39" s="88" t="s">
        <v>633</v>
      </c>
      <c r="B39" s="640" t="s">
        <v>175</v>
      </c>
      <c r="C39" s="641"/>
      <c r="D39" s="641"/>
      <c r="E39" s="158">
        <v>0</v>
      </c>
      <c r="F39" s="341">
        <v>0</v>
      </c>
      <c r="G39" s="311">
        <v>0</v>
      </c>
      <c r="H39" s="509">
        <v>0</v>
      </c>
      <c r="I39" s="233">
        <f>I40+I41+I42+I43+I44+I47+I48</f>
        <v>2200</v>
      </c>
      <c r="J39" s="142">
        <f>J40+J41+J42+J43+J44+J47+J48</f>
        <v>0</v>
      </c>
      <c r="K39" s="158">
        <f t="shared" si="1"/>
        <v>2200</v>
      </c>
      <c r="L39" s="90">
        <f t="shared" ref="L39:W39" si="10">L40+L41+L42+L43+L44+L47+L48</f>
        <v>0</v>
      </c>
      <c r="M39" s="91">
        <f t="shared" si="10"/>
        <v>2200</v>
      </c>
      <c r="N39" s="94">
        <f t="shared" si="10"/>
        <v>0</v>
      </c>
      <c r="O39" s="94">
        <f t="shared" si="10"/>
        <v>0</v>
      </c>
      <c r="P39" s="91">
        <f t="shared" si="10"/>
        <v>0</v>
      </c>
      <c r="Q39" s="94">
        <f t="shared" si="10"/>
        <v>0</v>
      </c>
      <c r="R39" s="94">
        <f t="shared" si="10"/>
        <v>0</v>
      </c>
      <c r="S39" s="95">
        <f t="shared" si="10"/>
        <v>0</v>
      </c>
      <c r="T39" s="341">
        <f t="shared" si="10"/>
        <v>0</v>
      </c>
      <c r="U39" s="94">
        <f t="shared" si="10"/>
        <v>0</v>
      </c>
      <c r="V39" s="94">
        <f t="shared" si="10"/>
        <v>0</v>
      </c>
      <c r="W39" s="95">
        <f t="shared" si="10"/>
        <v>0</v>
      </c>
    </row>
    <row r="40" spans="1:23" hidden="1" x14ac:dyDescent="0.25">
      <c r="A40" s="53" t="s">
        <v>634</v>
      </c>
      <c r="B40" s="642" t="s">
        <v>177</v>
      </c>
      <c r="C40" s="643"/>
      <c r="D40" s="643"/>
      <c r="E40" s="160">
        <v>0</v>
      </c>
      <c r="F40" s="342">
        <v>0</v>
      </c>
      <c r="G40" s="312">
        <v>0</v>
      </c>
      <c r="H40" s="510">
        <v>0</v>
      </c>
      <c r="I40" s="239">
        <f>SUM(O40:Z40)</f>
        <v>0</v>
      </c>
      <c r="J40" s="148"/>
      <c r="K40" s="160">
        <f t="shared" si="1"/>
        <v>0</v>
      </c>
      <c r="L40" s="74"/>
      <c r="M40" s="13"/>
      <c r="N40" s="79"/>
      <c r="O40" s="79"/>
      <c r="P40" s="13"/>
      <c r="Q40" s="79"/>
      <c r="R40" s="79"/>
      <c r="S40" s="45"/>
      <c r="T40" s="342"/>
      <c r="U40" s="79"/>
      <c r="V40" s="79"/>
      <c r="W40" s="45"/>
    </row>
    <row r="41" spans="1:23" hidden="1" x14ac:dyDescent="0.25">
      <c r="A41" s="53" t="s">
        <v>635</v>
      </c>
      <c r="B41" s="642" t="s">
        <v>179</v>
      </c>
      <c r="C41" s="643"/>
      <c r="D41" s="643"/>
      <c r="E41" s="160">
        <v>0</v>
      </c>
      <c r="F41" s="342">
        <v>0</v>
      </c>
      <c r="G41" s="312">
        <v>0</v>
      </c>
      <c r="H41" s="510">
        <v>0</v>
      </c>
      <c r="I41" s="239">
        <f>SUM(O41:Z41)</f>
        <v>0</v>
      </c>
      <c r="J41" s="148"/>
      <c r="K41" s="160">
        <f t="shared" si="1"/>
        <v>0</v>
      </c>
      <c r="L41" s="74"/>
      <c r="M41" s="13"/>
      <c r="N41" s="79"/>
      <c r="O41" s="79"/>
      <c r="P41" s="13"/>
      <c r="Q41" s="79"/>
      <c r="R41" s="79"/>
      <c r="S41" s="45"/>
      <c r="T41" s="342"/>
      <c r="U41" s="79"/>
      <c r="V41" s="79"/>
      <c r="W41" s="45"/>
    </row>
    <row r="42" spans="1:23" hidden="1" x14ac:dyDescent="0.25">
      <c r="A42" s="53" t="s">
        <v>636</v>
      </c>
      <c r="B42" s="642" t="s">
        <v>181</v>
      </c>
      <c r="C42" s="643"/>
      <c r="D42" s="643"/>
      <c r="E42" s="160">
        <v>0</v>
      </c>
      <c r="F42" s="342">
        <v>0</v>
      </c>
      <c r="G42" s="312">
        <v>0</v>
      </c>
      <c r="H42" s="510">
        <v>0</v>
      </c>
      <c r="I42" s="239">
        <f>SUM(O42:Z42)</f>
        <v>0</v>
      </c>
      <c r="J42" s="148"/>
      <c r="K42" s="160">
        <f t="shared" si="1"/>
        <v>0</v>
      </c>
      <c r="L42" s="74"/>
      <c r="M42" s="13"/>
      <c r="N42" s="79"/>
      <c r="O42" s="79"/>
      <c r="P42" s="13"/>
      <c r="Q42" s="79"/>
      <c r="R42" s="79"/>
      <c r="S42" s="45"/>
      <c r="T42" s="342"/>
      <c r="U42" s="79"/>
      <c r="V42" s="79"/>
      <c r="W42" s="45"/>
    </row>
    <row r="43" spans="1:23" x14ac:dyDescent="0.25">
      <c r="A43" s="53" t="s">
        <v>637</v>
      </c>
      <c r="B43" s="642" t="s">
        <v>183</v>
      </c>
      <c r="C43" s="643"/>
      <c r="D43" s="643"/>
      <c r="E43" s="160">
        <v>0</v>
      </c>
      <c r="F43" s="342"/>
      <c r="G43" s="312"/>
      <c r="H43" s="510"/>
      <c r="I43" s="239">
        <f>SUM(L43:W43)</f>
        <v>2200</v>
      </c>
      <c r="J43" s="148"/>
      <c r="K43" s="160">
        <f t="shared" si="1"/>
        <v>2200</v>
      </c>
      <c r="L43" s="74"/>
      <c r="M43" s="13">
        <v>2200</v>
      </c>
      <c r="N43" s="79"/>
      <c r="O43" s="79"/>
      <c r="P43" s="13"/>
      <c r="Q43" s="79"/>
      <c r="R43" s="79"/>
      <c r="S43" s="45"/>
      <c r="T43" s="342"/>
      <c r="U43" s="79"/>
      <c r="V43" s="79"/>
      <c r="W43" s="45"/>
    </row>
    <row r="44" spans="1:23" hidden="1" x14ac:dyDescent="0.25">
      <c r="A44" s="53" t="s">
        <v>638</v>
      </c>
      <c r="B44" s="642" t="s">
        <v>185</v>
      </c>
      <c r="C44" s="643"/>
      <c r="D44" s="643"/>
      <c r="E44" s="160">
        <v>0</v>
      </c>
      <c r="F44" s="342">
        <v>0</v>
      </c>
      <c r="G44" s="312">
        <v>0</v>
      </c>
      <c r="H44" s="510">
        <v>0</v>
      </c>
      <c r="I44" s="239">
        <f t="shared" ref="I44:I57" si="11">SUM(L44:W44)</f>
        <v>0</v>
      </c>
      <c r="J44" s="148">
        <f>J45+J46</f>
        <v>0</v>
      </c>
      <c r="K44" s="160">
        <f t="shared" si="1"/>
        <v>0</v>
      </c>
      <c r="L44" s="74">
        <f t="shared" ref="L44:W44" si="12">L45+L46</f>
        <v>0</v>
      </c>
      <c r="M44" s="13">
        <f t="shared" si="12"/>
        <v>0</v>
      </c>
      <c r="N44" s="79">
        <f t="shared" si="12"/>
        <v>0</v>
      </c>
      <c r="O44" s="79">
        <f t="shared" si="12"/>
        <v>0</v>
      </c>
      <c r="P44" s="13">
        <f t="shared" si="12"/>
        <v>0</v>
      </c>
      <c r="Q44" s="79">
        <f t="shared" si="12"/>
        <v>0</v>
      </c>
      <c r="R44" s="79">
        <f t="shared" si="12"/>
        <v>0</v>
      </c>
      <c r="S44" s="45">
        <f t="shared" si="12"/>
        <v>0</v>
      </c>
      <c r="T44" s="342">
        <f t="shared" si="12"/>
        <v>0</v>
      </c>
      <c r="U44" s="79">
        <f t="shared" si="12"/>
        <v>0</v>
      </c>
      <c r="V44" s="79">
        <f t="shared" si="12"/>
        <v>0</v>
      </c>
      <c r="W44" s="45">
        <f t="shared" si="12"/>
        <v>0</v>
      </c>
    </row>
    <row r="45" spans="1:23" hidden="1" x14ac:dyDescent="0.25">
      <c r="A45" s="54"/>
      <c r="B45" s="250"/>
      <c r="C45" s="624" t="s">
        <v>186</v>
      </c>
      <c r="D45" s="624"/>
      <c r="E45" s="159">
        <v>0</v>
      </c>
      <c r="F45" s="343">
        <v>0</v>
      </c>
      <c r="G45" s="313">
        <v>0</v>
      </c>
      <c r="H45" s="513">
        <v>0</v>
      </c>
      <c r="I45" s="239">
        <f t="shared" si="11"/>
        <v>0</v>
      </c>
      <c r="J45" s="141"/>
      <c r="K45" s="159">
        <f t="shared" si="1"/>
        <v>0</v>
      </c>
      <c r="L45" s="72"/>
      <c r="M45" s="1"/>
      <c r="N45" s="78"/>
      <c r="O45" s="78"/>
      <c r="P45" s="1"/>
      <c r="Q45" s="78"/>
      <c r="R45" s="78"/>
      <c r="S45" s="44"/>
      <c r="T45" s="343"/>
      <c r="U45" s="78"/>
      <c r="V45" s="78"/>
      <c r="W45" s="44"/>
    </row>
    <row r="46" spans="1:23" hidden="1" x14ac:dyDescent="0.25">
      <c r="A46" s="54"/>
      <c r="B46" s="250"/>
      <c r="C46" s="624" t="s">
        <v>187</v>
      </c>
      <c r="D46" s="624"/>
      <c r="E46" s="159">
        <v>0</v>
      </c>
      <c r="F46" s="343">
        <v>0</v>
      </c>
      <c r="G46" s="313">
        <v>0</v>
      </c>
      <c r="H46" s="513">
        <v>0</v>
      </c>
      <c r="I46" s="239">
        <f t="shared" si="11"/>
        <v>0</v>
      </c>
      <c r="J46" s="141"/>
      <c r="K46" s="159">
        <f t="shared" si="1"/>
        <v>0</v>
      </c>
      <c r="L46" s="72"/>
      <c r="M46" s="1"/>
      <c r="N46" s="78"/>
      <c r="O46" s="78"/>
      <c r="P46" s="1"/>
      <c r="Q46" s="78"/>
      <c r="R46" s="78"/>
      <c r="S46" s="44"/>
      <c r="T46" s="343"/>
      <c r="U46" s="78"/>
      <c r="V46" s="78"/>
      <c r="W46" s="44"/>
    </row>
    <row r="47" spans="1:23" hidden="1" x14ac:dyDescent="0.25">
      <c r="A47" s="53" t="s">
        <v>639</v>
      </c>
      <c r="B47" s="628" t="s">
        <v>189</v>
      </c>
      <c r="C47" s="629"/>
      <c r="D47" s="629"/>
      <c r="E47" s="160">
        <v>0</v>
      </c>
      <c r="F47" s="342">
        <v>0</v>
      </c>
      <c r="G47" s="312">
        <v>0</v>
      </c>
      <c r="H47" s="510">
        <v>0</v>
      </c>
      <c r="I47" s="239">
        <f t="shared" si="11"/>
        <v>0</v>
      </c>
      <c r="J47" s="148"/>
      <c r="K47" s="160">
        <f t="shared" si="1"/>
        <v>0</v>
      </c>
      <c r="L47" s="74"/>
      <c r="M47" s="13"/>
      <c r="N47" s="79"/>
      <c r="O47" s="79"/>
      <c r="P47" s="13"/>
      <c r="Q47" s="79"/>
      <c r="R47" s="79"/>
      <c r="S47" s="45"/>
      <c r="T47" s="342"/>
      <c r="U47" s="79"/>
      <c r="V47" s="79"/>
      <c r="W47" s="45"/>
    </row>
    <row r="48" spans="1:23" hidden="1" x14ac:dyDescent="0.25">
      <c r="A48" s="53" t="s">
        <v>640</v>
      </c>
      <c r="B48" s="628" t="s">
        <v>191</v>
      </c>
      <c r="C48" s="629"/>
      <c r="D48" s="629"/>
      <c r="E48" s="160">
        <v>0</v>
      </c>
      <c r="F48" s="342">
        <v>0</v>
      </c>
      <c r="G48" s="312">
        <v>0</v>
      </c>
      <c r="H48" s="510">
        <v>0</v>
      </c>
      <c r="I48" s="239">
        <f t="shared" si="11"/>
        <v>0</v>
      </c>
      <c r="J48" s="148"/>
      <c r="K48" s="160">
        <f t="shared" si="1"/>
        <v>0</v>
      </c>
      <c r="L48" s="74"/>
      <c r="M48" s="13"/>
      <c r="N48" s="79"/>
      <c r="O48" s="79"/>
      <c r="P48" s="13"/>
      <c r="Q48" s="79"/>
      <c r="R48" s="79"/>
      <c r="S48" s="45"/>
      <c r="T48" s="342"/>
      <c r="U48" s="79"/>
      <c r="V48" s="79"/>
      <c r="W48" s="45"/>
    </row>
    <row r="49" spans="1:23" hidden="1" x14ac:dyDescent="0.25">
      <c r="A49" s="88" t="s">
        <v>641</v>
      </c>
      <c r="B49" s="626" t="s">
        <v>192</v>
      </c>
      <c r="C49" s="627"/>
      <c r="D49" s="627"/>
      <c r="E49" s="158">
        <v>0</v>
      </c>
      <c r="F49" s="341">
        <v>0</v>
      </c>
      <c r="G49" s="311">
        <v>0</v>
      </c>
      <c r="H49" s="509">
        <v>0</v>
      </c>
      <c r="I49" s="239">
        <f t="shared" si="11"/>
        <v>0</v>
      </c>
      <c r="J49" s="142">
        <f>J50+J51</f>
        <v>0</v>
      </c>
      <c r="K49" s="158">
        <f t="shared" si="1"/>
        <v>0</v>
      </c>
      <c r="L49" s="90">
        <f t="shared" ref="L49:W49" si="13">L50+L51</f>
        <v>0</v>
      </c>
      <c r="M49" s="91">
        <f t="shared" si="13"/>
        <v>0</v>
      </c>
      <c r="N49" s="94">
        <f t="shared" si="13"/>
        <v>0</v>
      </c>
      <c r="O49" s="94">
        <f t="shared" si="13"/>
        <v>0</v>
      </c>
      <c r="P49" s="91">
        <f t="shared" si="13"/>
        <v>0</v>
      </c>
      <c r="Q49" s="94">
        <f t="shared" si="13"/>
        <v>0</v>
      </c>
      <c r="R49" s="94">
        <f t="shared" si="13"/>
        <v>0</v>
      </c>
      <c r="S49" s="95">
        <f t="shared" si="13"/>
        <v>0</v>
      </c>
      <c r="T49" s="341">
        <f t="shared" si="13"/>
        <v>0</v>
      </c>
      <c r="U49" s="94">
        <f t="shared" si="13"/>
        <v>0</v>
      </c>
      <c r="V49" s="94">
        <f t="shared" si="13"/>
        <v>0</v>
      </c>
      <c r="W49" s="95">
        <f t="shared" si="13"/>
        <v>0</v>
      </c>
    </row>
    <row r="50" spans="1:23" hidden="1" x14ac:dyDescent="0.25">
      <c r="A50" s="53" t="s">
        <v>642</v>
      </c>
      <c r="B50" s="628" t="s">
        <v>194</v>
      </c>
      <c r="C50" s="629"/>
      <c r="D50" s="629"/>
      <c r="E50" s="160">
        <v>0</v>
      </c>
      <c r="F50" s="342">
        <v>0</v>
      </c>
      <c r="G50" s="312">
        <v>0</v>
      </c>
      <c r="H50" s="510">
        <v>0</v>
      </c>
      <c r="I50" s="239">
        <f t="shared" si="11"/>
        <v>0</v>
      </c>
      <c r="J50" s="148"/>
      <c r="K50" s="160">
        <f t="shared" si="1"/>
        <v>0</v>
      </c>
      <c r="L50" s="74"/>
      <c r="M50" s="13"/>
      <c r="N50" s="79"/>
      <c r="O50" s="79"/>
      <c r="P50" s="13"/>
      <c r="Q50" s="79"/>
      <c r="R50" s="79"/>
      <c r="S50" s="45"/>
      <c r="T50" s="342"/>
      <c r="U50" s="79"/>
      <c r="V50" s="79"/>
      <c r="W50" s="45"/>
    </row>
    <row r="51" spans="1:23" hidden="1" x14ac:dyDescent="0.25">
      <c r="A51" s="53" t="s">
        <v>643</v>
      </c>
      <c r="B51" s="628" t="s">
        <v>196</v>
      </c>
      <c r="C51" s="629"/>
      <c r="D51" s="629"/>
      <c r="E51" s="160">
        <v>0</v>
      </c>
      <c r="F51" s="342">
        <v>0</v>
      </c>
      <c r="G51" s="312">
        <v>0</v>
      </c>
      <c r="H51" s="510">
        <v>0</v>
      </c>
      <c r="I51" s="239">
        <f t="shared" si="11"/>
        <v>0</v>
      </c>
      <c r="J51" s="148"/>
      <c r="K51" s="160">
        <f t="shared" si="1"/>
        <v>0</v>
      </c>
      <c r="L51" s="74"/>
      <c r="M51" s="13"/>
      <c r="N51" s="79"/>
      <c r="O51" s="79"/>
      <c r="P51" s="13"/>
      <c r="Q51" s="79"/>
      <c r="R51" s="79"/>
      <c r="S51" s="45"/>
      <c r="T51" s="342"/>
      <c r="U51" s="79"/>
      <c r="V51" s="79"/>
      <c r="W51" s="45"/>
    </row>
    <row r="52" spans="1:23" x14ac:dyDescent="0.25">
      <c r="A52" s="88" t="s">
        <v>644</v>
      </c>
      <c r="B52" s="626" t="s">
        <v>197</v>
      </c>
      <c r="C52" s="627"/>
      <c r="D52" s="627"/>
      <c r="E52" s="158">
        <v>0</v>
      </c>
      <c r="F52" s="341">
        <v>0</v>
      </c>
      <c r="G52" s="311">
        <v>0</v>
      </c>
      <c r="H52" s="509">
        <v>0</v>
      </c>
      <c r="I52" s="243">
        <f t="shared" si="11"/>
        <v>594</v>
      </c>
      <c r="J52" s="142">
        <f>J53+J54+J55+J56+J57</f>
        <v>0</v>
      </c>
      <c r="K52" s="158">
        <f t="shared" si="1"/>
        <v>594</v>
      </c>
      <c r="L52" s="90">
        <f t="shared" ref="L52:W52" si="14">L53+L54+L55+L56+L57</f>
        <v>0</v>
      </c>
      <c r="M52" s="91">
        <f t="shared" si="14"/>
        <v>594</v>
      </c>
      <c r="N52" s="94">
        <f t="shared" si="14"/>
        <v>0</v>
      </c>
      <c r="O52" s="94">
        <f t="shared" si="14"/>
        <v>0</v>
      </c>
      <c r="P52" s="91">
        <f t="shared" si="14"/>
        <v>0</v>
      </c>
      <c r="Q52" s="94">
        <f t="shared" si="14"/>
        <v>0</v>
      </c>
      <c r="R52" s="94">
        <f t="shared" si="14"/>
        <v>0</v>
      </c>
      <c r="S52" s="95">
        <f t="shared" si="14"/>
        <v>0</v>
      </c>
      <c r="T52" s="341">
        <f t="shared" si="14"/>
        <v>0</v>
      </c>
      <c r="U52" s="94">
        <f t="shared" si="14"/>
        <v>0</v>
      </c>
      <c r="V52" s="94">
        <f t="shared" si="14"/>
        <v>0</v>
      </c>
      <c r="W52" s="95">
        <f t="shared" si="14"/>
        <v>0</v>
      </c>
    </row>
    <row r="53" spans="1:23" ht="15.75" thickBot="1" x14ac:dyDescent="0.3">
      <c r="A53" s="53" t="s">
        <v>645</v>
      </c>
      <c r="B53" s="628" t="s">
        <v>876</v>
      </c>
      <c r="C53" s="629"/>
      <c r="D53" s="629"/>
      <c r="E53" s="160">
        <v>0</v>
      </c>
      <c r="F53" s="342">
        <v>0</v>
      </c>
      <c r="G53" s="312"/>
      <c r="H53" s="510"/>
      <c r="I53" s="239">
        <f t="shared" si="11"/>
        <v>594</v>
      </c>
      <c r="J53" s="148"/>
      <c r="K53" s="160">
        <f t="shared" si="1"/>
        <v>594</v>
      </c>
      <c r="L53" s="74"/>
      <c r="M53" s="13">
        <v>594</v>
      </c>
      <c r="N53" s="79"/>
      <c r="O53" s="79"/>
      <c r="P53" s="13"/>
      <c r="Q53" s="79"/>
      <c r="R53" s="79"/>
      <c r="S53" s="45"/>
      <c r="T53" s="342"/>
      <c r="U53" s="79"/>
      <c r="V53" s="79"/>
      <c r="W53" s="45"/>
    </row>
    <row r="54" spans="1:23" hidden="1" x14ac:dyDescent="0.25">
      <c r="A54" s="53" t="s">
        <v>646</v>
      </c>
      <c r="B54" s="628" t="s">
        <v>200</v>
      </c>
      <c r="C54" s="629"/>
      <c r="D54" s="629"/>
      <c r="E54" s="160">
        <v>0</v>
      </c>
      <c r="F54" s="342">
        <v>0</v>
      </c>
      <c r="G54" s="312">
        <v>0</v>
      </c>
      <c r="H54" s="510">
        <v>0</v>
      </c>
      <c r="I54" s="239">
        <f t="shared" si="11"/>
        <v>0</v>
      </c>
      <c r="J54" s="148"/>
      <c r="K54" s="160">
        <f t="shared" si="1"/>
        <v>0</v>
      </c>
      <c r="L54" s="74"/>
      <c r="M54" s="13"/>
      <c r="N54" s="79"/>
      <c r="O54" s="79"/>
      <c r="P54" s="13"/>
      <c r="Q54" s="79"/>
      <c r="R54" s="79"/>
      <c r="S54" s="45"/>
      <c r="T54" s="342"/>
      <c r="U54" s="79"/>
      <c r="V54" s="79"/>
      <c r="W54" s="45"/>
    </row>
    <row r="55" spans="1:23" hidden="1" x14ac:dyDescent="0.25">
      <c r="A55" s="53" t="s">
        <v>647</v>
      </c>
      <c r="B55" s="628" t="s">
        <v>202</v>
      </c>
      <c r="C55" s="629"/>
      <c r="D55" s="629"/>
      <c r="E55" s="160">
        <v>0</v>
      </c>
      <c r="F55" s="342">
        <v>0</v>
      </c>
      <c r="G55" s="312">
        <v>0</v>
      </c>
      <c r="H55" s="510">
        <v>0</v>
      </c>
      <c r="I55" s="239">
        <f t="shared" si="11"/>
        <v>0</v>
      </c>
      <c r="J55" s="148"/>
      <c r="K55" s="160">
        <f t="shared" si="1"/>
        <v>0</v>
      </c>
      <c r="L55" s="74"/>
      <c r="M55" s="13"/>
      <c r="N55" s="79"/>
      <c r="O55" s="79"/>
      <c r="P55" s="13"/>
      <c r="Q55" s="79"/>
      <c r="R55" s="79"/>
      <c r="S55" s="45"/>
      <c r="T55" s="342"/>
      <c r="U55" s="79"/>
      <c r="V55" s="79"/>
      <c r="W55" s="45"/>
    </row>
    <row r="56" spans="1:23" hidden="1" x14ac:dyDescent="0.25">
      <c r="A56" s="53" t="s">
        <v>648</v>
      </c>
      <c r="B56" s="628" t="s">
        <v>204</v>
      </c>
      <c r="C56" s="629"/>
      <c r="D56" s="629"/>
      <c r="E56" s="160">
        <v>0</v>
      </c>
      <c r="F56" s="342">
        <v>0</v>
      </c>
      <c r="G56" s="312">
        <v>0</v>
      </c>
      <c r="H56" s="510">
        <v>0</v>
      </c>
      <c r="I56" s="239">
        <f t="shared" si="11"/>
        <v>0</v>
      </c>
      <c r="J56" s="148"/>
      <c r="K56" s="160">
        <f t="shared" si="1"/>
        <v>0</v>
      </c>
      <c r="L56" s="74"/>
      <c r="M56" s="13"/>
      <c r="N56" s="79"/>
      <c r="O56" s="79"/>
      <c r="P56" s="13"/>
      <c r="Q56" s="79"/>
      <c r="R56" s="79"/>
      <c r="S56" s="45"/>
      <c r="T56" s="342"/>
      <c r="U56" s="79"/>
      <c r="V56" s="79"/>
      <c r="W56" s="45"/>
    </row>
    <row r="57" spans="1:23" ht="15.75" hidden="1" thickBot="1" x14ac:dyDescent="0.3">
      <c r="A57" s="188" t="s">
        <v>649</v>
      </c>
      <c r="B57" s="706" t="s">
        <v>206</v>
      </c>
      <c r="C57" s="707"/>
      <c r="D57" s="707"/>
      <c r="E57" s="160">
        <v>0</v>
      </c>
      <c r="F57" s="347">
        <v>0</v>
      </c>
      <c r="G57" s="319">
        <v>0</v>
      </c>
      <c r="H57" s="511">
        <v>0</v>
      </c>
      <c r="I57" s="239">
        <f t="shared" si="11"/>
        <v>0</v>
      </c>
      <c r="J57" s="189"/>
      <c r="K57" s="160">
        <f t="shared" si="1"/>
        <v>0</v>
      </c>
      <c r="L57" s="74"/>
      <c r="M57" s="13"/>
      <c r="N57" s="79"/>
      <c r="O57" s="79"/>
      <c r="P57" s="13"/>
      <c r="Q57" s="79"/>
      <c r="R57" s="79"/>
      <c r="S57" s="45"/>
      <c r="T57" s="342"/>
      <c r="U57" s="79"/>
      <c r="V57" s="79"/>
      <c r="W57" s="45"/>
    </row>
    <row r="58" spans="1:23" ht="15.75" thickBot="1" x14ac:dyDescent="0.3">
      <c r="A58" s="81" t="s">
        <v>207</v>
      </c>
      <c r="B58" s="632" t="s">
        <v>208</v>
      </c>
      <c r="C58" s="633"/>
      <c r="D58" s="633"/>
      <c r="E58" s="156">
        <v>0</v>
      </c>
      <c r="F58" s="338">
        <v>0</v>
      </c>
      <c r="G58" s="308">
        <v>0</v>
      </c>
      <c r="H58" s="506">
        <v>0</v>
      </c>
      <c r="I58" s="235">
        <f>I59+I60+I61+I62+I63+I64+I65+I69</f>
        <v>0</v>
      </c>
      <c r="J58" s="144">
        <f>J59+J60+J61+J62+J63+J64+J65+J69</f>
        <v>0</v>
      </c>
      <c r="K58" s="156">
        <f t="shared" si="1"/>
        <v>0</v>
      </c>
      <c r="L58" s="82">
        <f t="shared" ref="L58:W58" si="15">L59+L60+L61+L62+L63+L64+L65+L69</f>
        <v>0</v>
      </c>
      <c r="M58" s="83">
        <f t="shared" si="15"/>
        <v>0</v>
      </c>
      <c r="N58" s="86">
        <f t="shared" si="15"/>
        <v>0</v>
      </c>
      <c r="O58" s="86">
        <f t="shared" si="15"/>
        <v>0</v>
      </c>
      <c r="P58" s="83">
        <f t="shared" si="15"/>
        <v>0</v>
      </c>
      <c r="Q58" s="86">
        <f t="shared" si="15"/>
        <v>0</v>
      </c>
      <c r="R58" s="86">
        <f t="shared" si="15"/>
        <v>0</v>
      </c>
      <c r="S58" s="87">
        <f t="shared" si="15"/>
        <v>0</v>
      </c>
      <c r="T58" s="338">
        <f t="shared" si="15"/>
        <v>0</v>
      </c>
      <c r="U58" s="86">
        <f t="shared" si="15"/>
        <v>0</v>
      </c>
      <c r="V58" s="86">
        <f t="shared" si="15"/>
        <v>0</v>
      </c>
      <c r="W58" s="87">
        <f t="shared" si="15"/>
        <v>0</v>
      </c>
    </row>
    <row r="59" spans="1:23" hidden="1" x14ac:dyDescent="0.25">
      <c r="A59" s="108" t="s">
        <v>878</v>
      </c>
      <c r="B59" s="634" t="s">
        <v>879</v>
      </c>
      <c r="C59" s="635"/>
      <c r="D59" s="635"/>
      <c r="E59" s="158">
        <v>0</v>
      </c>
      <c r="F59" s="339">
        <v>0</v>
      </c>
      <c r="G59" s="309">
        <v>0</v>
      </c>
      <c r="H59" s="507">
        <v>0</v>
      </c>
      <c r="I59" s="231">
        <f t="shared" ref="I59:I64" si="16">SUM(O59:Z59)</f>
        <v>0</v>
      </c>
      <c r="J59" s="140"/>
      <c r="K59" s="158">
        <f t="shared" si="1"/>
        <v>0</v>
      </c>
      <c r="L59" s="90"/>
      <c r="M59" s="91"/>
      <c r="N59" s="94"/>
      <c r="O59" s="94"/>
      <c r="P59" s="91"/>
      <c r="Q59" s="94"/>
      <c r="R59" s="94"/>
      <c r="S59" s="95"/>
      <c r="T59" s="341"/>
      <c r="U59" s="94"/>
      <c r="V59" s="94"/>
      <c r="W59" s="95"/>
    </row>
    <row r="60" spans="1:23" hidden="1" x14ac:dyDescent="0.25">
      <c r="A60" s="108" t="s">
        <v>650</v>
      </c>
      <c r="B60" s="634" t="s">
        <v>210</v>
      </c>
      <c r="C60" s="635"/>
      <c r="D60" s="635"/>
      <c r="E60" s="158">
        <v>0</v>
      </c>
      <c r="F60" s="339">
        <v>0</v>
      </c>
      <c r="G60" s="309">
        <v>0</v>
      </c>
      <c r="H60" s="507">
        <v>0</v>
      </c>
      <c r="I60" s="231">
        <f t="shared" si="16"/>
        <v>0</v>
      </c>
      <c r="J60" s="140"/>
      <c r="K60" s="158">
        <f t="shared" si="1"/>
        <v>0</v>
      </c>
      <c r="L60" s="90"/>
      <c r="M60" s="91"/>
      <c r="N60" s="94"/>
      <c r="O60" s="94"/>
      <c r="P60" s="91"/>
      <c r="Q60" s="94"/>
      <c r="R60" s="94"/>
      <c r="S60" s="95"/>
      <c r="T60" s="341"/>
      <c r="U60" s="94"/>
      <c r="V60" s="94"/>
      <c r="W60" s="95"/>
    </row>
    <row r="61" spans="1:23" hidden="1" x14ac:dyDescent="0.25">
      <c r="A61" s="88" t="s">
        <v>651</v>
      </c>
      <c r="B61" s="626" t="s">
        <v>352</v>
      </c>
      <c r="C61" s="627"/>
      <c r="D61" s="627"/>
      <c r="E61" s="158">
        <v>0</v>
      </c>
      <c r="F61" s="341">
        <v>0</v>
      </c>
      <c r="G61" s="311">
        <v>0</v>
      </c>
      <c r="H61" s="509">
        <v>0</v>
      </c>
      <c r="I61" s="233">
        <f t="shared" si="16"/>
        <v>0</v>
      </c>
      <c r="J61" s="142"/>
      <c r="K61" s="158">
        <f t="shared" si="1"/>
        <v>0</v>
      </c>
      <c r="L61" s="90"/>
      <c r="M61" s="91"/>
      <c r="N61" s="94"/>
      <c r="O61" s="94"/>
      <c r="P61" s="91"/>
      <c r="Q61" s="94"/>
      <c r="R61" s="94"/>
      <c r="S61" s="95"/>
      <c r="T61" s="341"/>
      <c r="U61" s="94"/>
      <c r="V61" s="94"/>
      <c r="W61" s="95"/>
    </row>
    <row r="62" spans="1:23" hidden="1" x14ac:dyDescent="0.25">
      <c r="A62" s="108" t="s">
        <v>652</v>
      </c>
      <c r="B62" s="626" t="s">
        <v>880</v>
      </c>
      <c r="C62" s="627"/>
      <c r="D62" s="627"/>
      <c r="E62" s="158">
        <v>0</v>
      </c>
      <c r="F62" s="341">
        <v>0</v>
      </c>
      <c r="G62" s="311">
        <v>0</v>
      </c>
      <c r="H62" s="509">
        <v>0</v>
      </c>
      <c r="I62" s="233">
        <f t="shared" si="16"/>
        <v>0</v>
      </c>
      <c r="J62" s="142"/>
      <c r="K62" s="158">
        <f t="shared" si="1"/>
        <v>0</v>
      </c>
      <c r="L62" s="90"/>
      <c r="M62" s="91"/>
      <c r="N62" s="94"/>
      <c r="O62" s="94"/>
      <c r="P62" s="91"/>
      <c r="Q62" s="94"/>
      <c r="R62" s="94"/>
      <c r="S62" s="95"/>
      <c r="T62" s="341"/>
      <c r="U62" s="94"/>
      <c r="V62" s="94"/>
      <c r="W62" s="95"/>
    </row>
    <row r="63" spans="1:23" hidden="1" x14ac:dyDescent="0.25">
      <c r="A63" s="88" t="s">
        <v>653</v>
      </c>
      <c r="B63" s="626" t="s">
        <v>881</v>
      </c>
      <c r="C63" s="627"/>
      <c r="D63" s="627"/>
      <c r="E63" s="158">
        <v>0</v>
      </c>
      <c r="F63" s="341">
        <v>0</v>
      </c>
      <c r="G63" s="311">
        <v>0</v>
      </c>
      <c r="H63" s="509">
        <v>0</v>
      </c>
      <c r="I63" s="233">
        <f t="shared" si="16"/>
        <v>0</v>
      </c>
      <c r="J63" s="142"/>
      <c r="K63" s="158">
        <f t="shared" si="1"/>
        <v>0</v>
      </c>
      <c r="L63" s="90"/>
      <c r="M63" s="91"/>
      <c r="N63" s="94"/>
      <c r="O63" s="94"/>
      <c r="P63" s="91"/>
      <c r="Q63" s="94"/>
      <c r="R63" s="94"/>
      <c r="S63" s="95"/>
      <c r="T63" s="341"/>
      <c r="U63" s="94"/>
      <c r="V63" s="94"/>
      <c r="W63" s="95"/>
    </row>
    <row r="64" spans="1:23" hidden="1" x14ac:dyDescent="0.25">
      <c r="A64" s="108" t="s">
        <v>654</v>
      </c>
      <c r="B64" s="626" t="s">
        <v>215</v>
      </c>
      <c r="C64" s="627"/>
      <c r="D64" s="627"/>
      <c r="E64" s="158">
        <v>0</v>
      </c>
      <c r="F64" s="341">
        <v>0</v>
      </c>
      <c r="G64" s="311">
        <v>0</v>
      </c>
      <c r="H64" s="509">
        <v>0</v>
      </c>
      <c r="I64" s="233">
        <f t="shared" si="16"/>
        <v>0</v>
      </c>
      <c r="J64" s="142"/>
      <c r="K64" s="158">
        <f t="shared" si="1"/>
        <v>0</v>
      </c>
      <c r="L64" s="90"/>
      <c r="M64" s="91"/>
      <c r="N64" s="94"/>
      <c r="O64" s="94"/>
      <c r="P64" s="91"/>
      <c r="Q64" s="94"/>
      <c r="R64" s="94"/>
      <c r="S64" s="95"/>
      <c r="T64" s="341"/>
      <c r="U64" s="94"/>
      <c r="V64" s="94"/>
      <c r="W64" s="95"/>
    </row>
    <row r="65" spans="1:23" hidden="1" x14ac:dyDescent="0.25">
      <c r="A65" s="88" t="s">
        <v>655</v>
      </c>
      <c r="B65" s="626" t="s">
        <v>217</v>
      </c>
      <c r="C65" s="627"/>
      <c r="D65" s="627"/>
      <c r="E65" s="158">
        <v>0</v>
      </c>
      <c r="F65" s="341">
        <v>0</v>
      </c>
      <c r="G65" s="311">
        <v>0</v>
      </c>
      <c r="H65" s="509">
        <v>0</v>
      </c>
      <c r="I65" s="233">
        <f>I66+I67+I68</f>
        <v>0</v>
      </c>
      <c r="J65" s="142">
        <f>J66+J67+J68</f>
        <v>0</v>
      </c>
      <c r="K65" s="158">
        <f t="shared" si="1"/>
        <v>0</v>
      </c>
      <c r="L65" s="90">
        <f t="shared" ref="L65:W65" si="17">L66+L67+L68</f>
        <v>0</v>
      </c>
      <c r="M65" s="91">
        <f t="shared" si="17"/>
        <v>0</v>
      </c>
      <c r="N65" s="94">
        <f t="shared" si="17"/>
        <v>0</v>
      </c>
      <c r="O65" s="94">
        <f t="shared" si="17"/>
        <v>0</v>
      </c>
      <c r="P65" s="91">
        <f t="shared" si="17"/>
        <v>0</v>
      </c>
      <c r="Q65" s="94">
        <f t="shared" si="17"/>
        <v>0</v>
      </c>
      <c r="R65" s="94">
        <f t="shared" si="17"/>
        <v>0</v>
      </c>
      <c r="S65" s="95">
        <f t="shared" si="17"/>
        <v>0</v>
      </c>
      <c r="T65" s="341">
        <f t="shared" si="17"/>
        <v>0</v>
      </c>
      <c r="U65" s="94">
        <f t="shared" si="17"/>
        <v>0</v>
      </c>
      <c r="V65" s="94">
        <f t="shared" si="17"/>
        <v>0</v>
      </c>
      <c r="W65" s="95">
        <f t="shared" si="17"/>
        <v>0</v>
      </c>
    </row>
    <row r="66" spans="1:23" hidden="1" x14ac:dyDescent="0.25">
      <c r="A66" s="54"/>
      <c r="B66" s="2"/>
      <c r="C66" s="624" t="s">
        <v>343</v>
      </c>
      <c r="D66" s="624"/>
      <c r="E66" s="159">
        <v>0</v>
      </c>
      <c r="F66" s="343">
        <v>0</v>
      </c>
      <c r="G66" s="313">
        <v>0</v>
      </c>
      <c r="H66" s="513">
        <v>0</v>
      </c>
      <c r="I66" s="232">
        <f>SUM(O66:Z66)</f>
        <v>0</v>
      </c>
      <c r="J66" s="141"/>
      <c r="K66" s="159">
        <f t="shared" si="1"/>
        <v>0</v>
      </c>
      <c r="L66" s="72"/>
      <c r="M66" s="1"/>
      <c r="N66" s="78"/>
      <c r="O66" s="78"/>
      <c r="P66" s="1"/>
      <c r="Q66" s="78"/>
      <c r="R66" s="78"/>
      <c r="S66" s="44"/>
      <c r="T66" s="343"/>
      <c r="U66" s="78"/>
      <c r="V66" s="78"/>
      <c r="W66" s="44"/>
    </row>
    <row r="67" spans="1:23" hidden="1" x14ac:dyDescent="0.25">
      <c r="A67" s="54"/>
      <c r="B67" s="2"/>
      <c r="C67" s="624" t="s">
        <v>344</v>
      </c>
      <c r="D67" s="624"/>
      <c r="E67" s="159">
        <v>0</v>
      </c>
      <c r="F67" s="343">
        <v>0</v>
      </c>
      <c r="G67" s="313">
        <v>0</v>
      </c>
      <c r="H67" s="513">
        <v>0</v>
      </c>
      <c r="I67" s="232">
        <f>SUM(O67:Z67)</f>
        <v>0</v>
      </c>
      <c r="J67" s="141"/>
      <c r="K67" s="159">
        <f t="shared" si="1"/>
        <v>0</v>
      </c>
      <c r="L67" s="72"/>
      <c r="M67" s="1"/>
      <c r="N67" s="78"/>
      <c r="O67" s="78"/>
      <c r="P67" s="1"/>
      <c r="Q67" s="78"/>
      <c r="R67" s="78"/>
      <c r="S67" s="44"/>
      <c r="T67" s="343"/>
      <c r="U67" s="78"/>
      <c r="V67" s="78"/>
      <c r="W67" s="44"/>
    </row>
    <row r="68" spans="1:23" hidden="1" x14ac:dyDescent="0.25">
      <c r="A68" s="54"/>
      <c r="B68" s="2"/>
      <c r="C68" s="624" t="s">
        <v>345</v>
      </c>
      <c r="D68" s="624"/>
      <c r="E68" s="159">
        <v>0</v>
      </c>
      <c r="F68" s="343">
        <v>0</v>
      </c>
      <c r="G68" s="313">
        <v>0</v>
      </c>
      <c r="H68" s="513">
        <v>0</v>
      </c>
      <c r="I68" s="232">
        <f>SUM(O68:Z68)</f>
        <v>0</v>
      </c>
      <c r="J68" s="141"/>
      <c r="K68" s="159">
        <f t="shared" si="1"/>
        <v>0</v>
      </c>
      <c r="L68" s="72"/>
      <c r="M68" s="1"/>
      <c r="N68" s="78"/>
      <c r="O68" s="78"/>
      <c r="P68" s="1"/>
      <c r="Q68" s="78"/>
      <c r="R68" s="78"/>
      <c r="S68" s="44"/>
      <c r="T68" s="343"/>
      <c r="U68" s="78"/>
      <c r="V68" s="78"/>
      <c r="W68" s="44"/>
    </row>
    <row r="69" spans="1:23" hidden="1" x14ac:dyDescent="0.25">
      <c r="A69" s="88" t="s">
        <v>656</v>
      </c>
      <c r="B69" s="626" t="s">
        <v>219</v>
      </c>
      <c r="C69" s="627"/>
      <c r="D69" s="627"/>
      <c r="E69" s="158">
        <v>0</v>
      </c>
      <c r="F69" s="341">
        <v>0</v>
      </c>
      <c r="G69" s="311">
        <v>0</v>
      </c>
      <c r="H69" s="509">
        <v>0</v>
      </c>
      <c r="I69" s="233">
        <f>I70+I71+I72+I73</f>
        <v>0</v>
      </c>
      <c r="J69" s="142">
        <f>J70+J71+J72+J73</f>
        <v>0</v>
      </c>
      <c r="K69" s="158">
        <f t="shared" ref="K69:K132" si="18">SUM(I69:J69)</f>
        <v>0</v>
      </c>
      <c r="L69" s="90">
        <f t="shared" ref="L69:W69" si="19">L70+L71+L72+L73</f>
        <v>0</v>
      </c>
      <c r="M69" s="91">
        <f t="shared" si="19"/>
        <v>0</v>
      </c>
      <c r="N69" s="94">
        <f t="shared" si="19"/>
        <v>0</v>
      </c>
      <c r="O69" s="94">
        <f t="shared" si="19"/>
        <v>0</v>
      </c>
      <c r="P69" s="91">
        <f t="shared" si="19"/>
        <v>0</v>
      </c>
      <c r="Q69" s="94">
        <f t="shared" si="19"/>
        <v>0</v>
      </c>
      <c r="R69" s="94">
        <f t="shared" si="19"/>
        <v>0</v>
      </c>
      <c r="S69" s="95">
        <f t="shared" si="19"/>
        <v>0</v>
      </c>
      <c r="T69" s="341">
        <f t="shared" si="19"/>
        <v>0</v>
      </c>
      <c r="U69" s="94">
        <f t="shared" si="19"/>
        <v>0</v>
      </c>
      <c r="V69" s="94">
        <f t="shared" si="19"/>
        <v>0</v>
      </c>
      <c r="W69" s="95">
        <f t="shared" si="19"/>
        <v>0</v>
      </c>
    </row>
    <row r="70" spans="1:23" hidden="1" x14ac:dyDescent="0.25">
      <c r="A70" s="54"/>
      <c r="B70" s="2"/>
      <c r="C70" s="624" t="s">
        <v>835</v>
      </c>
      <c r="D70" s="624"/>
      <c r="E70" s="159">
        <v>0</v>
      </c>
      <c r="F70" s="343">
        <v>0</v>
      </c>
      <c r="G70" s="313">
        <v>0</v>
      </c>
      <c r="H70" s="513">
        <v>0</v>
      </c>
      <c r="I70" s="232">
        <f>SUM(O70:Z70)</f>
        <v>0</v>
      </c>
      <c r="J70" s="141"/>
      <c r="K70" s="159">
        <f t="shared" si="18"/>
        <v>0</v>
      </c>
      <c r="L70" s="72"/>
      <c r="M70" s="1"/>
      <c r="N70" s="78"/>
      <c r="O70" s="78"/>
      <c r="P70" s="1"/>
      <c r="Q70" s="78"/>
      <c r="R70" s="78"/>
      <c r="S70" s="44"/>
      <c r="T70" s="343"/>
      <c r="U70" s="78"/>
      <c r="V70" s="78"/>
      <c r="W70" s="44"/>
    </row>
    <row r="71" spans="1:23" hidden="1" x14ac:dyDescent="0.25">
      <c r="A71" s="54"/>
      <c r="B71" s="2"/>
      <c r="C71" s="624" t="s">
        <v>346</v>
      </c>
      <c r="D71" s="624"/>
      <c r="E71" s="159">
        <v>0</v>
      </c>
      <c r="F71" s="343">
        <v>0</v>
      </c>
      <c r="G71" s="313">
        <v>0</v>
      </c>
      <c r="H71" s="513">
        <v>0</v>
      </c>
      <c r="I71" s="232">
        <f>SUM(O71:Z71)</f>
        <v>0</v>
      </c>
      <c r="J71" s="141"/>
      <c r="K71" s="159">
        <f t="shared" si="18"/>
        <v>0</v>
      </c>
      <c r="L71" s="72"/>
      <c r="M71" s="1"/>
      <c r="N71" s="78"/>
      <c r="O71" s="78"/>
      <c r="P71" s="1"/>
      <c r="Q71" s="78"/>
      <c r="R71" s="78"/>
      <c r="S71" s="44"/>
      <c r="T71" s="343"/>
      <c r="U71" s="78"/>
      <c r="V71" s="78"/>
      <c r="W71" s="44"/>
    </row>
    <row r="72" spans="1:23" hidden="1" x14ac:dyDescent="0.25">
      <c r="A72" s="54"/>
      <c r="B72" s="2"/>
      <c r="C72" s="624" t="s">
        <v>836</v>
      </c>
      <c r="D72" s="624"/>
      <c r="E72" s="159">
        <v>0</v>
      </c>
      <c r="F72" s="343">
        <v>0</v>
      </c>
      <c r="G72" s="313">
        <v>0</v>
      </c>
      <c r="H72" s="513">
        <v>0</v>
      </c>
      <c r="I72" s="232">
        <f>SUM(O72:Z72)</f>
        <v>0</v>
      </c>
      <c r="J72" s="141"/>
      <c r="K72" s="159">
        <f t="shared" si="18"/>
        <v>0</v>
      </c>
      <c r="L72" s="72"/>
      <c r="M72" s="1"/>
      <c r="N72" s="78"/>
      <c r="O72" s="78"/>
      <c r="P72" s="1"/>
      <c r="Q72" s="78"/>
      <c r="R72" s="78"/>
      <c r="S72" s="44"/>
      <c r="T72" s="343"/>
      <c r="U72" s="78"/>
      <c r="V72" s="78"/>
      <c r="W72" s="44"/>
    </row>
    <row r="73" spans="1:23" ht="15.75" hidden="1" thickBot="1" x14ac:dyDescent="0.3">
      <c r="A73" s="54"/>
      <c r="B73" s="2"/>
      <c r="C73" s="624" t="s">
        <v>834</v>
      </c>
      <c r="D73" s="624"/>
      <c r="E73" s="159">
        <v>0</v>
      </c>
      <c r="F73" s="343">
        <v>0</v>
      </c>
      <c r="G73" s="313">
        <v>0</v>
      </c>
      <c r="H73" s="513">
        <v>0</v>
      </c>
      <c r="I73" s="232">
        <f>SUM(O73:Z73)</f>
        <v>0</v>
      </c>
      <c r="J73" s="141"/>
      <c r="K73" s="159">
        <f t="shared" si="18"/>
        <v>0</v>
      </c>
      <c r="L73" s="72"/>
      <c r="M73" s="1"/>
      <c r="N73" s="78"/>
      <c r="O73" s="78"/>
      <c r="P73" s="1"/>
      <c r="Q73" s="78"/>
      <c r="R73" s="78"/>
      <c r="S73" s="44"/>
      <c r="T73" s="343"/>
      <c r="U73" s="78"/>
      <c r="V73" s="78"/>
      <c r="W73" s="44"/>
    </row>
    <row r="74" spans="1:23" ht="15.75" thickBot="1" x14ac:dyDescent="0.3">
      <c r="A74" s="96" t="s">
        <v>220</v>
      </c>
      <c r="B74" s="632" t="s">
        <v>221</v>
      </c>
      <c r="C74" s="633"/>
      <c r="D74" s="633"/>
      <c r="E74" s="156">
        <v>0</v>
      </c>
      <c r="F74" s="338">
        <v>0</v>
      </c>
      <c r="G74" s="308">
        <v>0</v>
      </c>
      <c r="H74" s="506">
        <v>0</v>
      </c>
      <c r="I74" s="235">
        <f>I75+I78+I82+I83+I94+I105+I116+I119+I131+I132+I133+I134+I145</f>
        <v>0</v>
      </c>
      <c r="J74" s="144">
        <f>J75+J78+J82+J83+J94+J105+J116+J119+J131+J132+J133+J134+J145</f>
        <v>0</v>
      </c>
      <c r="K74" s="156">
        <f t="shared" si="18"/>
        <v>0</v>
      </c>
      <c r="L74" s="82">
        <f t="shared" ref="L74:W74" si="20">L75+L78+L82+L83+L94+L105+L116+L119+L131+L132+L133+L134+L145</f>
        <v>0</v>
      </c>
      <c r="M74" s="83">
        <f t="shared" si="20"/>
        <v>0</v>
      </c>
      <c r="N74" s="86">
        <f t="shared" si="20"/>
        <v>0</v>
      </c>
      <c r="O74" s="86">
        <f t="shared" si="20"/>
        <v>0</v>
      </c>
      <c r="P74" s="83">
        <f t="shared" si="20"/>
        <v>0</v>
      </c>
      <c r="Q74" s="86">
        <f t="shared" si="20"/>
        <v>0</v>
      </c>
      <c r="R74" s="86">
        <f t="shared" si="20"/>
        <v>0</v>
      </c>
      <c r="S74" s="87">
        <f t="shared" si="20"/>
        <v>0</v>
      </c>
      <c r="T74" s="338">
        <f t="shared" si="20"/>
        <v>0</v>
      </c>
      <c r="U74" s="86">
        <f t="shared" si="20"/>
        <v>0</v>
      </c>
      <c r="V74" s="86">
        <f t="shared" si="20"/>
        <v>0</v>
      </c>
      <c r="W74" s="87">
        <f t="shared" si="20"/>
        <v>1582203</v>
      </c>
    </row>
    <row r="75" spans="1:23" hidden="1" x14ac:dyDescent="0.25">
      <c r="A75" s="116" t="s">
        <v>657</v>
      </c>
      <c r="B75" s="657" t="s">
        <v>223</v>
      </c>
      <c r="C75" s="658"/>
      <c r="D75" s="658"/>
      <c r="E75" s="161">
        <v>0</v>
      </c>
      <c r="F75" s="344">
        <v>0</v>
      </c>
      <c r="G75" s="314">
        <v>0</v>
      </c>
      <c r="H75" s="515">
        <v>0</v>
      </c>
      <c r="I75" s="240">
        <f>I76+I77</f>
        <v>0</v>
      </c>
      <c r="J75" s="149">
        <f>J76+J77</f>
        <v>0</v>
      </c>
      <c r="K75" s="161">
        <f t="shared" si="18"/>
        <v>0</v>
      </c>
      <c r="L75" s="163">
        <f t="shared" ref="L75:W75" si="21">L76+L77</f>
        <v>0</v>
      </c>
      <c r="M75" s="124">
        <f t="shared" si="21"/>
        <v>0</v>
      </c>
      <c r="N75" s="125">
        <f t="shared" si="21"/>
        <v>0</v>
      </c>
      <c r="O75" s="125">
        <f t="shared" si="21"/>
        <v>0</v>
      </c>
      <c r="P75" s="124">
        <f t="shared" si="21"/>
        <v>0</v>
      </c>
      <c r="Q75" s="125">
        <f t="shared" si="21"/>
        <v>0</v>
      </c>
      <c r="R75" s="125">
        <f t="shared" si="21"/>
        <v>0</v>
      </c>
      <c r="S75" s="126">
        <f t="shared" si="21"/>
        <v>0</v>
      </c>
      <c r="T75" s="344">
        <f t="shared" si="21"/>
        <v>0</v>
      </c>
      <c r="U75" s="125">
        <f t="shared" si="21"/>
        <v>0</v>
      </c>
      <c r="V75" s="125">
        <f t="shared" si="21"/>
        <v>0</v>
      </c>
      <c r="W75" s="126">
        <f t="shared" si="21"/>
        <v>0</v>
      </c>
    </row>
    <row r="76" spans="1:23" hidden="1" x14ac:dyDescent="0.25">
      <c r="A76" s="54"/>
      <c r="B76" s="2"/>
      <c r="C76" s="624" t="s">
        <v>347</v>
      </c>
      <c r="D76" s="624"/>
      <c r="E76" s="159">
        <v>0</v>
      </c>
      <c r="F76" s="343">
        <v>0</v>
      </c>
      <c r="G76" s="313">
        <v>0</v>
      </c>
      <c r="H76" s="513">
        <v>0</v>
      </c>
      <c r="I76" s="232">
        <f>SUM(O76:Z76)</f>
        <v>0</v>
      </c>
      <c r="J76" s="141"/>
      <c r="K76" s="159">
        <f t="shared" si="18"/>
        <v>0</v>
      </c>
      <c r="L76" s="72"/>
      <c r="M76" s="1"/>
      <c r="N76" s="78"/>
      <c r="O76" s="78"/>
      <c r="P76" s="1"/>
      <c r="Q76" s="78"/>
      <c r="R76" s="78"/>
      <c r="S76" s="44"/>
      <c r="T76" s="343"/>
      <c r="U76" s="78"/>
      <c r="V76" s="78"/>
      <c r="W76" s="44"/>
    </row>
    <row r="77" spans="1:23" hidden="1" x14ac:dyDescent="0.25">
      <c r="A77" s="54"/>
      <c r="B77" s="2"/>
      <c r="C77" s="624" t="s">
        <v>348</v>
      </c>
      <c r="D77" s="624"/>
      <c r="E77" s="159">
        <v>0</v>
      </c>
      <c r="F77" s="343">
        <v>0</v>
      </c>
      <c r="G77" s="313">
        <v>0</v>
      </c>
      <c r="H77" s="513">
        <v>0</v>
      </c>
      <c r="I77" s="232">
        <f>SUM(O77:Z77)</f>
        <v>0</v>
      </c>
      <c r="J77" s="141"/>
      <c r="K77" s="159">
        <f t="shared" si="18"/>
        <v>0</v>
      </c>
      <c r="L77" s="72"/>
      <c r="M77" s="1"/>
      <c r="N77" s="78"/>
      <c r="O77" s="78"/>
      <c r="P77" s="1"/>
      <c r="Q77" s="78"/>
      <c r="R77" s="78"/>
      <c r="S77" s="44"/>
      <c r="T77" s="343"/>
      <c r="U77" s="78"/>
      <c r="V77" s="78"/>
      <c r="W77" s="44"/>
    </row>
    <row r="78" spans="1:23" hidden="1" x14ac:dyDescent="0.25">
      <c r="A78" s="116" t="s">
        <v>837</v>
      </c>
      <c r="B78" s="657" t="s">
        <v>838</v>
      </c>
      <c r="C78" s="658"/>
      <c r="D78" s="658"/>
      <c r="E78" s="161">
        <v>0</v>
      </c>
      <c r="F78" s="344">
        <v>0</v>
      </c>
      <c r="G78" s="314">
        <v>0</v>
      </c>
      <c r="H78" s="515">
        <v>0</v>
      </c>
      <c r="I78" s="240">
        <f>I79+I80+I81</f>
        <v>0</v>
      </c>
      <c r="J78" s="149">
        <f>J79+J80+J81</f>
        <v>0</v>
      </c>
      <c r="K78" s="161">
        <f t="shared" si="18"/>
        <v>0</v>
      </c>
      <c r="L78" s="163">
        <f t="shared" ref="L78:W78" si="22">L79+L80+L81</f>
        <v>0</v>
      </c>
      <c r="M78" s="124">
        <f t="shared" si="22"/>
        <v>0</v>
      </c>
      <c r="N78" s="125">
        <f t="shared" si="22"/>
        <v>0</v>
      </c>
      <c r="O78" s="125">
        <f t="shared" si="22"/>
        <v>0</v>
      </c>
      <c r="P78" s="124">
        <f t="shared" si="22"/>
        <v>0</v>
      </c>
      <c r="Q78" s="125">
        <f t="shared" si="22"/>
        <v>0</v>
      </c>
      <c r="R78" s="125">
        <f t="shared" si="22"/>
        <v>0</v>
      </c>
      <c r="S78" s="126">
        <f t="shared" si="22"/>
        <v>0</v>
      </c>
      <c r="T78" s="344">
        <f t="shared" si="22"/>
        <v>0</v>
      </c>
      <c r="U78" s="125">
        <f t="shared" si="22"/>
        <v>0</v>
      </c>
      <c r="V78" s="125">
        <f t="shared" si="22"/>
        <v>0</v>
      </c>
      <c r="W78" s="126">
        <f t="shared" si="22"/>
        <v>0</v>
      </c>
    </row>
    <row r="79" spans="1:23" hidden="1" x14ac:dyDescent="0.25">
      <c r="A79" s="181" t="s">
        <v>883</v>
      </c>
      <c r="B79" s="194"/>
      <c r="C79" s="247" t="s">
        <v>969</v>
      </c>
      <c r="D79" s="247"/>
      <c r="E79" s="183">
        <v>0</v>
      </c>
      <c r="F79" s="340">
        <v>0</v>
      </c>
      <c r="G79" s="310">
        <v>0</v>
      </c>
      <c r="H79" s="508">
        <v>0</v>
      </c>
      <c r="I79" s="251">
        <f>SUM(O79:Z79)</f>
        <v>0</v>
      </c>
      <c r="J79" s="182"/>
      <c r="K79" s="183">
        <f t="shared" si="18"/>
        <v>0</v>
      </c>
      <c r="L79" s="191"/>
      <c r="M79" s="185"/>
      <c r="N79" s="186"/>
      <c r="O79" s="186"/>
      <c r="P79" s="185"/>
      <c r="Q79" s="186"/>
      <c r="R79" s="186"/>
      <c r="S79" s="187"/>
      <c r="T79" s="340"/>
      <c r="U79" s="186"/>
      <c r="V79" s="186"/>
      <c r="W79" s="187"/>
    </row>
    <row r="80" spans="1:23" hidden="1" x14ac:dyDescent="0.25">
      <c r="A80" s="181" t="s">
        <v>658</v>
      </c>
      <c r="B80" s="194"/>
      <c r="C80" s="247" t="s">
        <v>225</v>
      </c>
      <c r="D80" s="247"/>
      <c r="E80" s="183">
        <v>0</v>
      </c>
      <c r="F80" s="340">
        <v>0</v>
      </c>
      <c r="G80" s="310">
        <v>0</v>
      </c>
      <c r="H80" s="508">
        <v>0</v>
      </c>
      <c r="I80" s="251">
        <f>SUM(O80:Z80)</f>
        <v>0</v>
      </c>
      <c r="J80" s="182"/>
      <c r="K80" s="183">
        <f t="shared" si="18"/>
        <v>0</v>
      </c>
      <c r="L80" s="191"/>
      <c r="M80" s="185"/>
      <c r="N80" s="186"/>
      <c r="O80" s="186"/>
      <c r="P80" s="185"/>
      <c r="Q80" s="186"/>
      <c r="R80" s="186"/>
      <c r="S80" s="187"/>
      <c r="T80" s="340"/>
      <c r="U80" s="186"/>
      <c r="V80" s="186"/>
      <c r="W80" s="187"/>
    </row>
    <row r="81" spans="1:23" hidden="1" x14ac:dyDescent="0.25">
      <c r="A81" s="181" t="s">
        <v>659</v>
      </c>
      <c r="B81" s="194"/>
      <c r="C81" s="247" t="s">
        <v>227</v>
      </c>
      <c r="D81" s="247"/>
      <c r="E81" s="183">
        <v>0</v>
      </c>
      <c r="F81" s="340">
        <v>0</v>
      </c>
      <c r="G81" s="310">
        <v>0</v>
      </c>
      <c r="H81" s="508">
        <v>0</v>
      </c>
      <c r="I81" s="251">
        <f>SUM(O81:Z81)</f>
        <v>0</v>
      </c>
      <c r="J81" s="182"/>
      <c r="K81" s="183">
        <f t="shared" si="18"/>
        <v>0</v>
      </c>
      <c r="L81" s="191"/>
      <c r="M81" s="185"/>
      <c r="N81" s="186"/>
      <c r="O81" s="186"/>
      <c r="P81" s="185"/>
      <c r="Q81" s="186"/>
      <c r="R81" s="186"/>
      <c r="S81" s="187"/>
      <c r="T81" s="340"/>
      <c r="U81" s="186"/>
      <c r="V81" s="186"/>
      <c r="W81" s="187"/>
    </row>
    <row r="82" spans="1:23" hidden="1" x14ac:dyDescent="0.25">
      <c r="A82" s="101" t="s">
        <v>660</v>
      </c>
      <c r="B82" s="708" t="s">
        <v>353</v>
      </c>
      <c r="C82" s="709"/>
      <c r="D82" s="709"/>
      <c r="E82" s="162">
        <v>0</v>
      </c>
      <c r="F82" s="345">
        <v>0</v>
      </c>
      <c r="G82" s="315">
        <v>0</v>
      </c>
      <c r="H82" s="516">
        <v>0</v>
      </c>
      <c r="I82" s="241">
        <f>SUM(O82:Z82)</f>
        <v>0</v>
      </c>
      <c r="J82" s="150"/>
      <c r="K82" s="162">
        <f t="shared" si="18"/>
        <v>0</v>
      </c>
      <c r="L82" s="102"/>
      <c r="M82" s="103"/>
      <c r="N82" s="106"/>
      <c r="O82" s="106"/>
      <c r="P82" s="103"/>
      <c r="Q82" s="106"/>
      <c r="R82" s="106"/>
      <c r="S82" s="107"/>
      <c r="T82" s="345"/>
      <c r="U82" s="106"/>
      <c r="V82" s="106"/>
      <c r="W82" s="107"/>
    </row>
    <row r="83" spans="1:23" hidden="1" x14ac:dyDescent="0.25">
      <c r="A83" s="101" t="s">
        <v>661</v>
      </c>
      <c r="B83" s="708" t="s">
        <v>803</v>
      </c>
      <c r="C83" s="709"/>
      <c r="D83" s="709"/>
      <c r="E83" s="162">
        <v>0</v>
      </c>
      <c r="F83" s="345">
        <v>0</v>
      </c>
      <c r="G83" s="315">
        <v>0</v>
      </c>
      <c r="H83" s="516">
        <v>0</v>
      </c>
      <c r="I83" s="241">
        <f>I84+I85+I86+I87+I88+I89+I90+I91+I92+I93</f>
        <v>0</v>
      </c>
      <c r="J83" s="150">
        <f>J84+J85+J86+J87+J88+J89+J90+J91+J92+J93</f>
        <v>0</v>
      </c>
      <c r="K83" s="162">
        <f t="shared" si="18"/>
        <v>0</v>
      </c>
      <c r="L83" s="102">
        <f t="shared" ref="L83:W83" si="23">L84+L85+L86+L87+L88+L89+L90+L91+L92+L93</f>
        <v>0</v>
      </c>
      <c r="M83" s="103">
        <f t="shared" si="23"/>
        <v>0</v>
      </c>
      <c r="N83" s="106">
        <f t="shared" si="23"/>
        <v>0</v>
      </c>
      <c r="O83" s="106">
        <f t="shared" si="23"/>
        <v>0</v>
      </c>
      <c r="P83" s="103">
        <f t="shared" si="23"/>
        <v>0</v>
      </c>
      <c r="Q83" s="106">
        <f t="shared" si="23"/>
        <v>0</v>
      </c>
      <c r="R83" s="106">
        <f t="shared" si="23"/>
        <v>0</v>
      </c>
      <c r="S83" s="107">
        <f t="shared" si="23"/>
        <v>0</v>
      </c>
      <c r="T83" s="345">
        <f t="shared" si="23"/>
        <v>0</v>
      </c>
      <c r="U83" s="106">
        <f t="shared" si="23"/>
        <v>0</v>
      </c>
      <c r="V83" s="106">
        <f t="shared" si="23"/>
        <v>0</v>
      </c>
      <c r="W83" s="107">
        <f t="shared" si="23"/>
        <v>0</v>
      </c>
    </row>
    <row r="84" spans="1:23" hidden="1" x14ac:dyDescent="0.25">
      <c r="A84" s="54"/>
      <c r="B84" s="2"/>
      <c r="C84" s="624" t="s">
        <v>370</v>
      </c>
      <c r="D84" s="624"/>
      <c r="E84" s="159">
        <v>0</v>
      </c>
      <c r="F84" s="343">
        <v>0</v>
      </c>
      <c r="G84" s="313">
        <v>0</v>
      </c>
      <c r="H84" s="513">
        <v>0</v>
      </c>
      <c r="I84" s="232">
        <f t="shared" ref="I84:I93" si="24">SUM(O84:Z84)</f>
        <v>0</v>
      </c>
      <c r="J84" s="141"/>
      <c r="K84" s="159">
        <f t="shared" si="18"/>
        <v>0</v>
      </c>
      <c r="L84" s="72"/>
      <c r="M84" s="1"/>
      <c r="N84" s="78"/>
      <c r="O84" s="78"/>
      <c r="P84" s="1"/>
      <c r="Q84" s="78"/>
      <c r="R84" s="78"/>
      <c r="S84" s="44"/>
      <c r="T84" s="343"/>
      <c r="U84" s="78"/>
      <c r="V84" s="78"/>
      <c r="W84" s="44"/>
    </row>
    <row r="85" spans="1:23" hidden="1" x14ac:dyDescent="0.25">
      <c r="A85" s="54"/>
      <c r="B85" s="2"/>
      <c r="C85" s="624" t="s">
        <v>506</v>
      </c>
      <c r="D85" s="624"/>
      <c r="E85" s="159">
        <v>0</v>
      </c>
      <c r="F85" s="343">
        <v>0</v>
      </c>
      <c r="G85" s="313">
        <v>0</v>
      </c>
      <c r="H85" s="513">
        <v>0</v>
      </c>
      <c r="I85" s="232">
        <f t="shared" si="24"/>
        <v>0</v>
      </c>
      <c r="J85" s="141"/>
      <c r="K85" s="159">
        <f t="shared" si="18"/>
        <v>0</v>
      </c>
      <c r="L85" s="72"/>
      <c r="M85" s="1"/>
      <c r="N85" s="78"/>
      <c r="O85" s="78"/>
      <c r="P85" s="1"/>
      <c r="Q85" s="78"/>
      <c r="R85" s="78"/>
      <c r="S85" s="44"/>
      <c r="T85" s="343"/>
      <c r="U85" s="78"/>
      <c r="V85" s="78"/>
      <c r="W85" s="44"/>
    </row>
    <row r="86" spans="1:23" hidden="1" x14ac:dyDescent="0.25">
      <c r="A86" s="54"/>
      <c r="B86" s="2"/>
      <c r="C86" s="624" t="s">
        <v>507</v>
      </c>
      <c r="D86" s="624"/>
      <c r="E86" s="159">
        <v>0</v>
      </c>
      <c r="F86" s="343">
        <v>0</v>
      </c>
      <c r="G86" s="313">
        <v>0</v>
      </c>
      <c r="H86" s="513">
        <v>0</v>
      </c>
      <c r="I86" s="232">
        <f t="shared" si="24"/>
        <v>0</v>
      </c>
      <c r="J86" s="141"/>
      <c r="K86" s="159">
        <f t="shared" si="18"/>
        <v>0</v>
      </c>
      <c r="L86" s="72"/>
      <c r="M86" s="1"/>
      <c r="N86" s="78"/>
      <c r="O86" s="78"/>
      <c r="P86" s="1"/>
      <c r="Q86" s="78"/>
      <c r="R86" s="78"/>
      <c r="S86" s="44"/>
      <c r="T86" s="343"/>
      <c r="U86" s="78"/>
      <c r="V86" s="78"/>
      <c r="W86" s="44"/>
    </row>
    <row r="87" spans="1:23" hidden="1" x14ac:dyDescent="0.25">
      <c r="A87" s="54"/>
      <c r="B87" s="2"/>
      <c r="C87" s="624" t="s">
        <v>508</v>
      </c>
      <c r="D87" s="624"/>
      <c r="E87" s="159">
        <v>0</v>
      </c>
      <c r="F87" s="343">
        <v>0</v>
      </c>
      <c r="G87" s="313">
        <v>0</v>
      </c>
      <c r="H87" s="513">
        <v>0</v>
      </c>
      <c r="I87" s="232">
        <f t="shared" si="24"/>
        <v>0</v>
      </c>
      <c r="J87" s="141"/>
      <c r="K87" s="159">
        <f t="shared" si="18"/>
        <v>0</v>
      </c>
      <c r="L87" s="72"/>
      <c r="M87" s="1"/>
      <c r="N87" s="78"/>
      <c r="O87" s="78"/>
      <c r="P87" s="1"/>
      <c r="Q87" s="78"/>
      <c r="R87" s="78"/>
      <c r="S87" s="44"/>
      <c r="T87" s="343"/>
      <c r="U87" s="78"/>
      <c r="V87" s="78"/>
      <c r="W87" s="44"/>
    </row>
    <row r="88" spans="1:23" hidden="1" x14ac:dyDescent="0.25">
      <c r="A88" s="54"/>
      <c r="B88" s="2"/>
      <c r="C88" s="624" t="s">
        <v>509</v>
      </c>
      <c r="D88" s="624"/>
      <c r="E88" s="159">
        <v>0</v>
      </c>
      <c r="F88" s="343">
        <v>0</v>
      </c>
      <c r="G88" s="313">
        <v>0</v>
      </c>
      <c r="H88" s="513">
        <v>0</v>
      </c>
      <c r="I88" s="232">
        <f t="shared" si="24"/>
        <v>0</v>
      </c>
      <c r="J88" s="141"/>
      <c r="K88" s="159">
        <f t="shared" si="18"/>
        <v>0</v>
      </c>
      <c r="L88" s="72"/>
      <c r="M88" s="1"/>
      <c r="N88" s="78"/>
      <c r="O88" s="78"/>
      <c r="P88" s="1"/>
      <c r="Q88" s="78"/>
      <c r="R88" s="78"/>
      <c r="S88" s="44"/>
      <c r="T88" s="343"/>
      <c r="U88" s="78"/>
      <c r="V88" s="78"/>
      <c r="W88" s="44"/>
    </row>
    <row r="89" spans="1:23" hidden="1" x14ac:dyDescent="0.25">
      <c r="A89" s="54"/>
      <c r="B89" s="2"/>
      <c r="C89" s="624" t="s">
        <v>510</v>
      </c>
      <c r="D89" s="624"/>
      <c r="E89" s="159">
        <v>0</v>
      </c>
      <c r="F89" s="343">
        <v>0</v>
      </c>
      <c r="G89" s="313">
        <v>0</v>
      </c>
      <c r="H89" s="513">
        <v>0</v>
      </c>
      <c r="I89" s="232">
        <f t="shared" si="24"/>
        <v>0</v>
      </c>
      <c r="J89" s="141"/>
      <c r="K89" s="159">
        <f t="shared" si="18"/>
        <v>0</v>
      </c>
      <c r="L89" s="72"/>
      <c r="M89" s="1"/>
      <c r="N89" s="78"/>
      <c r="O89" s="78"/>
      <c r="P89" s="1"/>
      <c r="Q89" s="78"/>
      <c r="R89" s="78"/>
      <c r="S89" s="44"/>
      <c r="T89" s="343"/>
      <c r="U89" s="78"/>
      <c r="V89" s="78"/>
      <c r="W89" s="44"/>
    </row>
    <row r="90" spans="1:23" hidden="1" x14ac:dyDescent="0.25">
      <c r="A90" s="54"/>
      <c r="B90" s="2"/>
      <c r="C90" s="625" t="s">
        <v>511</v>
      </c>
      <c r="D90" s="625"/>
      <c r="E90" s="159">
        <v>0</v>
      </c>
      <c r="F90" s="343">
        <v>0</v>
      </c>
      <c r="G90" s="313">
        <v>0</v>
      </c>
      <c r="H90" s="513">
        <v>0</v>
      </c>
      <c r="I90" s="242">
        <f t="shared" si="24"/>
        <v>0</v>
      </c>
      <c r="J90" s="151"/>
      <c r="K90" s="159">
        <f t="shared" si="18"/>
        <v>0</v>
      </c>
      <c r="L90" s="72"/>
      <c r="M90" s="1"/>
      <c r="N90" s="78"/>
      <c r="O90" s="78"/>
      <c r="P90" s="1"/>
      <c r="Q90" s="78"/>
      <c r="R90" s="78"/>
      <c r="S90" s="44"/>
      <c r="T90" s="343"/>
      <c r="U90" s="78"/>
      <c r="V90" s="78"/>
      <c r="W90" s="44"/>
    </row>
    <row r="91" spans="1:23" hidden="1" x14ac:dyDescent="0.25">
      <c r="A91" s="54"/>
      <c r="B91" s="2"/>
      <c r="C91" s="624" t="s">
        <v>804</v>
      </c>
      <c r="D91" s="624"/>
      <c r="E91" s="159">
        <v>0</v>
      </c>
      <c r="F91" s="343">
        <v>0</v>
      </c>
      <c r="G91" s="313">
        <v>0</v>
      </c>
      <c r="H91" s="513">
        <v>0</v>
      </c>
      <c r="I91" s="232">
        <f t="shared" si="24"/>
        <v>0</v>
      </c>
      <c r="J91" s="141"/>
      <c r="K91" s="159">
        <f t="shared" si="18"/>
        <v>0</v>
      </c>
      <c r="L91" s="72"/>
      <c r="M91" s="1"/>
      <c r="N91" s="78"/>
      <c r="O91" s="78"/>
      <c r="P91" s="1"/>
      <c r="Q91" s="78"/>
      <c r="R91" s="78"/>
      <c r="S91" s="44"/>
      <c r="T91" s="343"/>
      <c r="U91" s="78"/>
      <c r="V91" s="78"/>
      <c r="W91" s="44"/>
    </row>
    <row r="92" spans="1:23" hidden="1" x14ac:dyDescent="0.25">
      <c r="A92" s="54"/>
      <c r="B92" s="2"/>
      <c r="C92" s="625" t="s">
        <v>512</v>
      </c>
      <c r="D92" s="625"/>
      <c r="E92" s="159">
        <v>0</v>
      </c>
      <c r="F92" s="343">
        <v>0</v>
      </c>
      <c r="G92" s="313">
        <v>0</v>
      </c>
      <c r="H92" s="513">
        <v>0</v>
      </c>
      <c r="I92" s="242">
        <f t="shared" si="24"/>
        <v>0</v>
      </c>
      <c r="J92" s="151"/>
      <c r="K92" s="159">
        <f t="shared" si="18"/>
        <v>0</v>
      </c>
      <c r="L92" s="72"/>
      <c r="M92" s="1"/>
      <c r="N92" s="78"/>
      <c r="O92" s="78"/>
      <c r="P92" s="1"/>
      <c r="Q92" s="78"/>
      <c r="R92" s="78"/>
      <c r="S92" s="44"/>
      <c r="T92" s="343"/>
      <c r="U92" s="78"/>
      <c r="V92" s="78"/>
      <c r="W92" s="44"/>
    </row>
    <row r="93" spans="1:23" hidden="1" x14ac:dyDescent="0.25">
      <c r="A93" s="54"/>
      <c r="B93" s="2"/>
      <c r="C93" s="625" t="s">
        <v>513</v>
      </c>
      <c r="D93" s="625"/>
      <c r="E93" s="159">
        <v>0</v>
      </c>
      <c r="F93" s="343">
        <v>0</v>
      </c>
      <c r="G93" s="313">
        <v>0</v>
      </c>
      <c r="H93" s="513">
        <v>0</v>
      </c>
      <c r="I93" s="242">
        <f t="shared" si="24"/>
        <v>0</v>
      </c>
      <c r="J93" s="151"/>
      <c r="K93" s="159">
        <f t="shared" si="18"/>
        <v>0</v>
      </c>
      <c r="L93" s="72"/>
      <c r="M93" s="1"/>
      <c r="N93" s="78"/>
      <c r="O93" s="78"/>
      <c r="P93" s="1"/>
      <c r="Q93" s="78"/>
      <c r="R93" s="78"/>
      <c r="S93" s="44"/>
      <c r="T93" s="343"/>
      <c r="U93" s="78"/>
      <c r="V93" s="78"/>
      <c r="W93" s="44"/>
    </row>
    <row r="94" spans="1:23" hidden="1" x14ac:dyDescent="0.25">
      <c r="A94" s="101" t="s">
        <v>662</v>
      </c>
      <c r="B94" s="708" t="s">
        <v>805</v>
      </c>
      <c r="C94" s="709"/>
      <c r="D94" s="709"/>
      <c r="E94" s="162">
        <v>0</v>
      </c>
      <c r="F94" s="345">
        <v>0</v>
      </c>
      <c r="G94" s="315">
        <v>0</v>
      </c>
      <c r="H94" s="516">
        <v>0</v>
      </c>
      <c r="I94" s="241">
        <f>I95+I96+I97+I98+I99+I100+I101+I102+I103+I104</f>
        <v>0</v>
      </c>
      <c r="J94" s="150">
        <f>J95+J96+J97+J98+J99+J100+J101+J102+J103+J104</f>
        <v>0</v>
      </c>
      <c r="K94" s="162">
        <f t="shared" si="18"/>
        <v>0</v>
      </c>
      <c r="L94" s="102">
        <f t="shared" ref="L94:W94" si="25">L95+L96+L97+L98+L99+L100+L101+L102+L103+L104</f>
        <v>0</v>
      </c>
      <c r="M94" s="103">
        <f t="shared" si="25"/>
        <v>0</v>
      </c>
      <c r="N94" s="106">
        <f t="shared" si="25"/>
        <v>0</v>
      </c>
      <c r="O94" s="106">
        <f t="shared" si="25"/>
        <v>0</v>
      </c>
      <c r="P94" s="103">
        <f t="shared" si="25"/>
        <v>0</v>
      </c>
      <c r="Q94" s="106">
        <f t="shared" si="25"/>
        <v>0</v>
      </c>
      <c r="R94" s="106">
        <f t="shared" si="25"/>
        <v>0</v>
      </c>
      <c r="S94" s="107">
        <f t="shared" si="25"/>
        <v>0</v>
      </c>
      <c r="T94" s="345">
        <f t="shared" si="25"/>
        <v>0</v>
      </c>
      <c r="U94" s="106">
        <f t="shared" si="25"/>
        <v>0</v>
      </c>
      <c r="V94" s="106">
        <f t="shared" si="25"/>
        <v>0</v>
      </c>
      <c r="W94" s="107">
        <f t="shared" si="25"/>
        <v>0</v>
      </c>
    </row>
    <row r="95" spans="1:23" hidden="1" x14ac:dyDescent="0.25">
      <c r="A95" s="54"/>
      <c r="B95" s="2"/>
      <c r="C95" s="624" t="s">
        <v>369</v>
      </c>
      <c r="D95" s="624"/>
      <c r="E95" s="159">
        <v>0</v>
      </c>
      <c r="F95" s="343">
        <v>0</v>
      </c>
      <c r="G95" s="313">
        <v>0</v>
      </c>
      <c r="H95" s="513">
        <v>0</v>
      </c>
      <c r="I95" s="232">
        <f t="shared" ref="I95:I104" si="26">SUM(O95:Z95)</f>
        <v>0</v>
      </c>
      <c r="J95" s="141"/>
      <c r="K95" s="159">
        <f t="shared" si="18"/>
        <v>0</v>
      </c>
      <c r="L95" s="72"/>
      <c r="M95" s="1"/>
      <c r="N95" s="78"/>
      <c r="O95" s="78"/>
      <c r="P95" s="1"/>
      <c r="Q95" s="78"/>
      <c r="R95" s="78"/>
      <c r="S95" s="44"/>
      <c r="T95" s="343"/>
      <c r="U95" s="78"/>
      <c r="V95" s="78"/>
      <c r="W95" s="44"/>
    </row>
    <row r="96" spans="1:23" hidden="1" x14ac:dyDescent="0.25">
      <c r="A96" s="54"/>
      <c r="B96" s="2"/>
      <c r="C96" s="624" t="s">
        <v>514</v>
      </c>
      <c r="D96" s="624"/>
      <c r="E96" s="159">
        <v>0</v>
      </c>
      <c r="F96" s="343">
        <v>0</v>
      </c>
      <c r="G96" s="313">
        <v>0</v>
      </c>
      <c r="H96" s="513">
        <v>0</v>
      </c>
      <c r="I96" s="232">
        <f t="shared" si="26"/>
        <v>0</v>
      </c>
      <c r="J96" s="141"/>
      <c r="K96" s="159">
        <f t="shared" si="18"/>
        <v>0</v>
      </c>
      <c r="L96" s="72"/>
      <c r="M96" s="1"/>
      <c r="N96" s="78"/>
      <c r="O96" s="78"/>
      <c r="P96" s="1"/>
      <c r="Q96" s="78"/>
      <c r="R96" s="78"/>
      <c r="S96" s="44"/>
      <c r="T96" s="343"/>
      <c r="U96" s="78"/>
      <c r="V96" s="78"/>
      <c r="W96" s="44"/>
    </row>
    <row r="97" spans="1:23" hidden="1" x14ac:dyDescent="0.25">
      <c r="A97" s="54"/>
      <c r="B97" s="2"/>
      <c r="C97" s="624" t="s">
        <v>516</v>
      </c>
      <c r="D97" s="624"/>
      <c r="E97" s="159">
        <v>0</v>
      </c>
      <c r="F97" s="343">
        <v>0</v>
      </c>
      <c r="G97" s="313">
        <v>0</v>
      </c>
      <c r="H97" s="513">
        <v>0</v>
      </c>
      <c r="I97" s="232">
        <f t="shared" si="26"/>
        <v>0</v>
      </c>
      <c r="J97" s="141"/>
      <c r="K97" s="159">
        <f t="shared" si="18"/>
        <v>0</v>
      </c>
      <c r="L97" s="72"/>
      <c r="M97" s="1"/>
      <c r="N97" s="78"/>
      <c r="O97" s="78"/>
      <c r="P97" s="1"/>
      <c r="Q97" s="78"/>
      <c r="R97" s="78"/>
      <c r="S97" s="44"/>
      <c r="T97" s="343"/>
      <c r="U97" s="78"/>
      <c r="V97" s="78"/>
      <c r="W97" s="44"/>
    </row>
    <row r="98" spans="1:23" hidden="1" x14ac:dyDescent="0.25">
      <c r="A98" s="54"/>
      <c r="B98" s="2"/>
      <c r="C98" s="624" t="s">
        <v>807</v>
      </c>
      <c r="D98" s="624"/>
      <c r="E98" s="159">
        <v>0</v>
      </c>
      <c r="F98" s="343">
        <v>0</v>
      </c>
      <c r="G98" s="313">
        <v>0</v>
      </c>
      <c r="H98" s="513">
        <v>0</v>
      </c>
      <c r="I98" s="232">
        <f t="shared" si="26"/>
        <v>0</v>
      </c>
      <c r="J98" s="141"/>
      <c r="K98" s="159">
        <f t="shared" si="18"/>
        <v>0</v>
      </c>
      <c r="L98" s="72"/>
      <c r="M98" s="1"/>
      <c r="N98" s="78"/>
      <c r="O98" s="78"/>
      <c r="P98" s="1"/>
      <c r="Q98" s="78"/>
      <c r="R98" s="78"/>
      <c r="S98" s="44"/>
      <c r="T98" s="343"/>
      <c r="U98" s="78"/>
      <c r="V98" s="78"/>
      <c r="W98" s="44"/>
    </row>
    <row r="99" spans="1:23" hidden="1" x14ac:dyDescent="0.25">
      <c r="A99" s="54"/>
      <c r="B99" s="2"/>
      <c r="C99" s="624" t="s">
        <v>521</v>
      </c>
      <c r="D99" s="624"/>
      <c r="E99" s="159">
        <v>0</v>
      </c>
      <c r="F99" s="343">
        <v>0</v>
      </c>
      <c r="G99" s="313">
        <v>0</v>
      </c>
      <c r="H99" s="513">
        <v>0</v>
      </c>
      <c r="I99" s="232">
        <f t="shared" si="26"/>
        <v>0</v>
      </c>
      <c r="J99" s="141"/>
      <c r="K99" s="159">
        <f t="shared" si="18"/>
        <v>0</v>
      </c>
      <c r="L99" s="72"/>
      <c r="M99" s="1"/>
      <c r="N99" s="78"/>
      <c r="O99" s="78"/>
      <c r="P99" s="1"/>
      <c r="Q99" s="78"/>
      <c r="R99" s="78"/>
      <c r="S99" s="44"/>
      <c r="T99" s="343"/>
      <c r="U99" s="78"/>
      <c r="V99" s="78"/>
      <c r="W99" s="44"/>
    </row>
    <row r="100" spans="1:23" hidden="1" x14ac:dyDescent="0.25">
      <c r="A100" s="54"/>
      <c r="B100" s="2"/>
      <c r="C100" s="624" t="s">
        <v>519</v>
      </c>
      <c r="D100" s="624"/>
      <c r="E100" s="159">
        <v>0</v>
      </c>
      <c r="F100" s="343">
        <v>0</v>
      </c>
      <c r="G100" s="313">
        <v>0</v>
      </c>
      <c r="H100" s="513">
        <v>0</v>
      </c>
      <c r="I100" s="232">
        <f t="shared" si="26"/>
        <v>0</v>
      </c>
      <c r="J100" s="141"/>
      <c r="K100" s="159">
        <f t="shared" si="18"/>
        <v>0</v>
      </c>
      <c r="L100" s="72"/>
      <c r="M100" s="1"/>
      <c r="N100" s="78"/>
      <c r="O100" s="78"/>
      <c r="P100" s="1"/>
      <c r="Q100" s="78"/>
      <c r="R100" s="78"/>
      <c r="S100" s="44"/>
      <c r="T100" s="343"/>
      <c r="U100" s="78"/>
      <c r="V100" s="78"/>
      <c r="W100" s="44"/>
    </row>
    <row r="101" spans="1:23" hidden="1" x14ac:dyDescent="0.25">
      <c r="A101" s="54"/>
      <c r="B101" s="2"/>
      <c r="C101" s="625" t="s">
        <v>523</v>
      </c>
      <c r="D101" s="625"/>
      <c r="E101" s="159">
        <v>0</v>
      </c>
      <c r="F101" s="343">
        <v>0</v>
      </c>
      <c r="G101" s="313">
        <v>0</v>
      </c>
      <c r="H101" s="513">
        <v>0</v>
      </c>
      <c r="I101" s="242">
        <f t="shared" si="26"/>
        <v>0</v>
      </c>
      <c r="J101" s="151"/>
      <c r="K101" s="159">
        <f t="shared" si="18"/>
        <v>0</v>
      </c>
      <c r="L101" s="72"/>
      <c r="M101" s="1"/>
      <c r="N101" s="78"/>
      <c r="O101" s="78"/>
      <c r="P101" s="1"/>
      <c r="Q101" s="78"/>
      <c r="R101" s="78"/>
      <c r="S101" s="44"/>
      <c r="T101" s="343"/>
      <c r="U101" s="78"/>
      <c r="V101" s="78"/>
      <c r="W101" s="44"/>
    </row>
    <row r="102" spans="1:23" hidden="1" x14ac:dyDescent="0.25">
      <c r="A102" s="54"/>
      <c r="B102" s="2"/>
      <c r="C102" s="624" t="s">
        <v>806</v>
      </c>
      <c r="D102" s="624"/>
      <c r="E102" s="159">
        <v>0</v>
      </c>
      <c r="F102" s="343">
        <v>0</v>
      </c>
      <c r="G102" s="313">
        <v>0</v>
      </c>
      <c r="H102" s="513">
        <v>0</v>
      </c>
      <c r="I102" s="232">
        <f t="shared" si="26"/>
        <v>0</v>
      </c>
      <c r="J102" s="141"/>
      <c r="K102" s="159">
        <f t="shared" si="18"/>
        <v>0</v>
      </c>
      <c r="L102" s="72"/>
      <c r="M102" s="1"/>
      <c r="N102" s="78"/>
      <c r="O102" s="78"/>
      <c r="P102" s="1"/>
      <c r="Q102" s="78"/>
      <c r="R102" s="78"/>
      <c r="S102" s="44"/>
      <c r="T102" s="343"/>
      <c r="U102" s="78"/>
      <c r="V102" s="78"/>
      <c r="W102" s="44"/>
    </row>
    <row r="103" spans="1:23" hidden="1" x14ac:dyDescent="0.25">
      <c r="A103" s="54"/>
      <c r="B103" s="2"/>
      <c r="C103" s="625" t="s">
        <v>526</v>
      </c>
      <c r="D103" s="625"/>
      <c r="E103" s="159">
        <v>0</v>
      </c>
      <c r="F103" s="343">
        <v>0</v>
      </c>
      <c r="G103" s="313">
        <v>0</v>
      </c>
      <c r="H103" s="513">
        <v>0</v>
      </c>
      <c r="I103" s="242">
        <f t="shared" si="26"/>
        <v>0</v>
      </c>
      <c r="J103" s="151"/>
      <c r="K103" s="159">
        <f t="shared" si="18"/>
        <v>0</v>
      </c>
      <c r="L103" s="72"/>
      <c r="M103" s="1"/>
      <c r="N103" s="78"/>
      <c r="O103" s="78"/>
      <c r="P103" s="1"/>
      <c r="Q103" s="78"/>
      <c r="R103" s="78"/>
      <c r="S103" s="44"/>
      <c r="T103" s="343"/>
      <c r="U103" s="78"/>
      <c r="V103" s="78"/>
      <c r="W103" s="44"/>
    </row>
    <row r="104" spans="1:23" hidden="1" x14ac:dyDescent="0.25">
      <c r="A104" s="54"/>
      <c r="B104" s="2"/>
      <c r="C104" s="625" t="s">
        <v>528</v>
      </c>
      <c r="D104" s="625"/>
      <c r="E104" s="159">
        <v>0</v>
      </c>
      <c r="F104" s="343">
        <v>0</v>
      </c>
      <c r="G104" s="313">
        <v>0</v>
      </c>
      <c r="H104" s="513">
        <v>0</v>
      </c>
      <c r="I104" s="242">
        <f t="shared" si="26"/>
        <v>0</v>
      </c>
      <c r="J104" s="151"/>
      <c r="K104" s="159">
        <f t="shared" si="18"/>
        <v>0</v>
      </c>
      <c r="L104" s="72"/>
      <c r="M104" s="1"/>
      <c r="N104" s="78"/>
      <c r="O104" s="78"/>
      <c r="P104" s="1"/>
      <c r="Q104" s="78"/>
      <c r="R104" s="78"/>
      <c r="S104" s="44"/>
      <c r="T104" s="343"/>
      <c r="U104" s="78"/>
      <c r="V104" s="78"/>
      <c r="W104" s="44"/>
    </row>
    <row r="105" spans="1:23" hidden="1" x14ac:dyDescent="0.25">
      <c r="A105" s="101" t="s">
        <v>663</v>
      </c>
      <c r="B105" s="655" t="s">
        <v>232</v>
      </c>
      <c r="C105" s="656"/>
      <c r="D105" s="656"/>
      <c r="E105" s="162">
        <v>0</v>
      </c>
      <c r="F105" s="345">
        <v>0</v>
      </c>
      <c r="G105" s="315">
        <v>0</v>
      </c>
      <c r="H105" s="516">
        <v>0</v>
      </c>
      <c r="I105" s="243">
        <f>I106+I107+I108+I109+I110+I111+I112+I113+I114+I115</f>
        <v>0</v>
      </c>
      <c r="J105" s="152">
        <f>J106+J107+J108+J109+J110+J111+J112+J113+J114+J115</f>
        <v>0</v>
      </c>
      <c r="K105" s="162">
        <f t="shared" si="18"/>
        <v>0</v>
      </c>
      <c r="L105" s="102">
        <f t="shared" ref="L105:W105" si="27">L106+L107+L108+L109+L110+L111+L112+L113+L114+L115</f>
        <v>0</v>
      </c>
      <c r="M105" s="103">
        <f t="shared" si="27"/>
        <v>0</v>
      </c>
      <c r="N105" s="106">
        <f t="shared" si="27"/>
        <v>0</v>
      </c>
      <c r="O105" s="106">
        <f t="shared" si="27"/>
        <v>0</v>
      </c>
      <c r="P105" s="103">
        <f t="shared" si="27"/>
        <v>0</v>
      </c>
      <c r="Q105" s="106">
        <f t="shared" si="27"/>
        <v>0</v>
      </c>
      <c r="R105" s="106">
        <f t="shared" si="27"/>
        <v>0</v>
      </c>
      <c r="S105" s="107">
        <f t="shared" si="27"/>
        <v>0</v>
      </c>
      <c r="T105" s="345">
        <f t="shared" si="27"/>
        <v>0</v>
      </c>
      <c r="U105" s="106">
        <f t="shared" si="27"/>
        <v>0</v>
      </c>
      <c r="V105" s="106">
        <f t="shared" si="27"/>
        <v>0</v>
      </c>
      <c r="W105" s="107">
        <f t="shared" si="27"/>
        <v>0</v>
      </c>
    </row>
    <row r="106" spans="1:23" hidden="1" x14ac:dyDescent="0.25">
      <c r="A106" s="54"/>
      <c r="B106" s="2"/>
      <c r="C106" s="624" t="s">
        <v>368</v>
      </c>
      <c r="D106" s="624"/>
      <c r="E106" s="159">
        <v>0</v>
      </c>
      <c r="F106" s="343">
        <v>0</v>
      </c>
      <c r="G106" s="313">
        <v>0</v>
      </c>
      <c r="H106" s="513">
        <v>0</v>
      </c>
      <c r="I106" s="232">
        <f t="shared" ref="I106:I115" si="28">SUM(O106:Z106)</f>
        <v>0</v>
      </c>
      <c r="J106" s="141"/>
      <c r="K106" s="159">
        <f t="shared" si="18"/>
        <v>0</v>
      </c>
      <c r="L106" s="72"/>
      <c r="M106" s="1"/>
      <c r="N106" s="78"/>
      <c r="O106" s="78"/>
      <c r="P106" s="1"/>
      <c r="Q106" s="78"/>
      <c r="R106" s="78"/>
      <c r="S106" s="44"/>
      <c r="T106" s="343"/>
      <c r="U106" s="78"/>
      <c r="V106" s="78"/>
      <c r="W106" s="44"/>
    </row>
    <row r="107" spans="1:23" hidden="1" x14ac:dyDescent="0.25">
      <c r="A107" s="54"/>
      <c r="B107" s="2"/>
      <c r="C107" s="624" t="s">
        <v>515</v>
      </c>
      <c r="D107" s="624"/>
      <c r="E107" s="159">
        <v>0</v>
      </c>
      <c r="F107" s="343">
        <v>0</v>
      </c>
      <c r="G107" s="313">
        <v>0</v>
      </c>
      <c r="H107" s="513">
        <v>0</v>
      </c>
      <c r="I107" s="232">
        <f t="shared" si="28"/>
        <v>0</v>
      </c>
      <c r="J107" s="141"/>
      <c r="K107" s="159">
        <f t="shared" si="18"/>
        <v>0</v>
      </c>
      <c r="L107" s="72"/>
      <c r="M107" s="1"/>
      <c r="N107" s="78"/>
      <c r="O107" s="78"/>
      <c r="P107" s="1"/>
      <c r="Q107" s="78"/>
      <c r="R107" s="78"/>
      <c r="S107" s="44"/>
      <c r="T107" s="343"/>
      <c r="U107" s="78"/>
      <c r="V107" s="78"/>
      <c r="W107" s="44"/>
    </row>
    <row r="108" spans="1:23" hidden="1" x14ac:dyDescent="0.25">
      <c r="A108" s="54"/>
      <c r="B108" s="2"/>
      <c r="C108" s="624" t="s">
        <v>517</v>
      </c>
      <c r="D108" s="624"/>
      <c r="E108" s="159">
        <v>0</v>
      </c>
      <c r="F108" s="343">
        <v>0</v>
      </c>
      <c r="G108" s="313">
        <v>0</v>
      </c>
      <c r="H108" s="513">
        <v>0</v>
      </c>
      <c r="I108" s="232">
        <f t="shared" si="28"/>
        <v>0</v>
      </c>
      <c r="J108" s="141"/>
      <c r="K108" s="159">
        <f t="shared" si="18"/>
        <v>0</v>
      </c>
      <c r="L108" s="72"/>
      <c r="M108" s="1"/>
      <c r="N108" s="78"/>
      <c r="O108" s="78"/>
      <c r="P108" s="1"/>
      <c r="Q108" s="78"/>
      <c r="R108" s="78"/>
      <c r="S108" s="44"/>
      <c r="T108" s="343"/>
      <c r="U108" s="78"/>
      <c r="V108" s="78"/>
      <c r="W108" s="44"/>
    </row>
    <row r="109" spans="1:23" hidden="1" x14ac:dyDescent="0.25">
      <c r="A109" s="54"/>
      <c r="B109" s="2"/>
      <c r="C109" s="624" t="s">
        <v>518</v>
      </c>
      <c r="D109" s="624"/>
      <c r="E109" s="159">
        <v>0</v>
      </c>
      <c r="F109" s="343">
        <v>0</v>
      </c>
      <c r="G109" s="313">
        <v>0</v>
      </c>
      <c r="H109" s="513">
        <v>0</v>
      </c>
      <c r="I109" s="232">
        <f t="shared" si="28"/>
        <v>0</v>
      </c>
      <c r="J109" s="141"/>
      <c r="K109" s="159">
        <f t="shared" si="18"/>
        <v>0</v>
      </c>
      <c r="L109" s="72"/>
      <c r="M109" s="1"/>
      <c r="N109" s="78"/>
      <c r="O109" s="78"/>
      <c r="P109" s="1"/>
      <c r="Q109" s="78"/>
      <c r="R109" s="78"/>
      <c r="S109" s="44"/>
      <c r="T109" s="343"/>
      <c r="U109" s="78"/>
      <c r="V109" s="78"/>
      <c r="W109" s="44"/>
    </row>
    <row r="110" spans="1:23" hidden="1" x14ac:dyDescent="0.25">
      <c r="A110" s="54"/>
      <c r="B110" s="2"/>
      <c r="C110" s="624" t="s">
        <v>522</v>
      </c>
      <c r="D110" s="624"/>
      <c r="E110" s="159">
        <v>0</v>
      </c>
      <c r="F110" s="343">
        <v>0</v>
      </c>
      <c r="G110" s="313">
        <v>0</v>
      </c>
      <c r="H110" s="513">
        <v>0</v>
      </c>
      <c r="I110" s="232">
        <f t="shared" si="28"/>
        <v>0</v>
      </c>
      <c r="J110" s="141"/>
      <c r="K110" s="159">
        <f t="shared" si="18"/>
        <v>0</v>
      </c>
      <c r="L110" s="72"/>
      <c r="M110" s="1"/>
      <c r="N110" s="78"/>
      <c r="O110" s="78"/>
      <c r="P110" s="1"/>
      <c r="Q110" s="78"/>
      <c r="R110" s="78"/>
      <c r="S110" s="44"/>
      <c r="T110" s="343"/>
      <c r="U110" s="78"/>
      <c r="V110" s="78"/>
      <c r="W110" s="44"/>
    </row>
    <row r="111" spans="1:23" hidden="1" x14ac:dyDescent="0.25">
      <c r="A111" s="54"/>
      <c r="B111" s="2"/>
      <c r="C111" s="624" t="s">
        <v>520</v>
      </c>
      <c r="D111" s="624"/>
      <c r="E111" s="159">
        <v>0</v>
      </c>
      <c r="F111" s="343">
        <v>0</v>
      </c>
      <c r="G111" s="313">
        <v>0</v>
      </c>
      <c r="H111" s="513">
        <v>0</v>
      </c>
      <c r="I111" s="232">
        <f t="shared" si="28"/>
        <v>0</v>
      </c>
      <c r="J111" s="141"/>
      <c r="K111" s="159">
        <f t="shared" si="18"/>
        <v>0</v>
      </c>
      <c r="L111" s="72"/>
      <c r="M111" s="1"/>
      <c r="N111" s="78"/>
      <c r="O111" s="78"/>
      <c r="P111" s="1"/>
      <c r="Q111" s="78"/>
      <c r="R111" s="78"/>
      <c r="S111" s="44"/>
      <c r="T111" s="343"/>
      <c r="U111" s="78"/>
      <c r="V111" s="78"/>
      <c r="W111" s="44"/>
    </row>
    <row r="112" spans="1:23" hidden="1" x14ac:dyDescent="0.25">
      <c r="A112" s="54"/>
      <c r="B112" s="2"/>
      <c r="C112" s="625" t="s">
        <v>524</v>
      </c>
      <c r="D112" s="625"/>
      <c r="E112" s="159">
        <v>0</v>
      </c>
      <c r="F112" s="343">
        <v>0</v>
      </c>
      <c r="G112" s="313">
        <v>0</v>
      </c>
      <c r="H112" s="513">
        <v>0</v>
      </c>
      <c r="I112" s="242">
        <f t="shared" si="28"/>
        <v>0</v>
      </c>
      <c r="J112" s="151"/>
      <c r="K112" s="159">
        <f t="shared" si="18"/>
        <v>0</v>
      </c>
      <c r="L112" s="72"/>
      <c r="M112" s="1"/>
      <c r="N112" s="78"/>
      <c r="O112" s="78"/>
      <c r="P112" s="1"/>
      <c r="Q112" s="78"/>
      <c r="R112" s="78"/>
      <c r="S112" s="44"/>
      <c r="T112" s="343"/>
      <c r="U112" s="78"/>
      <c r="V112" s="78"/>
      <c r="W112" s="44"/>
    </row>
    <row r="113" spans="1:23" hidden="1" x14ac:dyDescent="0.25">
      <c r="A113" s="54"/>
      <c r="B113" s="2"/>
      <c r="C113" s="624" t="s">
        <v>525</v>
      </c>
      <c r="D113" s="624"/>
      <c r="E113" s="159">
        <v>0</v>
      </c>
      <c r="F113" s="343">
        <v>0</v>
      </c>
      <c r="G113" s="313">
        <v>0</v>
      </c>
      <c r="H113" s="513">
        <v>0</v>
      </c>
      <c r="I113" s="232">
        <f t="shared" si="28"/>
        <v>0</v>
      </c>
      <c r="J113" s="141"/>
      <c r="K113" s="159">
        <f t="shared" si="18"/>
        <v>0</v>
      </c>
      <c r="L113" s="72"/>
      <c r="M113" s="1"/>
      <c r="N113" s="78"/>
      <c r="O113" s="78"/>
      <c r="P113" s="1"/>
      <c r="Q113" s="78"/>
      <c r="R113" s="78"/>
      <c r="S113" s="44"/>
      <c r="T113" s="343"/>
      <c r="U113" s="78"/>
      <c r="V113" s="78"/>
      <c r="W113" s="44"/>
    </row>
    <row r="114" spans="1:23" hidden="1" x14ac:dyDescent="0.25">
      <c r="A114" s="54"/>
      <c r="B114" s="2"/>
      <c r="C114" s="625" t="s">
        <v>527</v>
      </c>
      <c r="D114" s="625"/>
      <c r="E114" s="159">
        <v>0</v>
      </c>
      <c r="F114" s="343">
        <v>0</v>
      </c>
      <c r="G114" s="313">
        <v>0</v>
      </c>
      <c r="H114" s="513">
        <v>0</v>
      </c>
      <c r="I114" s="242">
        <f t="shared" si="28"/>
        <v>0</v>
      </c>
      <c r="J114" s="151"/>
      <c r="K114" s="159">
        <f t="shared" si="18"/>
        <v>0</v>
      </c>
      <c r="L114" s="72"/>
      <c r="M114" s="1"/>
      <c r="N114" s="78"/>
      <c r="O114" s="78"/>
      <c r="P114" s="1"/>
      <c r="Q114" s="78"/>
      <c r="R114" s="78"/>
      <c r="S114" s="44"/>
      <c r="T114" s="343"/>
      <c r="U114" s="78"/>
      <c r="V114" s="78"/>
      <c r="W114" s="44"/>
    </row>
    <row r="115" spans="1:23" hidden="1" x14ac:dyDescent="0.25">
      <c r="A115" s="54"/>
      <c r="B115" s="2"/>
      <c r="C115" s="625" t="s">
        <v>529</v>
      </c>
      <c r="D115" s="625"/>
      <c r="E115" s="159">
        <v>0</v>
      </c>
      <c r="F115" s="343">
        <v>0</v>
      </c>
      <c r="G115" s="313">
        <v>0</v>
      </c>
      <c r="H115" s="513">
        <v>0</v>
      </c>
      <c r="I115" s="242">
        <f t="shared" si="28"/>
        <v>0</v>
      </c>
      <c r="J115" s="151"/>
      <c r="K115" s="159">
        <f t="shared" si="18"/>
        <v>0</v>
      </c>
      <c r="L115" s="72"/>
      <c r="M115" s="1"/>
      <c r="N115" s="78"/>
      <c r="O115" s="78"/>
      <c r="P115" s="1"/>
      <c r="Q115" s="78"/>
      <c r="R115" s="78"/>
      <c r="S115" s="44"/>
      <c r="T115" s="343"/>
      <c r="U115" s="78"/>
      <c r="V115" s="78"/>
      <c r="W115" s="44"/>
    </row>
    <row r="116" spans="1:23" hidden="1" x14ac:dyDescent="0.25">
      <c r="A116" s="101" t="s">
        <v>664</v>
      </c>
      <c r="B116" s="708" t="s">
        <v>808</v>
      </c>
      <c r="C116" s="709"/>
      <c r="D116" s="709"/>
      <c r="E116" s="162">
        <v>0</v>
      </c>
      <c r="F116" s="345">
        <v>0</v>
      </c>
      <c r="G116" s="315">
        <v>0</v>
      </c>
      <c r="H116" s="516">
        <v>0</v>
      </c>
      <c r="I116" s="241">
        <f>I117+I118</f>
        <v>0</v>
      </c>
      <c r="J116" s="150">
        <f>J117+J118</f>
        <v>0</v>
      </c>
      <c r="K116" s="162">
        <f t="shared" si="18"/>
        <v>0</v>
      </c>
      <c r="L116" s="102">
        <f t="shared" ref="L116:W116" si="29">L117+L118</f>
        <v>0</v>
      </c>
      <c r="M116" s="103">
        <f t="shared" si="29"/>
        <v>0</v>
      </c>
      <c r="N116" s="106">
        <f t="shared" si="29"/>
        <v>0</v>
      </c>
      <c r="O116" s="106">
        <f t="shared" si="29"/>
        <v>0</v>
      </c>
      <c r="P116" s="103">
        <f t="shared" si="29"/>
        <v>0</v>
      </c>
      <c r="Q116" s="106">
        <f t="shared" si="29"/>
        <v>0</v>
      </c>
      <c r="R116" s="106">
        <f t="shared" si="29"/>
        <v>0</v>
      </c>
      <c r="S116" s="107">
        <f t="shared" si="29"/>
        <v>0</v>
      </c>
      <c r="T116" s="345">
        <f t="shared" si="29"/>
        <v>0</v>
      </c>
      <c r="U116" s="106">
        <f t="shared" si="29"/>
        <v>0</v>
      </c>
      <c r="V116" s="106">
        <f t="shared" si="29"/>
        <v>0</v>
      </c>
      <c r="W116" s="107">
        <f t="shared" si="29"/>
        <v>0</v>
      </c>
    </row>
    <row r="117" spans="1:23" hidden="1" x14ac:dyDescent="0.25">
      <c r="A117" s="54"/>
      <c r="B117" s="2"/>
      <c r="C117" s="624" t="s">
        <v>531</v>
      </c>
      <c r="D117" s="624"/>
      <c r="E117" s="159">
        <v>0</v>
      </c>
      <c r="F117" s="343">
        <v>0</v>
      </c>
      <c r="G117" s="313">
        <v>0</v>
      </c>
      <c r="H117" s="513">
        <v>0</v>
      </c>
      <c r="I117" s="232">
        <f>SUM(O117:Z117)</f>
        <v>0</v>
      </c>
      <c r="J117" s="141"/>
      <c r="K117" s="159">
        <f t="shared" si="18"/>
        <v>0</v>
      </c>
      <c r="L117" s="72"/>
      <c r="M117" s="1"/>
      <c r="N117" s="78"/>
      <c r="O117" s="78"/>
      <c r="P117" s="1"/>
      <c r="Q117" s="78"/>
      <c r="R117" s="78"/>
      <c r="S117" s="44"/>
      <c r="T117" s="343"/>
      <c r="U117" s="78"/>
      <c r="V117" s="78"/>
      <c r="W117" s="44"/>
    </row>
    <row r="118" spans="1:23" hidden="1" x14ac:dyDescent="0.25">
      <c r="A118" s="54"/>
      <c r="B118" s="2"/>
      <c r="C118" s="625" t="s">
        <v>530</v>
      </c>
      <c r="D118" s="625"/>
      <c r="E118" s="159">
        <v>0</v>
      </c>
      <c r="F118" s="343">
        <v>0</v>
      </c>
      <c r="G118" s="313">
        <v>0</v>
      </c>
      <c r="H118" s="513">
        <v>0</v>
      </c>
      <c r="I118" s="242">
        <f>SUM(O118:Z118)</f>
        <v>0</v>
      </c>
      <c r="J118" s="151"/>
      <c r="K118" s="159">
        <f t="shared" si="18"/>
        <v>0</v>
      </c>
      <c r="L118" s="72"/>
      <c r="M118" s="1"/>
      <c r="N118" s="78"/>
      <c r="O118" s="78"/>
      <c r="P118" s="1"/>
      <c r="Q118" s="78"/>
      <c r="R118" s="78"/>
      <c r="S118" s="44"/>
      <c r="T118" s="343"/>
      <c r="U118" s="78"/>
      <c r="V118" s="78"/>
      <c r="W118" s="44"/>
    </row>
    <row r="119" spans="1:23" hidden="1" x14ac:dyDescent="0.25">
      <c r="A119" s="101" t="s">
        <v>666</v>
      </c>
      <c r="B119" s="708" t="s">
        <v>809</v>
      </c>
      <c r="C119" s="709"/>
      <c r="D119" s="709"/>
      <c r="E119" s="162">
        <v>0</v>
      </c>
      <c r="F119" s="345">
        <v>0</v>
      </c>
      <c r="G119" s="315">
        <v>0</v>
      </c>
      <c r="H119" s="516">
        <v>0</v>
      </c>
      <c r="I119" s="241">
        <f>I120+I121+I122+I123+I124+I125+I126+I127+I128+I129+I130</f>
        <v>0</v>
      </c>
      <c r="J119" s="150">
        <f>J120+J121+J122+J123+J124+J125+J126+J127+J128+J129+J130</f>
        <v>0</v>
      </c>
      <c r="K119" s="162">
        <f t="shared" si="18"/>
        <v>0</v>
      </c>
      <c r="L119" s="102">
        <f t="shared" ref="L119:W119" si="30">L120+L121+L122+L123+L124+L125+L126+L127+L128+L129+L130</f>
        <v>0</v>
      </c>
      <c r="M119" s="103">
        <f t="shared" si="30"/>
        <v>0</v>
      </c>
      <c r="N119" s="106">
        <f t="shared" si="30"/>
        <v>0</v>
      </c>
      <c r="O119" s="106">
        <f t="shared" si="30"/>
        <v>0</v>
      </c>
      <c r="P119" s="103">
        <f t="shared" si="30"/>
        <v>0</v>
      </c>
      <c r="Q119" s="106">
        <f t="shared" si="30"/>
        <v>0</v>
      </c>
      <c r="R119" s="106">
        <f t="shared" si="30"/>
        <v>0</v>
      </c>
      <c r="S119" s="107">
        <f t="shared" si="30"/>
        <v>0</v>
      </c>
      <c r="T119" s="345">
        <f t="shared" si="30"/>
        <v>0</v>
      </c>
      <c r="U119" s="106">
        <f t="shared" si="30"/>
        <v>0</v>
      </c>
      <c r="V119" s="106">
        <f t="shared" si="30"/>
        <v>0</v>
      </c>
      <c r="W119" s="107">
        <f t="shared" si="30"/>
        <v>0</v>
      </c>
    </row>
    <row r="120" spans="1:23" hidden="1" x14ac:dyDescent="0.25">
      <c r="A120" s="54"/>
      <c r="B120" s="2"/>
      <c r="C120" s="624" t="s">
        <v>354</v>
      </c>
      <c r="D120" s="624"/>
      <c r="E120" s="159">
        <v>0</v>
      </c>
      <c r="F120" s="343">
        <v>0</v>
      </c>
      <c r="G120" s="313">
        <v>0</v>
      </c>
      <c r="H120" s="513">
        <v>0</v>
      </c>
      <c r="I120" s="232">
        <f t="shared" ref="I120:I133" si="31">SUM(O120:Z120)</f>
        <v>0</v>
      </c>
      <c r="J120" s="141"/>
      <c r="K120" s="159">
        <f t="shared" si="18"/>
        <v>0</v>
      </c>
      <c r="L120" s="72"/>
      <c r="M120" s="1"/>
      <c r="N120" s="78"/>
      <c r="O120" s="78"/>
      <c r="P120" s="1"/>
      <c r="Q120" s="78"/>
      <c r="R120" s="78"/>
      <c r="S120" s="44"/>
      <c r="T120" s="343"/>
      <c r="U120" s="78"/>
      <c r="V120" s="78"/>
      <c r="W120" s="44"/>
    </row>
    <row r="121" spans="1:23" hidden="1" x14ac:dyDescent="0.25">
      <c r="A121" s="54"/>
      <c r="B121" s="2"/>
      <c r="C121" s="624" t="s">
        <v>357</v>
      </c>
      <c r="D121" s="624"/>
      <c r="E121" s="159">
        <v>0</v>
      </c>
      <c r="F121" s="343">
        <v>0</v>
      </c>
      <c r="G121" s="313">
        <v>0</v>
      </c>
      <c r="H121" s="513">
        <v>0</v>
      </c>
      <c r="I121" s="232">
        <f t="shared" si="31"/>
        <v>0</v>
      </c>
      <c r="J121" s="141"/>
      <c r="K121" s="159">
        <f t="shared" si="18"/>
        <v>0</v>
      </c>
      <c r="L121" s="72"/>
      <c r="M121" s="1"/>
      <c r="N121" s="78"/>
      <c r="O121" s="78"/>
      <c r="P121" s="1"/>
      <c r="Q121" s="78"/>
      <c r="R121" s="78"/>
      <c r="S121" s="44"/>
      <c r="T121" s="343"/>
      <c r="U121" s="78"/>
      <c r="V121" s="78"/>
      <c r="W121" s="44"/>
    </row>
    <row r="122" spans="1:23" hidden="1" x14ac:dyDescent="0.25">
      <c r="A122" s="54"/>
      <c r="B122" s="2"/>
      <c r="C122" s="624" t="s">
        <v>358</v>
      </c>
      <c r="D122" s="624"/>
      <c r="E122" s="159">
        <v>0</v>
      </c>
      <c r="F122" s="343">
        <v>0</v>
      </c>
      <c r="G122" s="313">
        <v>0</v>
      </c>
      <c r="H122" s="513">
        <v>0</v>
      </c>
      <c r="I122" s="232">
        <f t="shared" si="31"/>
        <v>0</v>
      </c>
      <c r="J122" s="141"/>
      <c r="K122" s="159">
        <f t="shared" si="18"/>
        <v>0</v>
      </c>
      <c r="L122" s="72"/>
      <c r="M122" s="1"/>
      <c r="N122" s="78"/>
      <c r="O122" s="78"/>
      <c r="P122" s="1"/>
      <c r="Q122" s="78"/>
      <c r="R122" s="78"/>
      <c r="S122" s="44"/>
      <c r="T122" s="343"/>
      <c r="U122" s="78"/>
      <c r="V122" s="78"/>
      <c r="W122" s="44"/>
    </row>
    <row r="123" spans="1:23" hidden="1" x14ac:dyDescent="0.25">
      <c r="A123" s="54"/>
      <c r="B123" s="2"/>
      <c r="C123" s="624" t="s">
        <v>355</v>
      </c>
      <c r="D123" s="624"/>
      <c r="E123" s="159">
        <v>0</v>
      </c>
      <c r="F123" s="343">
        <v>0</v>
      </c>
      <c r="G123" s="313">
        <v>0</v>
      </c>
      <c r="H123" s="513">
        <v>0</v>
      </c>
      <c r="I123" s="232">
        <f t="shared" si="31"/>
        <v>0</v>
      </c>
      <c r="J123" s="141"/>
      <c r="K123" s="159">
        <f t="shared" si="18"/>
        <v>0</v>
      </c>
      <c r="L123" s="72"/>
      <c r="M123" s="1"/>
      <c r="N123" s="78"/>
      <c r="O123" s="78"/>
      <c r="P123" s="1"/>
      <c r="Q123" s="78"/>
      <c r="R123" s="78"/>
      <c r="S123" s="44"/>
      <c r="T123" s="343"/>
      <c r="U123" s="78"/>
      <c r="V123" s="78"/>
      <c r="W123" s="44"/>
    </row>
    <row r="124" spans="1:23" hidden="1" x14ac:dyDescent="0.25">
      <c r="A124" s="54"/>
      <c r="B124" s="2"/>
      <c r="C124" s="624" t="s">
        <v>810</v>
      </c>
      <c r="D124" s="624"/>
      <c r="E124" s="159">
        <v>0</v>
      </c>
      <c r="F124" s="343">
        <v>0</v>
      </c>
      <c r="G124" s="313">
        <v>0</v>
      </c>
      <c r="H124" s="513">
        <v>0</v>
      </c>
      <c r="I124" s="232">
        <f t="shared" si="31"/>
        <v>0</v>
      </c>
      <c r="J124" s="141"/>
      <c r="K124" s="159">
        <f t="shared" si="18"/>
        <v>0</v>
      </c>
      <c r="L124" s="72"/>
      <c r="M124" s="1"/>
      <c r="N124" s="78"/>
      <c r="O124" s="78"/>
      <c r="P124" s="1"/>
      <c r="Q124" s="78"/>
      <c r="R124" s="78"/>
      <c r="S124" s="44"/>
      <c r="T124" s="343"/>
      <c r="U124" s="78"/>
      <c r="V124" s="78"/>
      <c r="W124" s="44"/>
    </row>
    <row r="125" spans="1:23" hidden="1" x14ac:dyDescent="0.25">
      <c r="A125" s="54"/>
      <c r="B125" s="2"/>
      <c r="C125" s="625" t="s">
        <v>532</v>
      </c>
      <c r="D125" s="625"/>
      <c r="E125" s="159">
        <v>0</v>
      </c>
      <c r="F125" s="343">
        <v>0</v>
      </c>
      <c r="G125" s="313">
        <v>0</v>
      </c>
      <c r="H125" s="513">
        <v>0</v>
      </c>
      <c r="I125" s="242">
        <f t="shared" si="31"/>
        <v>0</v>
      </c>
      <c r="J125" s="151"/>
      <c r="K125" s="159">
        <f t="shared" si="18"/>
        <v>0</v>
      </c>
      <c r="L125" s="72"/>
      <c r="M125" s="1"/>
      <c r="N125" s="78"/>
      <c r="O125" s="78"/>
      <c r="P125" s="1"/>
      <c r="Q125" s="78"/>
      <c r="R125" s="78"/>
      <c r="S125" s="44"/>
      <c r="T125" s="343"/>
      <c r="U125" s="78"/>
      <c r="V125" s="78"/>
      <c r="W125" s="44"/>
    </row>
    <row r="126" spans="1:23" hidden="1" x14ac:dyDescent="0.25">
      <c r="A126" s="54"/>
      <c r="B126" s="2"/>
      <c r="C126" s="625" t="s">
        <v>533</v>
      </c>
      <c r="D126" s="625"/>
      <c r="E126" s="159">
        <v>0</v>
      </c>
      <c r="F126" s="343">
        <v>0</v>
      </c>
      <c r="G126" s="313">
        <v>0</v>
      </c>
      <c r="H126" s="513">
        <v>0</v>
      </c>
      <c r="I126" s="242">
        <f t="shared" si="31"/>
        <v>0</v>
      </c>
      <c r="J126" s="151"/>
      <c r="K126" s="159">
        <f t="shared" si="18"/>
        <v>0</v>
      </c>
      <c r="L126" s="72"/>
      <c r="M126" s="1"/>
      <c r="N126" s="78"/>
      <c r="O126" s="78"/>
      <c r="P126" s="1"/>
      <c r="Q126" s="78"/>
      <c r="R126" s="78"/>
      <c r="S126" s="44"/>
      <c r="T126" s="343"/>
      <c r="U126" s="78"/>
      <c r="V126" s="78"/>
      <c r="W126" s="44"/>
    </row>
    <row r="127" spans="1:23" hidden="1" x14ac:dyDescent="0.25">
      <c r="A127" s="54"/>
      <c r="B127" s="2"/>
      <c r="C127" s="624" t="s">
        <v>364</v>
      </c>
      <c r="D127" s="624"/>
      <c r="E127" s="159">
        <v>0</v>
      </c>
      <c r="F127" s="343">
        <v>0</v>
      </c>
      <c r="G127" s="313">
        <v>0</v>
      </c>
      <c r="H127" s="513">
        <v>0</v>
      </c>
      <c r="I127" s="232">
        <f t="shared" si="31"/>
        <v>0</v>
      </c>
      <c r="J127" s="141"/>
      <c r="K127" s="159">
        <f t="shared" si="18"/>
        <v>0</v>
      </c>
      <c r="L127" s="72"/>
      <c r="M127" s="1"/>
      <c r="N127" s="78"/>
      <c r="O127" s="78"/>
      <c r="P127" s="1"/>
      <c r="Q127" s="78"/>
      <c r="R127" s="78"/>
      <c r="S127" s="44"/>
      <c r="T127" s="343"/>
      <c r="U127" s="78"/>
      <c r="V127" s="78"/>
      <c r="W127" s="44"/>
    </row>
    <row r="128" spans="1:23" hidden="1" x14ac:dyDescent="0.25">
      <c r="A128" s="54"/>
      <c r="B128" s="2"/>
      <c r="C128" s="624" t="s">
        <v>356</v>
      </c>
      <c r="D128" s="624"/>
      <c r="E128" s="159">
        <v>0</v>
      </c>
      <c r="F128" s="343">
        <v>0</v>
      </c>
      <c r="G128" s="313">
        <v>0</v>
      </c>
      <c r="H128" s="513">
        <v>0</v>
      </c>
      <c r="I128" s="232">
        <f t="shared" si="31"/>
        <v>0</v>
      </c>
      <c r="J128" s="141"/>
      <c r="K128" s="159">
        <f t="shared" si="18"/>
        <v>0</v>
      </c>
      <c r="L128" s="72"/>
      <c r="M128" s="1"/>
      <c r="N128" s="78"/>
      <c r="O128" s="78"/>
      <c r="P128" s="1"/>
      <c r="Q128" s="78"/>
      <c r="R128" s="78"/>
      <c r="S128" s="44"/>
      <c r="T128" s="343"/>
      <c r="U128" s="78"/>
      <c r="V128" s="78"/>
      <c r="W128" s="44"/>
    </row>
    <row r="129" spans="1:23" hidden="1" x14ac:dyDescent="0.25">
      <c r="A129" s="54"/>
      <c r="B129" s="2"/>
      <c r="C129" s="625" t="s">
        <v>534</v>
      </c>
      <c r="D129" s="625"/>
      <c r="E129" s="159">
        <v>0</v>
      </c>
      <c r="F129" s="343">
        <v>0</v>
      </c>
      <c r="G129" s="313">
        <v>0</v>
      </c>
      <c r="H129" s="513">
        <v>0</v>
      </c>
      <c r="I129" s="242">
        <f t="shared" si="31"/>
        <v>0</v>
      </c>
      <c r="J129" s="151"/>
      <c r="K129" s="159">
        <f t="shared" si="18"/>
        <v>0</v>
      </c>
      <c r="L129" s="72"/>
      <c r="M129" s="1"/>
      <c r="N129" s="78"/>
      <c r="O129" s="78"/>
      <c r="P129" s="1"/>
      <c r="Q129" s="78"/>
      <c r="R129" s="78"/>
      <c r="S129" s="44"/>
      <c r="T129" s="343"/>
      <c r="U129" s="78"/>
      <c r="V129" s="78"/>
      <c r="W129" s="44"/>
    </row>
    <row r="130" spans="1:23" hidden="1" x14ac:dyDescent="0.25">
      <c r="A130" s="54"/>
      <c r="B130" s="2"/>
      <c r="C130" s="624" t="s">
        <v>535</v>
      </c>
      <c r="D130" s="624"/>
      <c r="E130" s="159">
        <v>0</v>
      </c>
      <c r="F130" s="343">
        <v>0</v>
      </c>
      <c r="G130" s="313">
        <v>0</v>
      </c>
      <c r="H130" s="513">
        <v>0</v>
      </c>
      <c r="I130" s="232">
        <f t="shared" si="31"/>
        <v>0</v>
      </c>
      <c r="J130" s="141"/>
      <c r="K130" s="159">
        <f t="shared" si="18"/>
        <v>0</v>
      </c>
      <c r="L130" s="72"/>
      <c r="M130" s="1"/>
      <c r="N130" s="78"/>
      <c r="O130" s="78"/>
      <c r="P130" s="1"/>
      <c r="Q130" s="78"/>
      <c r="R130" s="78"/>
      <c r="S130" s="44"/>
      <c r="T130" s="343"/>
      <c r="U130" s="78"/>
      <c r="V130" s="78"/>
      <c r="W130" s="44"/>
    </row>
    <row r="131" spans="1:23" hidden="1" x14ac:dyDescent="0.25">
      <c r="A131" s="101" t="s">
        <v>665</v>
      </c>
      <c r="B131" s="655" t="s">
        <v>236</v>
      </c>
      <c r="C131" s="656"/>
      <c r="D131" s="656"/>
      <c r="E131" s="162">
        <v>0</v>
      </c>
      <c r="F131" s="345">
        <v>0</v>
      </c>
      <c r="G131" s="315">
        <v>0</v>
      </c>
      <c r="H131" s="516">
        <v>0</v>
      </c>
      <c r="I131" s="243">
        <f t="shared" si="31"/>
        <v>0</v>
      </c>
      <c r="J131" s="152"/>
      <c r="K131" s="162">
        <f t="shared" si="18"/>
        <v>0</v>
      </c>
      <c r="L131" s="102"/>
      <c r="M131" s="103"/>
      <c r="N131" s="106"/>
      <c r="O131" s="106"/>
      <c r="P131" s="103"/>
      <c r="Q131" s="106"/>
      <c r="R131" s="106"/>
      <c r="S131" s="107"/>
      <c r="T131" s="345"/>
      <c r="U131" s="106"/>
      <c r="V131" s="106"/>
      <c r="W131" s="107"/>
    </row>
    <row r="132" spans="1:23" hidden="1" x14ac:dyDescent="0.25">
      <c r="A132" s="101" t="s">
        <v>667</v>
      </c>
      <c r="B132" s="655" t="s">
        <v>238</v>
      </c>
      <c r="C132" s="656"/>
      <c r="D132" s="656"/>
      <c r="E132" s="162">
        <v>0</v>
      </c>
      <c r="F132" s="345">
        <v>0</v>
      </c>
      <c r="G132" s="315">
        <v>0</v>
      </c>
      <c r="H132" s="516">
        <v>0</v>
      </c>
      <c r="I132" s="243">
        <f t="shared" si="31"/>
        <v>0</v>
      </c>
      <c r="J132" s="152"/>
      <c r="K132" s="162">
        <f t="shared" si="18"/>
        <v>0</v>
      </c>
      <c r="L132" s="102"/>
      <c r="M132" s="103"/>
      <c r="N132" s="106"/>
      <c r="O132" s="106"/>
      <c r="P132" s="103"/>
      <c r="Q132" s="106"/>
      <c r="R132" s="106"/>
      <c r="S132" s="107"/>
      <c r="T132" s="345"/>
      <c r="U132" s="106"/>
      <c r="V132" s="106"/>
      <c r="W132" s="107"/>
    </row>
    <row r="133" spans="1:23" hidden="1" x14ac:dyDescent="0.25">
      <c r="A133" s="101" t="s">
        <v>668</v>
      </c>
      <c r="B133" s="655" t="s">
        <v>240</v>
      </c>
      <c r="C133" s="656"/>
      <c r="D133" s="656"/>
      <c r="E133" s="162">
        <v>0</v>
      </c>
      <c r="F133" s="345">
        <v>0</v>
      </c>
      <c r="G133" s="315">
        <v>0</v>
      </c>
      <c r="H133" s="516">
        <v>0</v>
      </c>
      <c r="I133" s="243">
        <f t="shared" si="31"/>
        <v>0</v>
      </c>
      <c r="J133" s="152"/>
      <c r="K133" s="162">
        <f t="shared" ref="K133:K196" si="32">SUM(I133:J133)</f>
        <v>0</v>
      </c>
      <c r="L133" s="102"/>
      <c r="M133" s="103"/>
      <c r="N133" s="106"/>
      <c r="O133" s="106"/>
      <c r="P133" s="103"/>
      <c r="Q133" s="106"/>
      <c r="R133" s="106"/>
      <c r="S133" s="107"/>
      <c r="T133" s="345"/>
      <c r="U133" s="106"/>
      <c r="V133" s="106"/>
      <c r="W133" s="107"/>
    </row>
    <row r="134" spans="1:23" hidden="1" x14ac:dyDescent="0.25">
      <c r="A134" s="101" t="s">
        <v>669</v>
      </c>
      <c r="B134" s="655" t="s">
        <v>242</v>
      </c>
      <c r="C134" s="656"/>
      <c r="D134" s="656"/>
      <c r="E134" s="162">
        <v>0</v>
      </c>
      <c r="F134" s="345">
        <v>0</v>
      </c>
      <c r="G134" s="315">
        <v>0</v>
      </c>
      <c r="H134" s="516">
        <v>0</v>
      </c>
      <c r="I134" s="243">
        <f>I135+I136+I137+I138+I139+I140+I141+I142+I143+I144</f>
        <v>0</v>
      </c>
      <c r="J134" s="152">
        <f>J135+J136+J137+J138+J139+J140+J141+J142+J143+J144</f>
        <v>0</v>
      </c>
      <c r="K134" s="162">
        <f t="shared" si="32"/>
        <v>0</v>
      </c>
      <c r="L134" s="102">
        <f t="shared" ref="L134:W134" si="33">L135+L136+L137+L138+L139+L140+L141+L142+L143+L144</f>
        <v>0</v>
      </c>
      <c r="M134" s="103">
        <f t="shared" si="33"/>
        <v>0</v>
      </c>
      <c r="N134" s="106">
        <f t="shared" si="33"/>
        <v>0</v>
      </c>
      <c r="O134" s="106">
        <f t="shared" si="33"/>
        <v>0</v>
      </c>
      <c r="P134" s="103">
        <f t="shared" si="33"/>
        <v>0</v>
      </c>
      <c r="Q134" s="106">
        <f t="shared" si="33"/>
        <v>0</v>
      </c>
      <c r="R134" s="106">
        <f t="shared" si="33"/>
        <v>0</v>
      </c>
      <c r="S134" s="107">
        <f t="shared" si="33"/>
        <v>0</v>
      </c>
      <c r="T134" s="345">
        <f t="shared" si="33"/>
        <v>0</v>
      </c>
      <c r="U134" s="106">
        <f t="shared" si="33"/>
        <v>0</v>
      </c>
      <c r="V134" s="106">
        <f t="shared" si="33"/>
        <v>0</v>
      </c>
      <c r="W134" s="107">
        <f t="shared" si="33"/>
        <v>0</v>
      </c>
    </row>
    <row r="135" spans="1:23" hidden="1" x14ac:dyDescent="0.25">
      <c r="A135" s="54"/>
      <c r="B135" s="2"/>
      <c r="C135" s="624" t="s">
        <v>359</v>
      </c>
      <c r="D135" s="624"/>
      <c r="E135" s="159">
        <v>0</v>
      </c>
      <c r="F135" s="343">
        <v>0</v>
      </c>
      <c r="G135" s="313">
        <v>0</v>
      </c>
      <c r="H135" s="513">
        <v>0</v>
      </c>
      <c r="I135" s="232">
        <f t="shared" ref="I135:I144" si="34">SUM(O135:Z135)</f>
        <v>0</v>
      </c>
      <c r="J135" s="141"/>
      <c r="K135" s="159">
        <f t="shared" si="32"/>
        <v>0</v>
      </c>
      <c r="L135" s="72"/>
      <c r="M135" s="1"/>
      <c r="N135" s="78"/>
      <c r="O135" s="78"/>
      <c r="P135" s="1"/>
      <c r="Q135" s="78"/>
      <c r="R135" s="78"/>
      <c r="S135" s="44"/>
      <c r="T135" s="343"/>
      <c r="U135" s="78"/>
      <c r="V135" s="78"/>
      <c r="W135" s="44"/>
    </row>
    <row r="136" spans="1:23" hidden="1" x14ac:dyDescent="0.25">
      <c r="A136" s="54"/>
      <c r="B136" s="2"/>
      <c r="C136" s="624" t="s">
        <v>360</v>
      </c>
      <c r="D136" s="624"/>
      <c r="E136" s="159">
        <v>0</v>
      </c>
      <c r="F136" s="343">
        <v>0</v>
      </c>
      <c r="G136" s="313">
        <v>0</v>
      </c>
      <c r="H136" s="513">
        <v>0</v>
      </c>
      <c r="I136" s="232">
        <f t="shared" si="34"/>
        <v>0</v>
      </c>
      <c r="J136" s="141"/>
      <c r="K136" s="159">
        <f t="shared" si="32"/>
        <v>0</v>
      </c>
      <c r="L136" s="72"/>
      <c r="M136" s="1"/>
      <c r="N136" s="78"/>
      <c r="O136" s="78"/>
      <c r="P136" s="1"/>
      <c r="Q136" s="78"/>
      <c r="R136" s="78"/>
      <c r="S136" s="44"/>
      <c r="T136" s="343"/>
      <c r="U136" s="78"/>
      <c r="V136" s="78"/>
      <c r="W136" s="44"/>
    </row>
    <row r="137" spans="1:23" hidden="1" x14ac:dyDescent="0.25">
      <c r="A137" s="54"/>
      <c r="B137" s="2"/>
      <c r="C137" s="624" t="s">
        <v>361</v>
      </c>
      <c r="D137" s="624"/>
      <c r="E137" s="159">
        <v>0</v>
      </c>
      <c r="F137" s="343">
        <v>0</v>
      </c>
      <c r="G137" s="313">
        <v>0</v>
      </c>
      <c r="H137" s="513">
        <v>0</v>
      </c>
      <c r="I137" s="232">
        <f t="shared" si="34"/>
        <v>0</v>
      </c>
      <c r="J137" s="141"/>
      <c r="K137" s="159">
        <f t="shared" si="32"/>
        <v>0</v>
      </c>
      <c r="L137" s="72"/>
      <c r="M137" s="1"/>
      <c r="N137" s="78"/>
      <c r="O137" s="78"/>
      <c r="P137" s="1"/>
      <c r="Q137" s="78"/>
      <c r="R137" s="78"/>
      <c r="S137" s="44"/>
      <c r="T137" s="343"/>
      <c r="U137" s="78"/>
      <c r="V137" s="78"/>
      <c r="W137" s="44"/>
    </row>
    <row r="138" spans="1:23" hidden="1" x14ac:dyDescent="0.25">
      <c r="A138" s="54"/>
      <c r="B138" s="2"/>
      <c r="C138" s="624" t="s">
        <v>362</v>
      </c>
      <c r="D138" s="624"/>
      <c r="E138" s="159">
        <v>0</v>
      </c>
      <c r="F138" s="343">
        <v>0</v>
      </c>
      <c r="G138" s="313">
        <v>0</v>
      </c>
      <c r="H138" s="513">
        <v>0</v>
      </c>
      <c r="I138" s="232">
        <f t="shared" si="34"/>
        <v>0</v>
      </c>
      <c r="J138" s="141"/>
      <c r="K138" s="159">
        <f t="shared" si="32"/>
        <v>0</v>
      </c>
      <c r="L138" s="72"/>
      <c r="M138" s="1"/>
      <c r="N138" s="78"/>
      <c r="O138" s="78"/>
      <c r="P138" s="1"/>
      <c r="Q138" s="78"/>
      <c r="R138" s="78"/>
      <c r="S138" s="44"/>
      <c r="T138" s="343"/>
      <c r="U138" s="78"/>
      <c r="V138" s="78"/>
      <c r="W138" s="44"/>
    </row>
    <row r="139" spans="1:23" hidden="1" x14ac:dyDescent="0.25">
      <c r="A139" s="54"/>
      <c r="B139" s="2"/>
      <c r="C139" s="624" t="s">
        <v>363</v>
      </c>
      <c r="D139" s="624"/>
      <c r="E139" s="159">
        <v>0</v>
      </c>
      <c r="F139" s="343">
        <v>0</v>
      </c>
      <c r="G139" s="313">
        <v>0</v>
      </c>
      <c r="H139" s="513">
        <v>0</v>
      </c>
      <c r="I139" s="232">
        <f t="shared" si="34"/>
        <v>0</v>
      </c>
      <c r="J139" s="141"/>
      <c r="K139" s="159">
        <f t="shared" si="32"/>
        <v>0</v>
      </c>
      <c r="L139" s="72"/>
      <c r="M139" s="1"/>
      <c r="N139" s="78"/>
      <c r="O139" s="78"/>
      <c r="P139" s="1"/>
      <c r="Q139" s="78"/>
      <c r="R139" s="78"/>
      <c r="S139" s="44"/>
      <c r="T139" s="343"/>
      <c r="U139" s="78"/>
      <c r="V139" s="78"/>
      <c r="W139" s="44"/>
    </row>
    <row r="140" spans="1:23" hidden="1" x14ac:dyDescent="0.25">
      <c r="A140" s="54"/>
      <c r="B140" s="2"/>
      <c r="C140" s="625" t="s">
        <v>536</v>
      </c>
      <c r="D140" s="625"/>
      <c r="E140" s="159">
        <v>0</v>
      </c>
      <c r="F140" s="343">
        <v>0</v>
      </c>
      <c r="G140" s="313">
        <v>0</v>
      </c>
      <c r="H140" s="513">
        <v>0</v>
      </c>
      <c r="I140" s="242">
        <f t="shared" si="34"/>
        <v>0</v>
      </c>
      <c r="J140" s="151"/>
      <c r="K140" s="159">
        <f t="shared" si="32"/>
        <v>0</v>
      </c>
      <c r="L140" s="72"/>
      <c r="M140" s="1"/>
      <c r="N140" s="78"/>
      <c r="O140" s="78"/>
      <c r="P140" s="1"/>
      <c r="Q140" s="78"/>
      <c r="R140" s="78"/>
      <c r="S140" s="44"/>
      <c r="T140" s="343"/>
      <c r="U140" s="78"/>
      <c r="V140" s="78"/>
      <c r="W140" s="44"/>
    </row>
    <row r="141" spans="1:23" hidden="1" x14ac:dyDescent="0.25">
      <c r="A141" s="54"/>
      <c r="B141" s="2"/>
      <c r="C141" s="625" t="s">
        <v>539</v>
      </c>
      <c r="D141" s="625"/>
      <c r="E141" s="159">
        <v>0</v>
      </c>
      <c r="F141" s="343">
        <v>0</v>
      </c>
      <c r="G141" s="313">
        <v>0</v>
      </c>
      <c r="H141" s="513">
        <v>0</v>
      </c>
      <c r="I141" s="242">
        <f t="shared" si="34"/>
        <v>0</v>
      </c>
      <c r="J141" s="151"/>
      <c r="K141" s="159">
        <f t="shared" si="32"/>
        <v>0</v>
      </c>
      <c r="L141" s="72"/>
      <c r="M141" s="1"/>
      <c r="N141" s="78"/>
      <c r="O141" s="78"/>
      <c r="P141" s="1"/>
      <c r="Q141" s="78"/>
      <c r="R141" s="78"/>
      <c r="S141" s="44"/>
      <c r="T141" s="343"/>
      <c r="U141" s="78"/>
      <c r="V141" s="78"/>
      <c r="W141" s="44"/>
    </row>
    <row r="142" spans="1:23" hidden="1" x14ac:dyDescent="0.25">
      <c r="A142" s="54"/>
      <c r="B142" s="2"/>
      <c r="C142" s="624" t="s">
        <v>365</v>
      </c>
      <c r="D142" s="624"/>
      <c r="E142" s="159">
        <v>0</v>
      </c>
      <c r="F142" s="343">
        <v>0</v>
      </c>
      <c r="G142" s="313">
        <v>0</v>
      </c>
      <c r="H142" s="513">
        <v>0</v>
      </c>
      <c r="I142" s="232">
        <f t="shared" si="34"/>
        <v>0</v>
      </c>
      <c r="J142" s="141"/>
      <c r="K142" s="159">
        <f t="shared" si="32"/>
        <v>0</v>
      </c>
      <c r="L142" s="72"/>
      <c r="M142" s="1"/>
      <c r="N142" s="78"/>
      <c r="O142" s="78"/>
      <c r="P142" s="1"/>
      <c r="Q142" s="78"/>
      <c r="R142" s="78"/>
      <c r="S142" s="44"/>
      <c r="T142" s="343"/>
      <c r="U142" s="78"/>
      <c r="V142" s="78"/>
      <c r="W142" s="44"/>
    </row>
    <row r="143" spans="1:23" hidden="1" x14ac:dyDescent="0.25">
      <c r="A143" s="54"/>
      <c r="B143" s="2"/>
      <c r="C143" s="625" t="s">
        <v>542</v>
      </c>
      <c r="D143" s="625"/>
      <c r="E143" s="159">
        <v>0</v>
      </c>
      <c r="F143" s="343">
        <v>0</v>
      </c>
      <c r="G143" s="313">
        <v>0</v>
      </c>
      <c r="H143" s="513">
        <v>0</v>
      </c>
      <c r="I143" s="242">
        <f t="shared" si="34"/>
        <v>0</v>
      </c>
      <c r="J143" s="151"/>
      <c r="K143" s="159">
        <f t="shared" si="32"/>
        <v>0</v>
      </c>
      <c r="L143" s="72"/>
      <c r="M143" s="1"/>
      <c r="N143" s="78"/>
      <c r="O143" s="78"/>
      <c r="P143" s="1"/>
      <c r="Q143" s="78"/>
      <c r="R143" s="78"/>
      <c r="S143" s="44"/>
      <c r="T143" s="343"/>
      <c r="U143" s="78"/>
      <c r="V143" s="78"/>
      <c r="W143" s="44"/>
    </row>
    <row r="144" spans="1:23" hidden="1" x14ac:dyDescent="0.25">
      <c r="A144" s="54"/>
      <c r="B144" s="2"/>
      <c r="C144" s="624" t="s">
        <v>543</v>
      </c>
      <c r="D144" s="624"/>
      <c r="E144" s="159">
        <v>0</v>
      </c>
      <c r="F144" s="343">
        <v>0</v>
      </c>
      <c r="G144" s="313">
        <v>0</v>
      </c>
      <c r="H144" s="513">
        <v>0</v>
      </c>
      <c r="I144" s="232">
        <f t="shared" si="34"/>
        <v>0</v>
      </c>
      <c r="J144" s="141"/>
      <c r="K144" s="159">
        <f t="shared" si="32"/>
        <v>0</v>
      </c>
      <c r="L144" s="72"/>
      <c r="M144" s="1"/>
      <c r="N144" s="78"/>
      <c r="O144" s="78"/>
      <c r="P144" s="1"/>
      <c r="Q144" s="78"/>
      <c r="R144" s="78"/>
      <c r="S144" s="44"/>
      <c r="T144" s="343"/>
      <c r="U144" s="78"/>
      <c r="V144" s="78"/>
      <c r="W144" s="44"/>
    </row>
    <row r="145" spans="1:23" ht="15.75" thickBot="1" x14ac:dyDescent="0.3">
      <c r="A145" s="127" t="s">
        <v>670</v>
      </c>
      <c r="B145" s="710" t="s">
        <v>244</v>
      </c>
      <c r="C145" s="711"/>
      <c r="D145" s="711"/>
      <c r="E145" s="162">
        <v>0</v>
      </c>
      <c r="F145" s="471">
        <v>0</v>
      </c>
      <c r="G145" s="491">
        <v>0</v>
      </c>
      <c r="H145" s="521">
        <v>0</v>
      </c>
      <c r="I145" s="244">
        <v>0</v>
      </c>
      <c r="J145" s="153"/>
      <c r="K145" s="162">
        <v>0</v>
      </c>
      <c r="L145" s="102"/>
      <c r="M145" s="103"/>
      <c r="N145" s="106"/>
      <c r="O145" s="106"/>
      <c r="P145" s="103"/>
      <c r="Q145" s="106"/>
      <c r="R145" s="106"/>
      <c r="S145" s="107"/>
      <c r="T145" s="345"/>
      <c r="U145" s="106"/>
      <c r="V145" s="106"/>
      <c r="W145" s="484">
        <v>1582203</v>
      </c>
    </row>
    <row r="146" spans="1:23" ht="15.75" thickBot="1" x14ac:dyDescent="0.3">
      <c r="A146" s="96" t="s">
        <v>245</v>
      </c>
      <c r="B146" s="632" t="s">
        <v>246</v>
      </c>
      <c r="C146" s="633"/>
      <c r="D146" s="633"/>
      <c r="E146" s="156">
        <v>0</v>
      </c>
      <c r="F146" s="338">
        <v>0</v>
      </c>
      <c r="G146" s="308">
        <v>0</v>
      </c>
      <c r="H146" s="506">
        <v>0</v>
      </c>
      <c r="I146" s="235">
        <f>I147+I148+I151+I152+I153+I154+I155</f>
        <v>73746849</v>
      </c>
      <c r="J146" s="144">
        <f>J147+J148+J151+J152+J153+J154+J155</f>
        <v>0</v>
      </c>
      <c r="K146" s="156">
        <f t="shared" si="32"/>
        <v>73746849</v>
      </c>
      <c r="L146" s="82">
        <f t="shared" ref="L146:W146" si="35">L147+L148+L151+L152+L153+L154+L155</f>
        <v>0</v>
      </c>
      <c r="M146" s="83">
        <f t="shared" si="35"/>
        <v>0</v>
      </c>
      <c r="N146" s="86">
        <f t="shared" si="35"/>
        <v>0</v>
      </c>
      <c r="O146" s="86">
        <f t="shared" si="35"/>
        <v>0</v>
      </c>
      <c r="P146" s="83">
        <f t="shared" si="35"/>
        <v>0</v>
      </c>
      <c r="Q146" s="86">
        <f t="shared" si="35"/>
        <v>33766267</v>
      </c>
      <c r="R146" s="86">
        <f t="shared" si="35"/>
        <v>0</v>
      </c>
      <c r="S146" s="87">
        <f t="shared" si="35"/>
        <v>0</v>
      </c>
      <c r="T146" s="338">
        <f t="shared" si="35"/>
        <v>65130</v>
      </c>
      <c r="U146" s="86">
        <f t="shared" si="35"/>
        <v>0</v>
      </c>
      <c r="V146" s="86">
        <f t="shared" si="35"/>
        <v>0</v>
      </c>
      <c r="W146" s="87">
        <f t="shared" si="35"/>
        <v>39915452</v>
      </c>
    </row>
    <row r="147" spans="1:23" hidden="1" x14ac:dyDescent="0.25">
      <c r="A147" s="108" t="s">
        <v>671</v>
      </c>
      <c r="B147" s="634" t="s">
        <v>248</v>
      </c>
      <c r="C147" s="635"/>
      <c r="D147" s="635"/>
      <c r="E147" s="158">
        <v>0</v>
      </c>
      <c r="F147" s="339">
        <v>0</v>
      </c>
      <c r="G147" s="309">
        <v>0</v>
      </c>
      <c r="H147" s="507">
        <v>0</v>
      </c>
      <c r="I147" s="231">
        <f>SUM(O147:Z147)</f>
        <v>0</v>
      </c>
      <c r="J147" s="140"/>
      <c r="K147" s="158">
        <f t="shared" si="32"/>
        <v>0</v>
      </c>
      <c r="L147" s="90"/>
      <c r="M147" s="91"/>
      <c r="N147" s="94"/>
      <c r="O147" s="94"/>
      <c r="P147" s="91"/>
      <c r="Q147" s="94"/>
      <c r="R147" s="94"/>
      <c r="S147" s="95"/>
      <c r="T147" s="341"/>
      <c r="U147" s="94"/>
      <c r="V147" s="94"/>
      <c r="W147" s="95"/>
    </row>
    <row r="148" spans="1:23" x14ac:dyDescent="0.25">
      <c r="A148" s="88" t="s">
        <v>672</v>
      </c>
      <c r="B148" s="626" t="s">
        <v>250</v>
      </c>
      <c r="C148" s="627"/>
      <c r="D148" s="627"/>
      <c r="E148" s="158">
        <v>0</v>
      </c>
      <c r="F148" s="341">
        <v>0</v>
      </c>
      <c r="G148" s="311">
        <v>0</v>
      </c>
      <c r="H148" s="509">
        <v>0</v>
      </c>
      <c r="I148" s="233">
        <f>I149+I150</f>
        <v>55791022</v>
      </c>
      <c r="J148" s="142">
        <f>J149+J150</f>
        <v>0</v>
      </c>
      <c r="K148" s="158">
        <f t="shared" si="32"/>
        <v>55791022</v>
      </c>
      <c r="L148" s="90">
        <f t="shared" ref="L148:W148" si="36">L149+L150</f>
        <v>0</v>
      </c>
      <c r="M148" s="91">
        <f t="shared" si="36"/>
        <v>0</v>
      </c>
      <c r="N148" s="94">
        <f t="shared" si="36"/>
        <v>0</v>
      </c>
      <c r="O148" s="94">
        <f t="shared" si="36"/>
        <v>0</v>
      </c>
      <c r="P148" s="91">
        <f t="shared" si="36"/>
        <v>0</v>
      </c>
      <c r="Q148" s="94">
        <f t="shared" si="36"/>
        <v>26587612</v>
      </c>
      <c r="R148" s="94">
        <f t="shared" si="36"/>
        <v>0</v>
      </c>
      <c r="S148" s="95">
        <f t="shared" si="36"/>
        <v>0</v>
      </c>
      <c r="T148" s="341">
        <f t="shared" si="36"/>
        <v>65130</v>
      </c>
      <c r="U148" s="94">
        <f t="shared" si="36"/>
        <v>0</v>
      </c>
      <c r="V148" s="94">
        <f t="shared" si="36"/>
        <v>0</v>
      </c>
      <c r="W148" s="95">
        <f t="shared" si="36"/>
        <v>29138280</v>
      </c>
    </row>
    <row r="149" spans="1:23" x14ac:dyDescent="0.25">
      <c r="A149" s="54"/>
      <c r="B149" s="2"/>
      <c r="C149" s="624" t="s">
        <v>250</v>
      </c>
      <c r="D149" s="624"/>
      <c r="E149" s="159">
        <v>0</v>
      </c>
      <c r="F149" s="343">
        <v>0</v>
      </c>
      <c r="G149" s="313">
        <v>0</v>
      </c>
      <c r="H149" s="513">
        <v>0</v>
      </c>
      <c r="I149" s="232">
        <f>SUM(L149:W149)</f>
        <v>55791022</v>
      </c>
      <c r="J149" s="141"/>
      <c r="K149" s="159">
        <f t="shared" si="32"/>
        <v>55791022</v>
      </c>
      <c r="L149" s="72"/>
      <c r="M149" s="1"/>
      <c r="N149" s="78"/>
      <c r="O149" s="78"/>
      <c r="P149" s="1"/>
      <c r="Q149" s="78">
        <f>398814+26188798</f>
        <v>26587612</v>
      </c>
      <c r="R149" s="78"/>
      <c r="S149" s="44"/>
      <c r="T149" s="343">
        <v>65130</v>
      </c>
      <c r="U149" s="78"/>
      <c r="V149" s="78"/>
      <c r="W149" s="44">
        <v>29138280</v>
      </c>
    </row>
    <row r="150" spans="1:23" hidden="1" x14ac:dyDescent="0.25">
      <c r="A150" s="54"/>
      <c r="B150" s="2"/>
      <c r="C150" s="624" t="s">
        <v>349</v>
      </c>
      <c r="D150" s="624"/>
      <c r="E150" s="159">
        <v>0</v>
      </c>
      <c r="F150" s="343">
        <v>0</v>
      </c>
      <c r="G150" s="313">
        <v>0</v>
      </c>
      <c r="H150" s="513">
        <v>0</v>
      </c>
      <c r="I150" s="232">
        <f t="shared" ref="I150:I155" si="37">SUM(O150:Z150)</f>
        <v>0</v>
      </c>
      <c r="J150" s="141"/>
      <c r="K150" s="159">
        <f t="shared" si="32"/>
        <v>0</v>
      </c>
      <c r="L150" s="72"/>
      <c r="M150" s="1"/>
      <c r="N150" s="78"/>
      <c r="O150" s="78"/>
      <c r="P150" s="1"/>
      <c r="Q150" s="78"/>
      <c r="R150" s="78"/>
      <c r="S150" s="44"/>
      <c r="T150" s="343"/>
      <c r="U150" s="78"/>
      <c r="V150" s="78"/>
      <c r="W150" s="44"/>
    </row>
    <row r="151" spans="1:23" hidden="1" x14ac:dyDescent="0.25">
      <c r="A151" s="88" t="s">
        <v>673</v>
      </c>
      <c r="B151" s="626" t="s">
        <v>252</v>
      </c>
      <c r="C151" s="627"/>
      <c r="D151" s="627"/>
      <c r="E151" s="158">
        <v>0</v>
      </c>
      <c r="F151" s="341">
        <v>0</v>
      </c>
      <c r="G151" s="311">
        <v>0</v>
      </c>
      <c r="H151" s="509">
        <v>0</v>
      </c>
      <c r="I151" s="233">
        <f t="shared" si="37"/>
        <v>0</v>
      </c>
      <c r="J151" s="142"/>
      <c r="K151" s="158">
        <f t="shared" si="32"/>
        <v>0</v>
      </c>
      <c r="L151" s="90"/>
      <c r="M151" s="91"/>
      <c r="N151" s="94"/>
      <c r="O151" s="94"/>
      <c r="P151" s="91"/>
      <c r="Q151" s="94"/>
      <c r="R151" s="94"/>
      <c r="S151" s="95"/>
      <c r="T151" s="341"/>
      <c r="U151" s="94"/>
      <c r="V151" s="94"/>
      <c r="W151" s="95"/>
    </row>
    <row r="152" spans="1:23" hidden="1" x14ac:dyDescent="0.25">
      <c r="A152" s="88" t="s">
        <v>674</v>
      </c>
      <c r="B152" s="626" t="s">
        <v>254</v>
      </c>
      <c r="C152" s="627"/>
      <c r="D152" s="627"/>
      <c r="E152" s="158">
        <v>0</v>
      </c>
      <c r="F152" s="341">
        <v>0</v>
      </c>
      <c r="G152" s="311">
        <v>0</v>
      </c>
      <c r="H152" s="509">
        <v>0</v>
      </c>
      <c r="I152" s="233">
        <f t="shared" si="37"/>
        <v>0</v>
      </c>
      <c r="J152" s="142"/>
      <c r="K152" s="158">
        <f t="shared" si="32"/>
        <v>0</v>
      </c>
      <c r="L152" s="90"/>
      <c r="M152" s="91"/>
      <c r="N152" s="94"/>
      <c r="O152" s="94"/>
      <c r="P152" s="91"/>
      <c r="Q152" s="94"/>
      <c r="R152" s="94"/>
      <c r="S152" s="95"/>
      <c r="T152" s="341"/>
      <c r="U152" s="94"/>
      <c r="V152" s="94"/>
      <c r="W152" s="95"/>
    </row>
    <row r="153" spans="1:23" hidden="1" x14ac:dyDescent="0.25">
      <c r="A153" s="88" t="s">
        <v>675</v>
      </c>
      <c r="B153" s="626" t="s">
        <v>256</v>
      </c>
      <c r="C153" s="627"/>
      <c r="D153" s="627"/>
      <c r="E153" s="158">
        <v>0</v>
      </c>
      <c r="F153" s="341">
        <v>0</v>
      </c>
      <c r="G153" s="311">
        <v>0</v>
      </c>
      <c r="H153" s="509">
        <v>0</v>
      </c>
      <c r="I153" s="233">
        <f t="shared" si="37"/>
        <v>0</v>
      </c>
      <c r="J153" s="142"/>
      <c r="K153" s="158">
        <f t="shared" si="32"/>
        <v>0</v>
      </c>
      <c r="L153" s="90"/>
      <c r="M153" s="91"/>
      <c r="N153" s="94"/>
      <c r="O153" s="94"/>
      <c r="P153" s="91"/>
      <c r="Q153" s="94"/>
      <c r="R153" s="94"/>
      <c r="S153" s="95"/>
      <c r="T153" s="341"/>
      <c r="U153" s="94"/>
      <c r="V153" s="94"/>
      <c r="W153" s="95"/>
    </row>
    <row r="154" spans="1:23" hidden="1" x14ac:dyDescent="0.25">
      <c r="A154" s="88" t="s">
        <v>676</v>
      </c>
      <c r="B154" s="626" t="s">
        <v>258</v>
      </c>
      <c r="C154" s="627"/>
      <c r="D154" s="627"/>
      <c r="E154" s="158">
        <v>0</v>
      </c>
      <c r="F154" s="341">
        <v>0</v>
      </c>
      <c r="G154" s="311">
        <v>0</v>
      </c>
      <c r="H154" s="509">
        <v>0</v>
      </c>
      <c r="I154" s="233">
        <f t="shared" si="37"/>
        <v>0</v>
      </c>
      <c r="J154" s="142"/>
      <c r="K154" s="158">
        <f t="shared" si="32"/>
        <v>0</v>
      </c>
      <c r="L154" s="90"/>
      <c r="M154" s="91"/>
      <c r="N154" s="94"/>
      <c r="O154" s="94"/>
      <c r="P154" s="91"/>
      <c r="Q154" s="94"/>
      <c r="R154" s="94"/>
      <c r="S154" s="95"/>
      <c r="T154" s="341"/>
      <c r="U154" s="94"/>
      <c r="V154" s="94"/>
      <c r="W154" s="95"/>
    </row>
    <row r="155" spans="1:23" ht="15.75" thickBot="1" x14ac:dyDescent="0.3">
      <c r="A155" s="117" t="s">
        <v>677</v>
      </c>
      <c r="B155" s="718" t="s">
        <v>260</v>
      </c>
      <c r="C155" s="719"/>
      <c r="D155" s="719"/>
      <c r="E155" s="158">
        <v>0</v>
      </c>
      <c r="F155" s="469">
        <v>0</v>
      </c>
      <c r="G155" s="488">
        <v>0</v>
      </c>
      <c r="H155" s="518">
        <v>0</v>
      </c>
      <c r="I155" s="245">
        <f t="shared" si="37"/>
        <v>17955827</v>
      </c>
      <c r="J155" s="154"/>
      <c r="K155" s="158">
        <f t="shared" si="32"/>
        <v>17955827</v>
      </c>
      <c r="L155" s="90"/>
      <c r="M155" s="91"/>
      <c r="N155" s="94"/>
      <c r="O155" s="94"/>
      <c r="P155" s="91"/>
      <c r="Q155" s="94">
        <f>107680+7070975</f>
        <v>7178655</v>
      </c>
      <c r="R155" s="94"/>
      <c r="S155" s="95"/>
      <c r="T155" s="341"/>
      <c r="U155" s="94"/>
      <c r="V155" s="94"/>
      <c r="W155" s="95">
        <v>10777172</v>
      </c>
    </row>
    <row r="156" spans="1:23" ht="15.75" thickBot="1" x14ac:dyDescent="0.3">
      <c r="A156" s="96" t="s">
        <v>261</v>
      </c>
      <c r="B156" s="632" t="s">
        <v>262</v>
      </c>
      <c r="C156" s="633"/>
      <c r="D156" s="633"/>
      <c r="E156" s="156">
        <v>0</v>
      </c>
      <c r="F156" s="338">
        <v>0</v>
      </c>
      <c r="G156" s="308">
        <v>0</v>
      </c>
      <c r="H156" s="506">
        <v>0</v>
      </c>
      <c r="I156" s="235">
        <f>I157+I158+I159+I160</f>
        <v>148590</v>
      </c>
      <c r="J156" s="144">
        <f>J157+J158+J159+J160</f>
        <v>0</v>
      </c>
      <c r="K156" s="156">
        <f t="shared" si="32"/>
        <v>148590</v>
      </c>
      <c r="L156" s="82">
        <f t="shared" ref="L156:W156" si="38">L157+L158+L159+L160</f>
        <v>0</v>
      </c>
      <c r="M156" s="83">
        <f t="shared" si="38"/>
        <v>0</v>
      </c>
      <c r="N156" s="86">
        <f t="shared" si="38"/>
        <v>0</v>
      </c>
      <c r="O156" s="86">
        <f t="shared" si="38"/>
        <v>0</v>
      </c>
      <c r="P156" s="83">
        <f t="shared" si="38"/>
        <v>0</v>
      </c>
      <c r="Q156" s="86">
        <f t="shared" si="38"/>
        <v>0</v>
      </c>
      <c r="R156" s="86">
        <f t="shared" si="38"/>
        <v>0</v>
      </c>
      <c r="S156" s="87">
        <f t="shared" si="38"/>
        <v>148590</v>
      </c>
      <c r="T156" s="338">
        <f t="shared" si="38"/>
        <v>0</v>
      </c>
      <c r="U156" s="86">
        <f t="shared" si="38"/>
        <v>0</v>
      </c>
      <c r="V156" s="86">
        <f t="shared" si="38"/>
        <v>0</v>
      </c>
      <c r="W156" s="87">
        <f t="shared" si="38"/>
        <v>0</v>
      </c>
    </row>
    <row r="157" spans="1:23" x14ac:dyDescent="0.25">
      <c r="A157" s="253" t="s">
        <v>678</v>
      </c>
      <c r="B157" s="720" t="s">
        <v>264</v>
      </c>
      <c r="C157" s="721"/>
      <c r="D157" s="721"/>
      <c r="E157" s="256">
        <v>0</v>
      </c>
      <c r="F157" s="381">
        <v>0</v>
      </c>
      <c r="G157" s="489">
        <v>0</v>
      </c>
      <c r="H157" s="519">
        <v>0</v>
      </c>
      <c r="I157" s="254">
        <f>SUM(O157:Z157)</f>
        <v>117000</v>
      </c>
      <c r="J157" s="255"/>
      <c r="K157" s="256">
        <f t="shared" si="32"/>
        <v>117000</v>
      </c>
      <c r="L157" s="257"/>
      <c r="M157" s="258"/>
      <c r="N157" s="259"/>
      <c r="O157" s="259"/>
      <c r="P157" s="258"/>
      <c r="Q157" s="259"/>
      <c r="R157" s="259"/>
      <c r="S157" s="44">
        <v>117000</v>
      </c>
      <c r="T157" s="343"/>
      <c r="U157" s="259"/>
      <c r="V157" s="78"/>
      <c r="W157" s="261"/>
    </row>
    <row r="158" spans="1:23" hidden="1" x14ac:dyDescent="0.25">
      <c r="A158" s="262" t="s">
        <v>679</v>
      </c>
      <c r="B158" s="712" t="s">
        <v>884</v>
      </c>
      <c r="C158" s="713"/>
      <c r="D158" s="713"/>
      <c r="E158" s="256">
        <v>0</v>
      </c>
      <c r="F158" s="346">
        <v>0</v>
      </c>
      <c r="G158" s="318">
        <v>0</v>
      </c>
      <c r="H158" s="517">
        <v>0</v>
      </c>
      <c r="I158" s="263">
        <f>SUM(O158:Z158)</f>
        <v>0</v>
      </c>
      <c r="J158" s="264"/>
      <c r="K158" s="256">
        <f t="shared" si="32"/>
        <v>0</v>
      </c>
      <c r="L158" s="257"/>
      <c r="M158" s="258"/>
      <c r="N158" s="259"/>
      <c r="O158" s="259"/>
      <c r="P158" s="258"/>
      <c r="Q158" s="259"/>
      <c r="R158" s="259"/>
      <c r="S158" s="44"/>
      <c r="T158" s="343"/>
      <c r="U158" s="259"/>
      <c r="V158" s="78"/>
      <c r="W158" s="261"/>
    </row>
    <row r="159" spans="1:23" hidden="1" x14ac:dyDescent="0.25">
      <c r="A159" s="262" t="s">
        <v>680</v>
      </c>
      <c r="B159" s="712" t="s">
        <v>267</v>
      </c>
      <c r="C159" s="713"/>
      <c r="D159" s="713"/>
      <c r="E159" s="256">
        <v>0</v>
      </c>
      <c r="F159" s="346">
        <v>0</v>
      </c>
      <c r="G159" s="318">
        <v>0</v>
      </c>
      <c r="H159" s="517">
        <v>0</v>
      </c>
      <c r="I159" s="263">
        <f>SUM(O159:Z159)</f>
        <v>0</v>
      </c>
      <c r="J159" s="264"/>
      <c r="K159" s="256">
        <f t="shared" si="32"/>
        <v>0</v>
      </c>
      <c r="L159" s="257"/>
      <c r="M159" s="258"/>
      <c r="N159" s="259"/>
      <c r="O159" s="259"/>
      <c r="P159" s="258"/>
      <c r="Q159" s="259"/>
      <c r="R159" s="259"/>
      <c r="S159" s="44"/>
      <c r="T159" s="343"/>
      <c r="U159" s="259"/>
      <c r="V159" s="78"/>
      <c r="W159" s="261"/>
    </row>
    <row r="160" spans="1:23" ht="15.75" thickBot="1" x14ac:dyDescent="0.3">
      <c r="A160" s="265" t="s">
        <v>681</v>
      </c>
      <c r="B160" s="714" t="s">
        <v>366</v>
      </c>
      <c r="C160" s="715"/>
      <c r="D160" s="715"/>
      <c r="E160" s="256">
        <v>0</v>
      </c>
      <c r="F160" s="470">
        <v>0</v>
      </c>
      <c r="G160" s="490">
        <v>0</v>
      </c>
      <c r="H160" s="520">
        <v>0</v>
      </c>
      <c r="I160" s="266">
        <f>SUM(O160:Z160)</f>
        <v>31590</v>
      </c>
      <c r="J160" s="267"/>
      <c r="K160" s="256">
        <f t="shared" si="32"/>
        <v>31590</v>
      </c>
      <c r="L160" s="257"/>
      <c r="M160" s="258"/>
      <c r="N160" s="259"/>
      <c r="O160" s="259"/>
      <c r="P160" s="258"/>
      <c r="Q160" s="259"/>
      <c r="R160" s="259"/>
      <c r="S160" s="44">
        <v>31590</v>
      </c>
      <c r="T160" s="343"/>
      <c r="U160" s="259"/>
      <c r="V160" s="78"/>
      <c r="W160" s="261"/>
    </row>
    <row r="161" spans="1:23" ht="15.75" thickBot="1" x14ac:dyDescent="0.3">
      <c r="A161" s="96" t="s">
        <v>269</v>
      </c>
      <c r="B161" s="632" t="s">
        <v>270</v>
      </c>
      <c r="C161" s="633"/>
      <c r="D161" s="633"/>
      <c r="E161" s="156">
        <v>0</v>
      </c>
      <c r="F161" s="338">
        <v>0</v>
      </c>
      <c r="G161" s="308">
        <v>0</v>
      </c>
      <c r="H161" s="506">
        <v>0</v>
      </c>
      <c r="I161" s="235">
        <f>I162+I163+I174+I185+I196+I199+I211+I212+I213</f>
        <v>0</v>
      </c>
      <c r="J161" s="144">
        <f>J162+J163+J174+J185+J196+J199+J211+J212+J213</f>
        <v>0</v>
      </c>
      <c r="K161" s="156">
        <f t="shared" si="32"/>
        <v>0</v>
      </c>
      <c r="L161" s="82">
        <f t="shared" ref="L161:W161" si="39">L162+L163+L174+L185+L196+L199+L211+L212+L213</f>
        <v>0</v>
      </c>
      <c r="M161" s="83">
        <f t="shared" si="39"/>
        <v>0</v>
      </c>
      <c r="N161" s="86">
        <f t="shared" si="39"/>
        <v>0</v>
      </c>
      <c r="O161" s="86">
        <f t="shared" si="39"/>
        <v>0</v>
      </c>
      <c r="P161" s="83">
        <f t="shared" si="39"/>
        <v>0</v>
      </c>
      <c r="Q161" s="86">
        <f t="shared" si="39"/>
        <v>0</v>
      </c>
      <c r="R161" s="86">
        <f t="shared" si="39"/>
        <v>0</v>
      </c>
      <c r="S161" s="87">
        <f t="shared" si="39"/>
        <v>0</v>
      </c>
      <c r="T161" s="338">
        <f t="shared" si="39"/>
        <v>0</v>
      </c>
      <c r="U161" s="86">
        <f t="shared" si="39"/>
        <v>0</v>
      </c>
      <c r="V161" s="86">
        <f t="shared" si="39"/>
        <v>0</v>
      </c>
      <c r="W161" s="87">
        <f t="shared" si="39"/>
        <v>0</v>
      </c>
    </row>
    <row r="162" spans="1:23" hidden="1" x14ac:dyDescent="0.25">
      <c r="A162" s="88" t="s">
        <v>682</v>
      </c>
      <c r="B162" s="646" t="s">
        <v>367</v>
      </c>
      <c r="C162" s="647"/>
      <c r="D162" s="647"/>
      <c r="E162" s="158">
        <v>0</v>
      </c>
      <c r="F162" s="341">
        <v>0</v>
      </c>
      <c r="G162" s="311">
        <v>0</v>
      </c>
      <c r="H162" s="509">
        <v>0</v>
      </c>
      <c r="I162" s="246">
        <f>SUM(O162:Z162)</f>
        <v>0</v>
      </c>
      <c r="J162" s="155"/>
      <c r="K162" s="158">
        <f t="shared" si="32"/>
        <v>0</v>
      </c>
      <c r="L162" s="90"/>
      <c r="M162" s="91"/>
      <c r="N162" s="94"/>
      <c r="O162" s="94"/>
      <c r="P162" s="91"/>
      <c r="Q162" s="94"/>
      <c r="R162" s="94"/>
      <c r="S162" s="95"/>
      <c r="T162" s="341"/>
      <c r="U162" s="94"/>
      <c r="V162" s="94"/>
      <c r="W162" s="95"/>
    </row>
    <row r="163" spans="1:23" hidden="1" x14ac:dyDescent="0.25">
      <c r="A163" s="88" t="s">
        <v>683</v>
      </c>
      <c r="B163" s="716" t="s">
        <v>811</v>
      </c>
      <c r="C163" s="717"/>
      <c r="D163" s="717"/>
      <c r="E163" s="158">
        <v>0</v>
      </c>
      <c r="F163" s="341">
        <v>0</v>
      </c>
      <c r="G163" s="311">
        <v>0</v>
      </c>
      <c r="H163" s="509">
        <v>0</v>
      </c>
      <c r="I163" s="246">
        <f>I164+I165+I166+I167+I168+I169+I170+I171+I172+I173</f>
        <v>0</v>
      </c>
      <c r="J163" s="155">
        <f>J164+J165+J166+J167+J168+J169+J170+J171+J172+J173</f>
        <v>0</v>
      </c>
      <c r="K163" s="158">
        <f t="shared" si="32"/>
        <v>0</v>
      </c>
      <c r="L163" s="90">
        <f t="shared" ref="L163:W163" si="40">L164+L165+L166+L167+L168+L169+L170+L171+L172+L173</f>
        <v>0</v>
      </c>
      <c r="M163" s="91">
        <f t="shared" si="40"/>
        <v>0</v>
      </c>
      <c r="N163" s="94">
        <f t="shared" si="40"/>
        <v>0</v>
      </c>
      <c r="O163" s="94">
        <f t="shared" si="40"/>
        <v>0</v>
      </c>
      <c r="P163" s="91">
        <f t="shared" si="40"/>
        <v>0</v>
      </c>
      <c r="Q163" s="94">
        <f t="shared" si="40"/>
        <v>0</v>
      </c>
      <c r="R163" s="94">
        <f t="shared" si="40"/>
        <v>0</v>
      </c>
      <c r="S163" s="95">
        <f t="shared" si="40"/>
        <v>0</v>
      </c>
      <c r="T163" s="341">
        <f t="shared" si="40"/>
        <v>0</v>
      </c>
      <c r="U163" s="94">
        <f t="shared" si="40"/>
        <v>0</v>
      </c>
      <c r="V163" s="94">
        <f t="shared" si="40"/>
        <v>0</v>
      </c>
      <c r="W163" s="95">
        <f t="shared" si="40"/>
        <v>0</v>
      </c>
    </row>
    <row r="164" spans="1:23" hidden="1" x14ac:dyDescent="0.25">
      <c r="A164" s="54"/>
      <c r="B164" s="2"/>
      <c r="C164" s="624" t="s">
        <v>812</v>
      </c>
      <c r="D164" s="624"/>
      <c r="E164" s="159">
        <v>0</v>
      </c>
      <c r="F164" s="343">
        <v>0</v>
      </c>
      <c r="G164" s="313">
        <v>0</v>
      </c>
      <c r="H164" s="513">
        <v>0</v>
      </c>
      <c r="I164" s="232">
        <f t="shared" ref="I164:I173" si="41">SUM(O164:Z164)</f>
        <v>0</v>
      </c>
      <c r="J164" s="141"/>
      <c r="K164" s="159">
        <f t="shared" si="32"/>
        <v>0</v>
      </c>
      <c r="L164" s="72"/>
      <c r="M164" s="1"/>
      <c r="N164" s="78"/>
      <c r="O164" s="78"/>
      <c r="P164" s="1"/>
      <c r="Q164" s="78"/>
      <c r="R164" s="78"/>
      <c r="S164" s="44"/>
      <c r="T164" s="343"/>
      <c r="U164" s="78"/>
      <c r="V164" s="78"/>
      <c r="W164" s="44"/>
    </row>
    <row r="165" spans="1:23" hidden="1" x14ac:dyDescent="0.25">
      <c r="A165" s="54"/>
      <c r="B165" s="2"/>
      <c r="C165" s="624" t="s">
        <v>813</v>
      </c>
      <c r="D165" s="624"/>
      <c r="E165" s="159">
        <v>0</v>
      </c>
      <c r="F165" s="343">
        <v>0</v>
      </c>
      <c r="G165" s="313">
        <v>0</v>
      </c>
      <c r="H165" s="513">
        <v>0</v>
      </c>
      <c r="I165" s="232">
        <f t="shared" si="41"/>
        <v>0</v>
      </c>
      <c r="J165" s="141"/>
      <c r="K165" s="159">
        <f t="shared" si="32"/>
        <v>0</v>
      </c>
      <c r="L165" s="72"/>
      <c r="M165" s="1"/>
      <c r="N165" s="78"/>
      <c r="O165" s="78"/>
      <c r="P165" s="1"/>
      <c r="Q165" s="78"/>
      <c r="R165" s="78"/>
      <c r="S165" s="44"/>
      <c r="T165" s="343"/>
      <c r="U165" s="78"/>
      <c r="V165" s="78"/>
      <c r="W165" s="44"/>
    </row>
    <row r="166" spans="1:23" hidden="1" x14ac:dyDescent="0.25">
      <c r="A166" s="54"/>
      <c r="B166" s="2"/>
      <c r="C166" s="624" t="s">
        <v>545</v>
      </c>
      <c r="D166" s="624"/>
      <c r="E166" s="159">
        <v>0</v>
      </c>
      <c r="F166" s="343">
        <v>0</v>
      </c>
      <c r="G166" s="313">
        <v>0</v>
      </c>
      <c r="H166" s="513">
        <v>0</v>
      </c>
      <c r="I166" s="232">
        <f t="shared" si="41"/>
        <v>0</v>
      </c>
      <c r="J166" s="141"/>
      <c r="K166" s="159">
        <f t="shared" si="32"/>
        <v>0</v>
      </c>
      <c r="L166" s="72"/>
      <c r="M166" s="1"/>
      <c r="N166" s="78"/>
      <c r="O166" s="78"/>
      <c r="P166" s="1"/>
      <c r="Q166" s="78"/>
      <c r="R166" s="78"/>
      <c r="S166" s="44"/>
      <c r="T166" s="343"/>
      <c r="U166" s="78"/>
      <c r="V166" s="78"/>
      <c r="W166" s="44"/>
    </row>
    <row r="167" spans="1:23" hidden="1" x14ac:dyDescent="0.25">
      <c r="A167" s="54"/>
      <c r="B167" s="2"/>
      <c r="C167" s="625" t="s">
        <v>548</v>
      </c>
      <c r="D167" s="625"/>
      <c r="E167" s="159">
        <v>0</v>
      </c>
      <c r="F167" s="343">
        <v>0</v>
      </c>
      <c r="G167" s="313">
        <v>0</v>
      </c>
      <c r="H167" s="513">
        <v>0</v>
      </c>
      <c r="I167" s="242">
        <f t="shared" si="41"/>
        <v>0</v>
      </c>
      <c r="J167" s="151"/>
      <c r="K167" s="159">
        <f t="shared" si="32"/>
        <v>0</v>
      </c>
      <c r="L167" s="72"/>
      <c r="M167" s="1"/>
      <c r="N167" s="78"/>
      <c r="O167" s="78"/>
      <c r="P167" s="1"/>
      <c r="Q167" s="78"/>
      <c r="R167" s="78"/>
      <c r="S167" s="44"/>
      <c r="T167" s="343"/>
      <c r="U167" s="78"/>
      <c r="V167" s="78"/>
      <c r="W167" s="44"/>
    </row>
    <row r="168" spans="1:23" hidden="1" x14ac:dyDescent="0.25">
      <c r="A168" s="54"/>
      <c r="B168" s="2"/>
      <c r="C168" s="624" t="s">
        <v>550</v>
      </c>
      <c r="D168" s="624"/>
      <c r="E168" s="159">
        <v>0</v>
      </c>
      <c r="F168" s="343">
        <v>0</v>
      </c>
      <c r="G168" s="313">
        <v>0</v>
      </c>
      <c r="H168" s="513">
        <v>0</v>
      </c>
      <c r="I168" s="232">
        <f t="shared" si="41"/>
        <v>0</v>
      </c>
      <c r="J168" s="141"/>
      <c r="K168" s="159">
        <f t="shared" si="32"/>
        <v>0</v>
      </c>
      <c r="L168" s="72"/>
      <c r="M168" s="1"/>
      <c r="N168" s="78"/>
      <c r="O168" s="78"/>
      <c r="P168" s="1"/>
      <c r="Q168" s="78"/>
      <c r="R168" s="78"/>
      <c r="S168" s="44"/>
      <c r="T168" s="343"/>
      <c r="U168" s="78"/>
      <c r="V168" s="78"/>
      <c r="W168" s="44"/>
    </row>
    <row r="169" spans="1:23" hidden="1" x14ac:dyDescent="0.25">
      <c r="A169" s="54"/>
      <c r="B169" s="2"/>
      <c r="C169" s="624" t="s">
        <v>551</v>
      </c>
      <c r="D169" s="624"/>
      <c r="E169" s="159">
        <v>0</v>
      </c>
      <c r="F169" s="343">
        <v>0</v>
      </c>
      <c r="G169" s="313">
        <v>0</v>
      </c>
      <c r="H169" s="513">
        <v>0</v>
      </c>
      <c r="I169" s="232">
        <f t="shared" si="41"/>
        <v>0</v>
      </c>
      <c r="J169" s="141"/>
      <c r="K169" s="159">
        <f t="shared" si="32"/>
        <v>0</v>
      </c>
      <c r="L169" s="72"/>
      <c r="M169" s="1"/>
      <c r="N169" s="78"/>
      <c r="O169" s="78"/>
      <c r="P169" s="1"/>
      <c r="Q169" s="78"/>
      <c r="R169" s="78"/>
      <c r="S169" s="44"/>
      <c r="T169" s="343"/>
      <c r="U169" s="78"/>
      <c r="V169" s="78"/>
      <c r="W169" s="44"/>
    </row>
    <row r="170" spans="1:23" hidden="1" x14ac:dyDescent="0.25">
      <c r="A170" s="54"/>
      <c r="B170" s="2"/>
      <c r="C170" s="625" t="s">
        <v>555</v>
      </c>
      <c r="D170" s="625"/>
      <c r="E170" s="159">
        <v>0</v>
      </c>
      <c r="F170" s="343">
        <v>0</v>
      </c>
      <c r="G170" s="313">
        <v>0</v>
      </c>
      <c r="H170" s="513">
        <v>0</v>
      </c>
      <c r="I170" s="242">
        <f t="shared" si="41"/>
        <v>0</v>
      </c>
      <c r="J170" s="151"/>
      <c r="K170" s="159">
        <f t="shared" si="32"/>
        <v>0</v>
      </c>
      <c r="L170" s="72"/>
      <c r="M170" s="1"/>
      <c r="N170" s="78"/>
      <c r="O170" s="78"/>
      <c r="P170" s="1"/>
      <c r="Q170" s="78"/>
      <c r="R170" s="78"/>
      <c r="S170" s="44"/>
      <c r="T170" s="343"/>
      <c r="U170" s="78"/>
      <c r="V170" s="78"/>
      <c r="W170" s="44"/>
    </row>
    <row r="171" spans="1:23" hidden="1" x14ac:dyDescent="0.25">
      <c r="A171" s="54"/>
      <c r="B171" s="2"/>
      <c r="C171" s="625" t="s">
        <v>558</v>
      </c>
      <c r="D171" s="625"/>
      <c r="E171" s="159">
        <v>0</v>
      </c>
      <c r="F171" s="343">
        <v>0</v>
      </c>
      <c r="G171" s="313">
        <v>0</v>
      </c>
      <c r="H171" s="513">
        <v>0</v>
      </c>
      <c r="I171" s="242">
        <f t="shared" si="41"/>
        <v>0</v>
      </c>
      <c r="J171" s="151"/>
      <c r="K171" s="159">
        <f t="shared" si="32"/>
        <v>0</v>
      </c>
      <c r="L171" s="72"/>
      <c r="M171" s="1"/>
      <c r="N171" s="78"/>
      <c r="O171" s="78"/>
      <c r="P171" s="1"/>
      <c r="Q171" s="78"/>
      <c r="R171" s="78"/>
      <c r="S171" s="44"/>
      <c r="T171" s="343"/>
      <c r="U171" s="78"/>
      <c r="V171" s="78"/>
      <c r="W171" s="44"/>
    </row>
    <row r="172" spans="1:23" hidden="1" x14ac:dyDescent="0.25">
      <c r="A172" s="54"/>
      <c r="B172" s="2"/>
      <c r="C172" s="625" t="s">
        <v>560</v>
      </c>
      <c r="D172" s="625"/>
      <c r="E172" s="159">
        <v>0</v>
      </c>
      <c r="F172" s="343">
        <v>0</v>
      </c>
      <c r="G172" s="313">
        <v>0</v>
      </c>
      <c r="H172" s="513">
        <v>0</v>
      </c>
      <c r="I172" s="242">
        <f t="shared" si="41"/>
        <v>0</v>
      </c>
      <c r="J172" s="151"/>
      <c r="K172" s="159">
        <f t="shared" si="32"/>
        <v>0</v>
      </c>
      <c r="L172" s="72"/>
      <c r="M172" s="1"/>
      <c r="N172" s="78"/>
      <c r="O172" s="78"/>
      <c r="P172" s="1"/>
      <c r="Q172" s="78"/>
      <c r="R172" s="78"/>
      <c r="S172" s="44"/>
      <c r="T172" s="343"/>
      <c r="U172" s="78"/>
      <c r="V172" s="78"/>
      <c r="W172" s="44"/>
    </row>
    <row r="173" spans="1:23" hidden="1" x14ac:dyDescent="0.25">
      <c r="A173" s="54"/>
      <c r="B173" s="2"/>
      <c r="C173" s="625" t="s">
        <v>563</v>
      </c>
      <c r="D173" s="625"/>
      <c r="E173" s="159">
        <v>0</v>
      </c>
      <c r="F173" s="343">
        <v>0</v>
      </c>
      <c r="G173" s="313">
        <v>0</v>
      </c>
      <c r="H173" s="513">
        <v>0</v>
      </c>
      <c r="I173" s="242">
        <f t="shared" si="41"/>
        <v>0</v>
      </c>
      <c r="J173" s="151"/>
      <c r="K173" s="159">
        <f t="shared" si="32"/>
        <v>0</v>
      </c>
      <c r="L173" s="72"/>
      <c r="M173" s="1"/>
      <c r="N173" s="78"/>
      <c r="O173" s="78"/>
      <c r="P173" s="1"/>
      <c r="Q173" s="78"/>
      <c r="R173" s="78"/>
      <c r="S173" s="44"/>
      <c r="T173" s="343"/>
      <c r="U173" s="78"/>
      <c r="V173" s="78"/>
      <c r="W173" s="44"/>
    </row>
    <row r="174" spans="1:23" hidden="1" x14ac:dyDescent="0.25">
      <c r="A174" s="88" t="s">
        <v>684</v>
      </c>
      <c r="B174" s="716" t="s">
        <v>605</v>
      </c>
      <c r="C174" s="717"/>
      <c r="D174" s="717"/>
      <c r="E174" s="158">
        <v>0</v>
      </c>
      <c r="F174" s="341">
        <v>0</v>
      </c>
      <c r="G174" s="311">
        <v>0</v>
      </c>
      <c r="H174" s="509">
        <v>0</v>
      </c>
      <c r="I174" s="246">
        <f>I175+I176+I177+I178+I179+I180+I181+I182+I183+I184</f>
        <v>0</v>
      </c>
      <c r="J174" s="155">
        <f>J175+J176+J177+J178+J179+J180+J181+J182+J183+J184</f>
        <v>0</v>
      </c>
      <c r="K174" s="158">
        <f t="shared" si="32"/>
        <v>0</v>
      </c>
      <c r="L174" s="90">
        <f t="shared" ref="L174:W174" si="42">L175+L176+L177+L178+L179+L180+L181+L182+L183+L184</f>
        <v>0</v>
      </c>
      <c r="M174" s="91">
        <f t="shared" si="42"/>
        <v>0</v>
      </c>
      <c r="N174" s="94">
        <f t="shared" si="42"/>
        <v>0</v>
      </c>
      <c r="O174" s="94">
        <f t="shared" si="42"/>
        <v>0</v>
      </c>
      <c r="P174" s="91">
        <f t="shared" si="42"/>
        <v>0</v>
      </c>
      <c r="Q174" s="94">
        <f t="shared" si="42"/>
        <v>0</v>
      </c>
      <c r="R174" s="94">
        <f t="shared" si="42"/>
        <v>0</v>
      </c>
      <c r="S174" s="95">
        <f t="shared" si="42"/>
        <v>0</v>
      </c>
      <c r="T174" s="341">
        <f t="shared" si="42"/>
        <v>0</v>
      </c>
      <c r="U174" s="94">
        <f t="shared" si="42"/>
        <v>0</v>
      </c>
      <c r="V174" s="94">
        <f t="shared" si="42"/>
        <v>0</v>
      </c>
      <c r="W174" s="95">
        <f t="shared" si="42"/>
        <v>0</v>
      </c>
    </row>
    <row r="175" spans="1:23" hidden="1" x14ac:dyDescent="0.25">
      <c r="A175" s="54"/>
      <c r="B175" s="2"/>
      <c r="C175" s="624" t="s">
        <v>814</v>
      </c>
      <c r="D175" s="624"/>
      <c r="E175" s="159">
        <v>0</v>
      </c>
      <c r="F175" s="343">
        <v>0</v>
      </c>
      <c r="G175" s="313">
        <v>0</v>
      </c>
      <c r="H175" s="513">
        <v>0</v>
      </c>
      <c r="I175" s="232">
        <f t="shared" ref="I175:I184" si="43">SUM(O175:Z175)</f>
        <v>0</v>
      </c>
      <c r="J175" s="141"/>
      <c r="K175" s="159">
        <f t="shared" si="32"/>
        <v>0</v>
      </c>
      <c r="L175" s="72"/>
      <c r="M175" s="1"/>
      <c r="N175" s="78"/>
      <c r="O175" s="78"/>
      <c r="P175" s="1"/>
      <c r="Q175" s="78"/>
      <c r="R175" s="78"/>
      <c r="S175" s="44"/>
      <c r="T175" s="343"/>
      <c r="U175" s="78"/>
      <c r="V175" s="78"/>
      <c r="W175" s="44"/>
    </row>
    <row r="176" spans="1:23" hidden="1" x14ac:dyDescent="0.25">
      <c r="A176" s="54"/>
      <c r="B176" s="2"/>
      <c r="C176" s="624" t="s">
        <v>815</v>
      </c>
      <c r="D176" s="624"/>
      <c r="E176" s="159">
        <v>0</v>
      </c>
      <c r="F176" s="343">
        <v>0</v>
      </c>
      <c r="G176" s="313">
        <v>0</v>
      </c>
      <c r="H176" s="513">
        <v>0</v>
      </c>
      <c r="I176" s="232">
        <f t="shared" si="43"/>
        <v>0</v>
      </c>
      <c r="J176" s="141"/>
      <c r="K176" s="159">
        <f t="shared" si="32"/>
        <v>0</v>
      </c>
      <c r="L176" s="72"/>
      <c r="M176" s="1"/>
      <c r="N176" s="78"/>
      <c r="O176" s="78"/>
      <c r="P176" s="1"/>
      <c r="Q176" s="78"/>
      <c r="R176" s="78"/>
      <c r="S176" s="44"/>
      <c r="T176" s="343"/>
      <c r="U176" s="78"/>
      <c r="V176" s="78"/>
      <c r="W176" s="44"/>
    </row>
    <row r="177" spans="1:23" hidden="1" x14ac:dyDescent="0.25">
      <c r="A177" s="54"/>
      <c r="B177" s="2"/>
      <c r="C177" s="624" t="s">
        <v>546</v>
      </c>
      <c r="D177" s="624"/>
      <c r="E177" s="159">
        <v>0</v>
      </c>
      <c r="F177" s="343">
        <v>0</v>
      </c>
      <c r="G177" s="313">
        <v>0</v>
      </c>
      <c r="H177" s="513">
        <v>0</v>
      </c>
      <c r="I177" s="232">
        <f t="shared" si="43"/>
        <v>0</v>
      </c>
      <c r="J177" s="141"/>
      <c r="K177" s="159">
        <f t="shared" si="32"/>
        <v>0</v>
      </c>
      <c r="L177" s="72"/>
      <c r="M177" s="1"/>
      <c r="N177" s="78"/>
      <c r="O177" s="78"/>
      <c r="P177" s="1"/>
      <c r="Q177" s="78"/>
      <c r="R177" s="78"/>
      <c r="S177" s="44"/>
      <c r="T177" s="343"/>
      <c r="U177" s="78"/>
      <c r="V177" s="78"/>
      <c r="W177" s="44"/>
    </row>
    <row r="178" spans="1:23" hidden="1" x14ac:dyDescent="0.25">
      <c r="A178" s="54"/>
      <c r="B178" s="2"/>
      <c r="C178" s="625" t="s">
        <v>549</v>
      </c>
      <c r="D178" s="625"/>
      <c r="E178" s="159">
        <v>0</v>
      </c>
      <c r="F178" s="343">
        <v>0</v>
      </c>
      <c r="G178" s="313">
        <v>0</v>
      </c>
      <c r="H178" s="513">
        <v>0</v>
      </c>
      <c r="I178" s="242">
        <f t="shared" si="43"/>
        <v>0</v>
      </c>
      <c r="J178" s="151"/>
      <c r="K178" s="159">
        <f t="shared" si="32"/>
        <v>0</v>
      </c>
      <c r="L178" s="72"/>
      <c r="M178" s="1"/>
      <c r="N178" s="78"/>
      <c r="O178" s="78"/>
      <c r="P178" s="1"/>
      <c r="Q178" s="78"/>
      <c r="R178" s="78"/>
      <c r="S178" s="44"/>
      <c r="T178" s="343"/>
      <c r="U178" s="78"/>
      <c r="V178" s="78"/>
      <c r="W178" s="44"/>
    </row>
    <row r="179" spans="1:23" hidden="1" x14ac:dyDescent="0.25">
      <c r="A179" s="54"/>
      <c r="B179" s="2"/>
      <c r="C179" s="624" t="s">
        <v>552</v>
      </c>
      <c r="D179" s="624"/>
      <c r="E179" s="159">
        <v>0</v>
      </c>
      <c r="F179" s="343">
        <v>0</v>
      </c>
      <c r="G179" s="313">
        <v>0</v>
      </c>
      <c r="H179" s="513">
        <v>0</v>
      </c>
      <c r="I179" s="232">
        <f t="shared" si="43"/>
        <v>0</v>
      </c>
      <c r="J179" s="141"/>
      <c r="K179" s="159">
        <f t="shared" si="32"/>
        <v>0</v>
      </c>
      <c r="L179" s="72"/>
      <c r="M179" s="1"/>
      <c r="N179" s="78"/>
      <c r="O179" s="78"/>
      <c r="P179" s="1"/>
      <c r="Q179" s="78"/>
      <c r="R179" s="78"/>
      <c r="S179" s="44"/>
      <c r="T179" s="343"/>
      <c r="U179" s="78"/>
      <c r="V179" s="78"/>
      <c r="W179" s="44"/>
    </row>
    <row r="180" spans="1:23" hidden="1" x14ac:dyDescent="0.25">
      <c r="A180" s="54"/>
      <c r="B180" s="2"/>
      <c r="C180" s="624" t="s">
        <v>816</v>
      </c>
      <c r="D180" s="624"/>
      <c r="E180" s="159">
        <v>0</v>
      </c>
      <c r="F180" s="343">
        <v>0</v>
      </c>
      <c r="G180" s="313">
        <v>0</v>
      </c>
      <c r="H180" s="513">
        <v>0</v>
      </c>
      <c r="I180" s="232">
        <f t="shared" si="43"/>
        <v>0</v>
      </c>
      <c r="J180" s="141"/>
      <c r="K180" s="159">
        <f t="shared" si="32"/>
        <v>0</v>
      </c>
      <c r="L180" s="72"/>
      <c r="M180" s="1"/>
      <c r="N180" s="78"/>
      <c r="O180" s="78"/>
      <c r="P180" s="1"/>
      <c r="Q180" s="78"/>
      <c r="R180" s="78"/>
      <c r="S180" s="44"/>
      <c r="T180" s="343"/>
      <c r="U180" s="78"/>
      <c r="V180" s="78"/>
      <c r="W180" s="44"/>
    </row>
    <row r="181" spans="1:23" hidden="1" x14ac:dyDescent="0.25">
      <c r="A181" s="54"/>
      <c r="B181" s="2"/>
      <c r="C181" s="625" t="s">
        <v>556</v>
      </c>
      <c r="D181" s="625"/>
      <c r="E181" s="159">
        <v>0</v>
      </c>
      <c r="F181" s="343">
        <v>0</v>
      </c>
      <c r="G181" s="313">
        <v>0</v>
      </c>
      <c r="H181" s="513">
        <v>0</v>
      </c>
      <c r="I181" s="242">
        <f t="shared" si="43"/>
        <v>0</v>
      </c>
      <c r="J181" s="151"/>
      <c r="K181" s="159">
        <f t="shared" si="32"/>
        <v>0</v>
      </c>
      <c r="L181" s="72"/>
      <c r="M181" s="1"/>
      <c r="N181" s="78"/>
      <c r="O181" s="78"/>
      <c r="P181" s="1"/>
      <c r="Q181" s="78"/>
      <c r="R181" s="78"/>
      <c r="S181" s="44"/>
      <c r="T181" s="343"/>
      <c r="U181" s="78"/>
      <c r="V181" s="78"/>
      <c r="W181" s="44"/>
    </row>
    <row r="182" spans="1:23" hidden="1" x14ac:dyDescent="0.25">
      <c r="A182" s="54"/>
      <c r="B182" s="2"/>
      <c r="C182" s="625" t="s">
        <v>559</v>
      </c>
      <c r="D182" s="625"/>
      <c r="E182" s="159">
        <v>0</v>
      </c>
      <c r="F182" s="343">
        <v>0</v>
      </c>
      <c r="G182" s="313">
        <v>0</v>
      </c>
      <c r="H182" s="513">
        <v>0</v>
      </c>
      <c r="I182" s="242">
        <f t="shared" si="43"/>
        <v>0</v>
      </c>
      <c r="J182" s="151"/>
      <c r="K182" s="159">
        <f t="shared" si="32"/>
        <v>0</v>
      </c>
      <c r="L182" s="72"/>
      <c r="M182" s="1"/>
      <c r="N182" s="78"/>
      <c r="O182" s="78"/>
      <c r="P182" s="1"/>
      <c r="Q182" s="78"/>
      <c r="R182" s="78"/>
      <c r="S182" s="44"/>
      <c r="T182" s="343"/>
      <c r="U182" s="78"/>
      <c r="V182" s="78"/>
      <c r="W182" s="44"/>
    </row>
    <row r="183" spans="1:23" hidden="1" x14ac:dyDescent="0.25">
      <c r="A183" s="54"/>
      <c r="B183" s="2"/>
      <c r="C183" s="625" t="s">
        <v>561</v>
      </c>
      <c r="D183" s="625"/>
      <c r="E183" s="159">
        <v>0</v>
      </c>
      <c r="F183" s="343">
        <v>0</v>
      </c>
      <c r="G183" s="313">
        <v>0</v>
      </c>
      <c r="H183" s="513">
        <v>0</v>
      </c>
      <c r="I183" s="242">
        <f t="shared" si="43"/>
        <v>0</v>
      </c>
      <c r="J183" s="151"/>
      <c r="K183" s="159">
        <f t="shared" si="32"/>
        <v>0</v>
      </c>
      <c r="L183" s="72"/>
      <c r="M183" s="1"/>
      <c r="N183" s="78"/>
      <c r="O183" s="78"/>
      <c r="P183" s="1"/>
      <c r="Q183" s="78"/>
      <c r="R183" s="78"/>
      <c r="S183" s="44"/>
      <c r="T183" s="343"/>
      <c r="U183" s="78"/>
      <c r="V183" s="78"/>
      <c r="W183" s="44"/>
    </row>
    <row r="184" spans="1:23" hidden="1" x14ac:dyDescent="0.25">
      <c r="A184" s="54"/>
      <c r="B184" s="2"/>
      <c r="C184" s="625" t="s">
        <v>564</v>
      </c>
      <c r="D184" s="625"/>
      <c r="E184" s="159">
        <v>0</v>
      </c>
      <c r="F184" s="343">
        <v>0</v>
      </c>
      <c r="G184" s="313">
        <v>0</v>
      </c>
      <c r="H184" s="513">
        <v>0</v>
      </c>
      <c r="I184" s="242">
        <f t="shared" si="43"/>
        <v>0</v>
      </c>
      <c r="J184" s="151"/>
      <c r="K184" s="159">
        <f t="shared" si="32"/>
        <v>0</v>
      </c>
      <c r="L184" s="72"/>
      <c r="M184" s="1"/>
      <c r="N184" s="78"/>
      <c r="O184" s="78"/>
      <c r="P184" s="1"/>
      <c r="Q184" s="78"/>
      <c r="R184" s="78"/>
      <c r="S184" s="44"/>
      <c r="T184" s="343"/>
      <c r="U184" s="78"/>
      <c r="V184" s="78"/>
      <c r="W184" s="44"/>
    </row>
    <row r="185" spans="1:23" hidden="1" x14ac:dyDescent="0.25">
      <c r="A185" s="88" t="s">
        <v>685</v>
      </c>
      <c r="B185" s="626" t="s">
        <v>275</v>
      </c>
      <c r="C185" s="627"/>
      <c r="D185" s="627"/>
      <c r="E185" s="158">
        <v>0</v>
      </c>
      <c r="F185" s="341">
        <v>0</v>
      </c>
      <c r="G185" s="311">
        <v>0</v>
      </c>
      <c r="H185" s="509">
        <v>0</v>
      </c>
      <c r="I185" s="233">
        <f>I186+I187+I188+I189+I190+I191+I192+I193+I194+I195</f>
        <v>0</v>
      </c>
      <c r="J185" s="142">
        <f>J186+J187+J188+J189+J190+J191+J192+J193+J194+J195</f>
        <v>0</v>
      </c>
      <c r="K185" s="158">
        <f t="shared" si="32"/>
        <v>0</v>
      </c>
      <c r="L185" s="90">
        <f t="shared" ref="L185:W185" si="44">L186+L187+L188+L189+L190+L191+L192+L193+L194+L195</f>
        <v>0</v>
      </c>
      <c r="M185" s="91">
        <f t="shared" si="44"/>
        <v>0</v>
      </c>
      <c r="N185" s="94">
        <f t="shared" si="44"/>
        <v>0</v>
      </c>
      <c r="O185" s="94">
        <f t="shared" si="44"/>
        <v>0</v>
      </c>
      <c r="P185" s="91">
        <f t="shared" si="44"/>
        <v>0</v>
      </c>
      <c r="Q185" s="94">
        <f t="shared" si="44"/>
        <v>0</v>
      </c>
      <c r="R185" s="94">
        <f t="shared" si="44"/>
        <v>0</v>
      </c>
      <c r="S185" s="95">
        <f t="shared" si="44"/>
        <v>0</v>
      </c>
      <c r="T185" s="341">
        <f t="shared" si="44"/>
        <v>0</v>
      </c>
      <c r="U185" s="94">
        <f t="shared" si="44"/>
        <v>0</v>
      </c>
      <c r="V185" s="94">
        <f t="shared" si="44"/>
        <v>0</v>
      </c>
      <c r="W185" s="95">
        <f t="shared" si="44"/>
        <v>0</v>
      </c>
    </row>
    <row r="186" spans="1:23" hidden="1" x14ac:dyDescent="0.25">
      <c r="A186" s="54"/>
      <c r="B186" s="2"/>
      <c r="C186" s="624" t="s">
        <v>371</v>
      </c>
      <c r="D186" s="624"/>
      <c r="E186" s="159">
        <v>0</v>
      </c>
      <c r="F186" s="343">
        <v>0</v>
      </c>
      <c r="G186" s="313">
        <v>0</v>
      </c>
      <c r="H186" s="513">
        <v>0</v>
      </c>
      <c r="I186" s="232">
        <f t="shared" ref="I186:I195" si="45">SUM(O186:Z186)</f>
        <v>0</v>
      </c>
      <c r="J186" s="141"/>
      <c r="K186" s="159">
        <f t="shared" si="32"/>
        <v>0</v>
      </c>
      <c r="L186" s="72"/>
      <c r="M186" s="1"/>
      <c r="N186" s="78"/>
      <c r="O186" s="78"/>
      <c r="P186" s="1"/>
      <c r="Q186" s="78"/>
      <c r="R186" s="78"/>
      <c r="S186" s="44"/>
      <c r="T186" s="343"/>
      <c r="U186" s="78"/>
      <c r="V186" s="78"/>
      <c r="W186" s="44"/>
    </row>
    <row r="187" spans="1:23" hidden="1" x14ac:dyDescent="0.25">
      <c r="A187" s="54"/>
      <c r="B187" s="2"/>
      <c r="C187" s="624" t="s">
        <v>544</v>
      </c>
      <c r="D187" s="624"/>
      <c r="E187" s="159">
        <v>0</v>
      </c>
      <c r="F187" s="343">
        <v>0</v>
      </c>
      <c r="G187" s="313">
        <v>0</v>
      </c>
      <c r="H187" s="513">
        <v>0</v>
      </c>
      <c r="I187" s="232">
        <f t="shared" si="45"/>
        <v>0</v>
      </c>
      <c r="J187" s="141"/>
      <c r="K187" s="159">
        <f t="shared" si="32"/>
        <v>0</v>
      </c>
      <c r="L187" s="72"/>
      <c r="M187" s="1"/>
      <c r="N187" s="78"/>
      <c r="O187" s="78"/>
      <c r="P187" s="1"/>
      <c r="Q187" s="78"/>
      <c r="R187" s="78"/>
      <c r="S187" s="44"/>
      <c r="T187" s="343"/>
      <c r="U187" s="78"/>
      <c r="V187" s="78"/>
      <c r="W187" s="44"/>
    </row>
    <row r="188" spans="1:23" hidden="1" x14ac:dyDescent="0.25">
      <c r="A188" s="54"/>
      <c r="B188" s="2"/>
      <c r="C188" s="624" t="s">
        <v>547</v>
      </c>
      <c r="D188" s="624"/>
      <c r="E188" s="159">
        <v>0</v>
      </c>
      <c r="F188" s="343">
        <v>0</v>
      </c>
      <c r="G188" s="313">
        <v>0</v>
      </c>
      <c r="H188" s="513">
        <v>0</v>
      </c>
      <c r="I188" s="232">
        <f t="shared" si="45"/>
        <v>0</v>
      </c>
      <c r="J188" s="141"/>
      <c r="K188" s="159">
        <f t="shared" si="32"/>
        <v>0</v>
      </c>
      <c r="L188" s="72"/>
      <c r="M188" s="1"/>
      <c r="N188" s="78"/>
      <c r="O188" s="78"/>
      <c r="P188" s="1"/>
      <c r="Q188" s="78"/>
      <c r="R188" s="78"/>
      <c r="S188" s="44"/>
      <c r="T188" s="343"/>
      <c r="U188" s="78"/>
      <c r="V188" s="78"/>
      <c r="W188" s="44"/>
    </row>
    <row r="189" spans="1:23" hidden="1" x14ac:dyDescent="0.25">
      <c r="A189" s="54"/>
      <c r="B189" s="2"/>
      <c r="C189" s="625" t="s">
        <v>817</v>
      </c>
      <c r="D189" s="625"/>
      <c r="E189" s="159">
        <v>0</v>
      </c>
      <c r="F189" s="343">
        <v>0</v>
      </c>
      <c r="G189" s="313">
        <v>0</v>
      </c>
      <c r="H189" s="513">
        <v>0</v>
      </c>
      <c r="I189" s="242">
        <f t="shared" si="45"/>
        <v>0</v>
      </c>
      <c r="J189" s="151"/>
      <c r="K189" s="159">
        <f t="shared" si="32"/>
        <v>0</v>
      </c>
      <c r="L189" s="72"/>
      <c r="M189" s="1"/>
      <c r="N189" s="78"/>
      <c r="O189" s="78"/>
      <c r="P189" s="1"/>
      <c r="Q189" s="78"/>
      <c r="R189" s="78"/>
      <c r="S189" s="44"/>
      <c r="T189" s="343"/>
      <c r="U189" s="78"/>
      <c r="V189" s="78"/>
      <c r="W189" s="44"/>
    </row>
    <row r="190" spans="1:23" hidden="1" x14ac:dyDescent="0.25">
      <c r="A190" s="54"/>
      <c r="B190" s="2"/>
      <c r="C190" s="624" t="s">
        <v>554</v>
      </c>
      <c r="D190" s="624"/>
      <c r="E190" s="159">
        <v>0</v>
      </c>
      <c r="F190" s="343">
        <v>0</v>
      </c>
      <c r="G190" s="313">
        <v>0</v>
      </c>
      <c r="H190" s="513">
        <v>0</v>
      </c>
      <c r="I190" s="232">
        <f t="shared" si="45"/>
        <v>0</v>
      </c>
      <c r="J190" s="141"/>
      <c r="K190" s="159">
        <f t="shared" si="32"/>
        <v>0</v>
      </c>
      <c r="L190" s="72"/>
      <c r="M190" s="1"/>
      <c r="N190" s="78"/>
      <c r="O190" s="78"/>
      <c r="P190" s="1"/>
      <c r="Q190" s="78"/>
      <c r="R190" s="78"/>
      <c r="S190" s="44"/>
      <c r="T190" s="343"/>
      <c r="U190" s="78"/>
      <c r="V190" s="78"/>
      <c r="W190" s="44"/>
    </row>
    <row r="191" spans="1:23" hidden="1" x14ac:dyDescent="0.25">
      <c r="A191" s="54"/>
      <c r="B191" s="2"/>
      <c r="C191" s="624" t="s">
        <v>553</v>
      </c>
      <c r="D191" s="624"/>
      <c r="E191" s="159">
        <v>0</v>
      </c>
      <c r="F191" s="343">
        <v>0</v>
      </c>
      <c r="G191" s="313">
        <v>0</v>
      </c>
      <c r="H191" s="513">
        <v>0</v>
      </c>
      <c r="I191" s="232">
        <f t="shared" si="45"/>
        <v>0</v>
      </c>
      <c r="J191" s="141"/>
      <c r="K191" s="159">
        <f t="shared" si="32"/>
        <v>0</v>
      </c>
      <c r="L191" s="72"/>
      <c r="M191" s="1"/>
      <c r="N191" s="78"/>
      <c r="O191" s="78"/>
      <c r="P191" s="1"/>
      <c r="Q191" s="78"/>
      <c r="R191" s="78"/>
      <c r="S191" s="44"/>
      <c r="T191" s="343"/>
      <c r="U191" s="78"/>
      <c r="V191" s="78"/>
      <c r="W191" s="44"/>
    </row>
    <row r="192" spans="1:23" hidden="1" x14ac:dyDescent="0.25">
      <c r="A192" s="54"/>
      <c r="B192" s="2"/>
      <c r="C192" s="625" t="s">
        <v>557</v>
      </c>
      <c r="D192" s="625"/>
      <c r="E192" s="159">
        <v>0</v>
      </c>
      <c r="F192" s="343">
        <v>0</v>
      </c>
      <c r="G192" s="313">
        <v>0</v>
      </c>
      <c r="H192" s="513">
        <v>0</v>
      </c>
      <c r="I192" s="242">
        <f t="shared" si="45"/>
        <v>0</v>
      </c>
      <c r="J192" s="151"/>
      <c r="K192" s="159">
        <f t="shared" si="32"/>
        <v>0</v>
      </c>
      <c r="L192" s="72"/>
      <c r="M192" s="1"/>
      <c r="N192" s="78"/>
      <c r="O192" s="78"/>
      <c r="P192" s="1"/>
      <c r="Q192" s="78"/>
      <c r="R192" s="78"/>
      <c r="S192" s="44"/>
      <c r="T192" s="343"/>
      <c r="U192" s="78"/>
      <c r="V192" s="78"/>
      <c r="W192" s="44"/>
    </row>
    <row r="193" spans="1:23" hidden="1" x14ac:dyDescent="0.25">
      <c r="A193" s="54"/>
      <c r="B193" s="2"/>
      <c r="C193" s="624" t="s">
        <v>818</v>
      </c>
      <c r="D193" s="624"/>
      <c r="E193" s="159">
        <v>0</v>
      </c>
      <c r="F193" s="343">
        <v>0</v>
      </c>
      <c r="G193" s="313">
        <v>0</v>
      </c>
      <c r="H193" s="513">
        <v>0</v>
      </c>
      <c r="I193" s="232">
        <f t="shared" si="45"/>
        <v>0</v>
      </c>
      <c r="J193" s="141"/>
      <c r="K193" s="159">
        <f t="shared" si="32"/>
        <v>0</v>
      </c>
      <c r="L193" s="72"/>
      <c r="M193" s="1"/>
      <c r="N193" s="78"/>
      <c r="O193" s="78"/>
      <c r="P193" s="1"/>
      <c r="Q193" s="78"/>
      <c r="R193" s="78"/>
      <c r="S193" s="44"/>
      <c r="T193" s="343"/>
      <c r="U193" s="78"/>
      <c r="V193" s="78"/>
      <c r="W193" s="44"/>
    </row>
    <row r="194" spans="1:23" hidden="1" x14ac:dyDescent="0.25">
      <c r="A194" s="54"/>
      <c r="B194" s="2"/>
      <c r="C194" s="625" t="s">
        <v>562</v>
      </c>
      <c r="D194" s="625"/>
      <c r="E194" s="159">
        <v>0</v>
      </c>
      <c r="F194" s="343">
        <v>0</v>
      </c>
      <c r="G194" s="313">
        <v>0</v>
      </c>
      <c r="H194" s="513">
        <v>0</v>
      </c>
      <c r="I194" s="242">
        <f t="shared" si="45"/>
        <v>0</v>
      </c>
      <c r="J194" s="151"/>
      <c r="K194" s="159">
        <f t="shared" si="32"/>
        <v>0</v>
      </c>
      <c r="L194" s="72"/>
      <c r="M194" s="1"/>
      <c r="N194" s="78"/>
      <c r="O194" s="78"/>
      <c r="P194" s="1"/>
      <c r="Q194" s="78"/>
      <c r="R194" s="78"/>
      <c r="S194" s="44"/>
      <c r="T194" s="343"/>
      <c r="U194" s="78"/>
      <c r="V194" s="78"/>
      <c r="W194" s="44"/>
    </row>
    <row r="195" spans="1:23" hidden="1" x14ac:dyDescent="0.25">
      <c r="A195" s="54"/>
      <c r="B195" s="2"/>
      <c r="C195" s="625" t="s">
        <v>565</v>
      </c>
      <c r="D195" s="625"/>
      <c r="E195" s="159">
        <v>0</v>
      </c>
      <c r="F195" s="343">
        <v>0</v>
      </c>
      <c r="G195" s="313">
        <v>0</v>
      </c>
      <c r="H195" s="513">
        <v>0</v>
      </c>
      <c r="I195" s="242">
        <f t="shared" si="45"/>
        <v>0</v>
      </c>
      <c r="J195" s="151"/>
      <c r="K195" s="159">
        <f t="shared" si="32"/>
        <v>0</v>
      </c>
      <c r="L195" s="72"/>
      <c r="M195" s="1"/>
      <c r="N195" s="78"/>
      <c r="O195" s="78"/>
      <c r="P195" s="1"/>
      <c r="Q195" s="78"/>
      <c r="R195" s="78"/>
      <c r="S195" s="44"/>
      <c r="T195" s="343"/>
      <c r="U195" s="78"/>
      <c r="V195" s="78"/>
      <c r="W195" s="44"/>
    </row>
    <row r="196" spans="1:23" hidden="1" x14ac:dyDescent="0.25">
      <c r="A196" s="88" t="s">
        <v>686</v>
      </c>
      <c r="B196" s="716" t="s">
        <v>606</v>
      </c>
      <c r="C196" s="717"/>
      <c r="D196" s="717"/>
      <c r="E196" s="158">
        <v>0</v>
      </c>
      <c r="F196" s="341">
        <v>0</v>
      </c>
      <c r="G196" s="311">
        <v>0</v>
      </c>
      <c r="H196" s="509">
        <v>0</v>
      </c>
      <c r="I196" s="246">
        <f>I197+I198</f>
        <v>0</v>
      </c>
      <c r="J196" s="155">
        <f>J197+J198</f>
        <v>0</v>
      </c>
      <c r="K196" s="158">
        <f t="shared" si="32"/>
        <v>0</v>
      </c>
      <c r="L196" s="90">
        <f t="shared" ref="L196:W196" si="46">L197+L198</f>
        <v>0</v>
      </c>
      <c r="M196" s="91">
        <f t="shared" si="46"/>
        <v>0</v>
      </c>
      <c r="N196" s="94">
        <f t="shared" si="46"/>
        <v>0</v>
      </c>
      <c r="O196" s="94">
        <f t="shared" si="46"/>
        <v>0</v>
      </c>
      <c r="P196" s="91">
        <f t="shared" si="46"/>
        <v>0</v>
      </c>
      <c r="Q196" s="94">
        <f t="shared" si="46"/>
        <v>0</v>
      </c>
      <c r="R196" s="94">
        <f t="shared" si="46"/>
        <v>0</v>
      </c>
      <c r="S196" s="95">
        <f t="shared" si="46"/>
        <v>0</v>
      </c>
      <c r="T196" s="341">
        <f t="shared" si="46"/>
        <v>0</v>
      </c>
      <c r="U196" s="94">
        <f t="shared" si="46"/>
        <v>0</v>
      </c>
      <c r="V196" s="94">
        <f t="shared" si="46"/>
        <v>0</v>
      </c>
      <c r="W196" s="95">
        <f t="shared" si="46"/>
        <v>0</v>
      </c>
    </row>
    <row r="197" spans="1:23" hidden="1" x14ac:dyDescent="0.25">
      <c r="A197" s="54"/>
      <c r="B197" s="2"/>
      <c r="C197" s="625" t="s">
        <v>568</v>
      </c>
      <c r="D197" s="625"/>
      <c r="E197" s="159">
        <v>0</v>
      </c>
      <c r="F197" s="343">
        <v>0</v>
      </c>
      <c r="G197" s="313">
        <v>0</v>
      </c>
      <c r="H197" s="513">
        <v>0</v>
      </c>
      <c r="I197" s="242">
        <f>SUM(O197:Z197)</f>
        <v>0</v>
      </c>
      <c r="J197" s="151"/>
      <c r="K197" s="159">
        <f t="shared" ref="K197:K254" si="47">SUM(I197:J197)</f>
        <v>0</v>
      </c>
      <c r="L197" s="72"/>
      <c r="M197" s="1"/>
      <c r="N197" s="78"/>
      <c r="O197" s="78"/>
      <c r="P197" s="1"/>
      <c r="Q197" s="78"/>
      <c r="R197" s="78"/>
      <c r="S197" s="44"/>
      <c r="T197" s="343"/>
      <c r="U197" s="78"/>
      <c r="V197" s="78"/>
      <c r="W197" s="44"/>
    </row>
    <row r="198" spans="1:23" hidden="1" x14ac:dyDescent="0.25">
      <c r="A198" s="54"/>
      <c r="B198" s="2"/>
      <c r="C198" s="625" t="s">
        <v>569</v>
      </c>
      <c r="D198" s="625"/>
      <c r="E198" s="159">
        <v>0</v>
      </c>
      <c r="F198" s="343">
        <v>0</v>
      </c>
      <c r="G198" s="313">
        <v>0</v>
      </c>
      <c r="H198" s="513">
        <v>0</v>
      </c>
      <c r="I198" s="242">
        <f>SUM(O198:Z198)</f>
        <v>0</v>
      </c>
      <c r="J198" s="151"/>
      <c r="K198" s="159">
        <f t="shared" si="47"/>
        <v>0</v>
      </c>
      <c r="L198" s="72"/>
      <c r="M198" s="1"/>
      <c r="N198" s="78"/>
      <c r="O198" s="78"/>
      <c r="P198" s="1"/>
      <c r="Q198" s="78"/>
      <c r="R198" s="78"/>
      <c r="S198" s="44"/>
      <c r="T198" s="343"/>
      <c r="U198" s="78"/>
      <c r="V198" s="78"/>
      <c r="W198" s="44"/>
    </row>
    <row r="199" spans="1:23" hidden="1" x14ac:dyDescent="0.25">
      <c r="A199" s="88" t="s">
        <v>687</v>
      </c>
      <c r="B199" s="716" t="s">
        <v>819</v>
      </c>
      <c r="C199" s="717"/>
      <c r="D199" s="717"/>
      <c r="E199" s="158">
        <v>0</v>
      </c>
      <c r="F199" s="341">
        <v>0</v>
      </c>
      <c r="G199" s="311">
        <v>0</v>
      </c>
      <c r="H199" s="509">
        <v>0</v>
      </c>
      <c r="I199" s="246">
        <f>I200+I201+I202+I203+I204+I205+I206+I207+I208+I209+I210</f>
        <v>0</v>
      </c>
      <c r="J199" s="155">
        <f>J200+J201+J202+J203+J204+J205+J206+J207+J208+J209+J210</f>
        <v>0</v>
      </c>
      <c r="K199" s="158">
        <f t="shared" si="47"/>
        <v>0</v>
      </c>
      <c r="L199" s="90">
        <f t="shared" ref="L199:W199" si="48">L200+L201+L202+L203+L204+L205+L206+L207+L208+L209+L210</f>
        <v>0</v>
      </c>
      <c r="M199" s="91">
        <f t="shared" si="48"/>
        <v>0</v>
      </c>
      <c r="N199" s="94">
        <f t="shared" si="48"/>
        <v>0</v>
      </c>
      <c r="O199" s="94">
        <f t="shared" si="48"/>
        <v>0</v>
      </c>
      <c r="P199" s="91">
        <f t="shared" si="48"/>
        <v>0</v>
      </c>
      <c r="Q199" s="94">
        <f t="shared" si="48"/>
        <v>0</v>
      </c>
      <c r="R199" s="94">
        <f t="shared" si="48"/>
        <v>0</v>
      </c>
      <c r="S199" s="95">
        <f t="shared" si="48"/>
        <v>0</v>
      </c>
      <c r="T199" s="341">
        <f t="shared" si="48"/>
        <v>0</v>
      </c>
      <c r="U199" s="94">
        <f t="shared" si="48"/>
        <v>0</v>
      </c>
      <c r="V199" s="94">
        <f t="shared" si="48"/>
        <v>0</v>
      </c>
      <c r="W199" s="95">
        <f t="shared" si="48"/>
        <v>0</v>
      </c>
    </row>
    <row r="200" spans="1:23" hidden="1" x14ac:dyDescent="0.25">
      <c r="A200" s="54"/>
      <c r="B200" s="2"/>
      <c r="C200" s="624" t="s">
        <v>372</v>
      </c>
      <c r="D200" s="624"/>
      <c r="E200" s="159">
        <v>0</v>
      </c>
      <c r="F200" s="343">
        <v>0</v>
      </c>
      <c r="G200" s="313">
        <v>0</v>
      </c>
      <c r="H200" s="513">
        <v>0</v>
      </c>
      <c r="I200" s="232">
        <f t="shared" ref="I200:I212" si="49">SUM(O200:Z200)</f>
        <v>0</v>
      </c>
      <c r="J200" s="141"/>
      <c r="K200" s="159">
        <f t="shared" si="47"/>
        <v>0</v>
      </c>
      <c r="L200" s="72"/>
      <c r="M200" s="1"/>
      <c r="N200" s="78"/>
      <c r="O200" s="78"/>
      <c r="P200" s="1"/>
      <c r="Q200" s="78"/>
      <c r="R200" s="78"/>
      <c r="S200" s="44"/>
      <c r="T200" s="343"/>
      <c r="U200" s="78"/>
      <c r="V200" s="78"/>
      <c r="W200" s="44"/>
    </row>
    <row r="201" spans="1:23" hidden="1" x14ac:dyDescent="0.25">
      <c r="A201" s="54"/>
      <c r="B201" s="2"/>
      <c r="C201" s="624" t="s">
        <v>820</v>
      </c>
      <c r="D201" s="624"/>
      <c r="E201" s="159">
        <v>0</v>
      </c>
      <c r="F201" s="343">
        <v>0</v>
      </c>
      <c r="G201" s="313">
        <v>0</v>
      </c>
      <c r="H201" s="513">
        <v>0</v>
      </c>
      <c r="I201" s="232">
        <f t="shared" si="49"/>
        <v>0</v>
      </c>
      <c r="J201" s="141"/>
      <c r="K201" s="159">
        <f t="shared" si="47"/>
        <v>0</v>
      </c>
      <c r="L201" s="72"/>
      <c r="M201" s="1"/>
      <c r="N201" s="78"/>
      <c r="O201" s="78"/>
      <c r="P201" s="1"/>
      <c r="Q201" s="78"/>
      <c r="R201" s="78"/>
      <c r="S201" s="44"/>
      <c r="T201" s="343"/>
      <c r="U201" s="78"/>
      <c r="V201" s="78"/>
      <c r="W201" s="44"/>
    </row>
    <row r="202" spans="1:23" hidden="1" x14ac:dyDescent="0.25">
      <c r="A202" s="54"/>
      <c r="B202" s="2"/>
      <c r="C202" s="624" t="s">
        <v>375</v>
      </c>
      <c r="D202" s="624"/>
      <c r="E202" s="159">
        <v>0</v>
      </c>
      <c r="F202" s="343">
        <v>0</v>
      </c>
      <c r="G202" s="313">
        <v>0</v>
      </c>
      <c r="H202" s="513">
        <v>0</v>
      </c>
      <c r="I202" s="232">
        <f t="shared" si="49"/>
        <v>0</v>
      </c>
      <c r="J202" s="141"/>
      <c r="K202" s="159">
        <f t="shared" si="47"/>
        <v>0</v>
      </c>
      <c r="L202" s="72"/>
      <c r="M202" s="1"/>
      <c r="N202" s="78"/>
      <c r="O202" s="78"/>
      <c r="P202" s="1"/>
      <c r="Q202" s="78"/>
      <c r="R202" s="78"/>
      <c r="S202" s="44"/>
      <c r="T202" s="343"/>
      <c r="U202" s="78"/>
      <c r="V202" s="78"/>
      <c r="W202" s="44"/>
    </row>
    <row r="203" spans="1:23" hidden="1" x14ac:dyDescent="0.25">
      <c r="A203" s="54"/>
      <c r="B203" s="2"/>
      <c r="C203" s="624" t="s">
        <v>373</v>
      </c>
      <c r="D203" s="624"/>
      <c r="E203" s="159">
        <v>0</v>
      </c>
      <c r="F203" s="343">
        <v>0</v>
      </c>
      <c r="G203" s="313">
        <v>0</v>
      </c>
      <c r="H203" s="513">
        <v>0</v>
      </c>
      <c r="I203" s="232">
        <f t="shared" si="49"/>
        <v>0</v>
      </c>
      <c r="J203" s="141"/>
      <c r="K203" s="159">
        <f t="shared" si="47"/>
        <v>0</v>
      </c>
      <c r="L203" s="72"/>
      <c r="M203" s="1"/>
      <c r="N203" s="78"/>
      <c r="O203" s="78"/>
      <c r="P203" s="1"/>
      <c r="Q203" s="78"/>
      <c r="R203" s="78"/>
      <c r="S203" s="44"/>
      <c r="T203" s="343"/>
      <c r="U203" s="78"/>
      <c r="V203" s="78"/>
      <c r="W203" s="44"/>
    </row>
    <row r="204" spans="1:23" hidden="1" x14ac:dyDescent="0.25">
      <c r="A204" s="54"/>
      <c r="B204" s="2"/>
      <c r="C204" s="624" t="s">
        <v>821</v>
      </c>
      <c r="D204" s="624"/>
      <c r="E204" s="159">
        <v>0</v>
      </c>
      <c r="F204" s="343">
        <v>0</v>
      </c>
      <c r="G204" s="313">
        <v>0</v>
      </c>
      <c r="H204" s="513">
        <v>0</v>
      </c>
      <c r="I204" s="232">
        <f t="shared" si="49"/>
        <v>0</v>
      </c>
      <c r="J204" s="141"/>
      <c r="K204" s="159">
        <f t="shared" si="47"/>
        <v>0</v>
      </c>
      <c r="L204" s="72"/>
      <c r="M204" s="1"/>
      <c r="N204" s="78"/>
      <c r="O204" s="78"/>
      <c r="P204" s="1"/>
      <c r="Q204" s="78"/>
      <c r="R204" s="78"/>
      <c r="S204" s="44"/>
      <c r="T204" s="343"/>
      <c r="U204" s="78"/>
      <c r="V204" s="78"/>
      <c r="W204" s="44"/>
    </row>
    <row r="205" spans="1:23" hidden="1" x14ac:dyDescent="0.25">
      <c r="A205" s="54"/>
      <c r="B205" s="2"/>
      <c r="C205" s="625" t="s">
        <v>537</v>
      </c>
      <c r="D205" s="625"/>
      <c r="E205" s="159">
        <v>0</v>
      </c>
      <c r="F205" s="343">
        <v>0</v>
      </c>
      <c r="G205" s="313">
        <v>0</v>
      </c>
      <c r="H205" s="513">
        <v>0</v>
      </c>
      <c r="I205" s="242">
        <f t="shared" si="49"/>
        <v>0</v>
      </c>
      <c r="J205" s="151"/>
      <c r="K205" s="159">
        <f t="shared" si="47"/>
        <v>0</v>
      </c>
      <c r="L205" s="72"/>
      <c r="M205" s="1"/>
      <c r="N205" s="78"/>
      <c r="O205" s="78"/>
      <c r="P205" s="1"/>
      <c r="Q205" s="78"/>
      <c r="R205" s="78"/>
      <c r="S205" s="44"/>
      <c r="T205" s="343"/>
      <c r="U205" s="78"/>
      <c r="V205" s="78"/>
      <c r="W205" s="44"/>
    </row>
    <row r="206" spans="1:23" hidden="1" x14ac:dyDescent="0.25">
      <c r="A206" s="54"/>
      <c r="B206" s="2"/>
      <c r="C206" s="625" t="s">
        <v>540</v>
      </c>
      <c r="D206" s="625"/>
      <c r="E206" s="159">
        <v>0</v>
      </c>
      <c r="F206" s="343">
        <v>0</v>
      </c>
      <c r="G206" s="313">
        <v>0</v>
      </c>
      <c r="H206" s="513">
        <v>0</v>
      </c>
      <c r="I206" s="242">
        <f t="shared" si="49"/>
        <v>0</v>
      </c>
      <c r="J206" s="151"/>
      <c r="K206" s="159">
        <f t="shared" si="47"/>
        <v>0</v>
      </c>
      <c r="L206" s="72"/>
      <c r="M206" s="1"/>
      <c r="N206" s="78"/>
      <c r="O206" s="78"/>
      <c r="P206" s="1"/>
      <c r="Q206" s="78"/>
      <c r="R206" s="78"/>
      <c r="S206" s="44"/>
      <c r="T206" s="343"/>
      <c r="U206" s="78"/>
      <c r="V206" s="78"/>
      <c r="W206" s="44"/>
    </row>
    <row r="207" spans="1:23" hidden="1" x14ac:dyDescent="0.25">
      <c r="A207" s="54"/>
      <c r="B207" s="2"/>
      <c r="C207" s="624" t="s">
        <v>822</v>
      </c>
      <c r="D207" s="624"/>
      <c r="E207" s="159">
        <v>0</v>
      </c>
      <c r="F207" s="343">
        <v>0</v>
      </c>
      <c r="G207" s="313">
        <v>0</v>
      </c>
      <c r="H207" s="513">
        <v>0</v>
      </c>
      <c r="I207" s="232">
        <f t="shared" si="49"/>
        <v>0</v>
      </c>
      <c r="J207" s="141"/>
      <c r="K207" s="159">
        <f t="shared" si="47"/>
        <v>0</v>
      </c>
      <c r="L207" s="72"/>
      <c r="M207" s="1"/>
      <c r="N207" s="78"/>
      <c r="O207" s="78"/>
      <c r="P207" s="1"/>
      <c r="Q207" s="78"/>
      <c r="R207" s="78"/>
      <c r="S207" s="44"/>
      <c r="T207" s="343"/>
      <c r="U207" s="78"/>
      <c r="V207" s="78"/>
      <c r="W207" s="44"/>
    </row>
    <row r="208" spans="1:23" hidden="1" x14ac:dyDescent="0.25">
      <c r="A208" s="54"/>
      <c r="B208" s="2"/>
      <c r="C208" s="624" t="s">
        <v>374</v>
      </c>
      <c r="D208" s="624"/>
      <c r="E208" s="159">
        <v>0</v>
      </c>
      <c r="F208" s="343">
        <v>0</v>
      </c>
      <c r="G208" s="313">
        <v>0</v>
      </c>
      <c r="H208" s="513">
        <v>0</v>
      </c>
      <c r="I208" s="232">
        <f t="shared" si="49"/>
        <v>0</v>
      </c>
      <c r="J208" s="141"/>
      <c r="K208" s="159">
        <f t="shared" si="47"/>
        <v>0</v>
      </c>
      <c r="L208" s="72"/>
      <c r="M208" s="1"/>
      <c r="N208" s="78"/>
      <c r="O208" s="78"/>
      <c r="P208" s="1"/>
      <c r="Q208" s="78"/>
      <c r="R208" s="78"/>
      <c r="S208" s="44"/>
      <c r="T208" s="343"/>
      <c r="U208" s="78"/>
      <c r="V208" s="78"/>
      <c r="W208" s="44"/>
    </row>
    <row r="209" spans="1:23" hidden="1" x14ac:dyDescent="0.25">
      <c r="A209" s="54"/>
      <c r="B209" s="2"/>
      <c r="C209" s="624" t="s">
        <v>823</v>
      </c>
      <c r="D209" s="624"/>
      <c r="E209" s="159">
        <v>0</v>
      </c>
      <c r="F209" s="343">
        <v>0</v>
      </c>
      <c r="G209" s="313">
        <v>0</v>
      </c>
      <c r="H209" s="513">
        <v>0</v>
      </c>
      <c r="I209" s="232">
        <f t="shared" si="49"/>
        <v>0</v>
      </c>
      <c r="J209" s="141"/>
      <c r="K209" s="159">
        <f t="shared" si="47"/>
        <v>0</v>
      </c>
      <c r="L209" s="72"/>
      <c r="M209" s="1"/>
      <c r="N209" s="78"/>
      <c r="O209" s="78"/>
      <c r="P209" s="1"/>
      <c r="Q209" s="78"/>
      <c r="R209" s="78"/>
      <c r="S209" s="44"/>
      <c r="T209" s="343"/>
      <c r="U209" s="78"/>
      <c r="V209" s="78"/>
      <c r="W209" s="44"/>
    </row>
    <row r="210" spans="1:23" hidden="1" x14ac:dyDescent="0.25">
      <c r="A210" s="54"/>
      <c r="B210" s="2"/>
      <c r="C210" s="624" t="s">
        <v>566</v>
      </c>
      <c r="D210" s="624"/>
      <c r="E210" s="159">
        <v>0</v>
      </c>
      <c r="F210" s="343">
        <v>0</v>
      </c>
      <c r="G210" s="313">
        <v>0</v>
      </c>
      <c r="H210" s="513">
        <v>0</v>
      </c>
      <c r="I210" s="232">
        <f t="shared" si="49"/>
        <v>0</v>
      </c>
      <c r="J210" s="141"/>
      <c r="K210" s="159">
        <f t="shared" si="47"/>
        <v>0</v>
      </c>
      <c r="L210" s="72"/>
      <c r="M210" s="1"/>
      <c r="N210" s="78"/>
      <c r="O210" s="78"/>
      <c r="P210" s="1"/>
      <c r="Q210" s="78"/>
      <c r="R210" s="78"/>
      <c r="S210" s="44"/>
      <c r="T210" s="343"/>
      <c r="U210" s="78"/>
      <c r="V210" s="78"/>
      <c r="W210" s="44"/>
    </row>
    <row r="211" spans="1:23" hidden="1" x14ac:dyDescent="0.25">
      <c r="A211" s="88" t="s">
        <v>688</v>
      </c>
      <c r="B211" s="626" t="s">
        <v>279</v>
      </c>
      <c r="C211" s="627"/>
      <c r="D211" s="627"/>
      <c r="E211" s="158">
        <v>0</v>
      </c>
      <c r="F211" s="341">
        <v>0</v>
      </c>
      <c r="G211" s="311">
        <v>0</v>
      </c>
      <c r="H211" s="509">
        <v>0</v>
      </c>
      <c r="I211" s="233">
        <f t="shared" si="49"/>
        <v>0</v>
      </c>
      <c r="J211" s="142"/>
      <c r="K211" s="158">
        <f t="shared" si="47"/>
        <v>0</v>
      </c>
      <c r="L211" s="90"/>
      <c r="M211" s="91"/>
      <c r="N211" s="94"/>
      <c r="O211" s="94"/>
      <c r="P211" s="91"/>
      <c r="Q211" s="94"/>
      <c r="R211" s="94"/>
      <c r="S211" s="95"/>
      <c r="T211" s="341"/>
      <c r="U211" s="94"/>
      <c r="V211" s="94"/>
      <c r="W211" s="95"/>
    </row>
    <row r="212" spans="1:23" hidden="1" x14ac:dyDescent="0.25">
      <c r="A212" s="88" t="s">
        <v>689</v>
      </c>
      <c r="B212" s="626" t="s">
        <v>281</v>
      </c>
      <c r="C212" s="627"/>
      <c r="D212" s="627"/>
      <c r="E212" s="158">
        <v>0</v>
      </c>
      <c r="F212" s="341">
        <v>0</v>
      </c>
      <c r="G212" s="311">
        <v>0</v>
      </c>
      <c r="H212" s="509">
        <v>0</v>
      </c>
      <c r="I212" s="233">
        <f t="shared" si="49"/>
        <v>0</v>
      </c>
      <c r="J212" s="142"/>
      <c r="K212" s="158">
        <f t="shared" si="47"/>
        <v>0</v>
      </c>
      <c r="L212" s="90"/>
      <c r="M212" s="91"/>
      <c r="N212" s="94"/>
      <c r="O212" s="94"/>
      <c r="P212" s="91"/>
      <c r="Q212" s="94"/>
      <c r="R212" s="94"/>
      <c r="S212" s="95"/>
      <c r="T212" s="341"/>
      <c r="U212" s="94"/>
      <c r="V212" s="94"/>
      <c r="W212" s="95"/>
    </row>
    <row r="213" spans="1:23" hidden="1" x14ac:dyDescent="0.25">
      <c r="A213" s="88" t="s">
        <v>690</v>
      </c>
      <c r="B213" s="626" t="s">
        <v>283</v>
      </c>
      <c r="C213" s="627"/>
      <c r="D213" s="627"/>
      <c r="E213" s="158">
        <v>0</v>
      </c>
      <c r="F213" s="341">
        <v>0</v>
      </c>
      <c r="G213" s="311">
        <v>0</v>
      </c>
      <c r="H213" s="509">
        <v>0</v>
      </c>
      <c r="I213" s="233">
        <f>I214+I215+I216+I217+I218+I219+I220+I221+I222+I223</f>
        <v>0</v>
      </c>
      <c r="J213" s="142">
        <f>J214+J215+J216+J217+J218+J219+J220+J221+J222+J223</f>
        <v>0</v>
      </c>
      <c r="K213" s="158">
        <f t="shared" si="47"/>
        <v>0</v>
      </c>
      <c r="L213" s="90">
        <f t="shared" ref="L213:W213" si="50">L214+L215+L216+L217+L218+L219+L220+L221+L222+L223</f>
        <v>0</v>
      </c>
      <c r="M213" s="91">
        <f t="shared" si="50"/>
        <v>0</v>
      </c>
      <c r="N213" s="94">
        <f t="shared" si="50"/>
        <v>0</v>
      </c>
      <c r="O213" s="94">
        <f t="shared" si="50"/>
        <v>0</v>
      </c>
      <c r="P213" s="91">
        <f t="shared" si="50"/>
        <v>0</v>
      </c>
      <c r="Q213" s="94">
        <f t="shared" si="50"/>
        <v>0</v>
      </c>
      <c r="R213" s="94">
        <f t="shared" si="50"/>
        <v>0</v>
      </c>
      <c r="S213" s="95">
        <f t="shared" si="50"/>
        <v>0</v>
      </c>
      <c r="T213" s="341">
        <f t="shared" si="50"/>
        <v>0</v>
      </c>
      <c r="U213" s="94">
        <f t="shared" si="50"/>
        <v>0</v>
      </c>
      <c r="V213" s="94">
        <f t="shared" si="50"/>
        <v>0</v>
      </c>
      <c r="W213" s="95">
        <f t="shared" si="50"/>
        <v>0</v>
      </c>
    </row>
    <row r="214" spans="1:23" hidden="1" x14ac:dyDescent="0.25">
      <c r="A214" s="54"/>
      <c r="B214" s="2"/>
      <c r="C214" s="624" t="s">
        <v>376</v>
      </c>
      <c r="D214" s="624"/>
      <c r="E214" s="159">
        <v>0</v>
      </c>
      <c r="F214" s="343">
        <v>0</v>
      </c>
      <c r="G214" s="313">
        <v>0</v>
      </c>
      <c r="H214" s="513">
        <v>0</v>
      </c>
      <c r="I214" s="232">
        <f t="shared" ref="I214:I223" si="51">SUM(O214:Z214)</f>
        <v>0</v>
      </c>
      <c r="J214" s="141"/>
      <c r="K214" s="159">
        <f t="shared" si="47"/>
        <v>0</v>
      </c>
      <c r="L214" s="72"/>
      <c r="M214" s="1"/>
      <c r="N214" s="78"/>
      <c r="O214" s="78"/>
      <c r="P214" s="1"/>
      <c r="Q214" s="78"/>
      <c r="R214" s="78"/>
      <c r="S214" s="44"/>
      <c r="T214" s="343"/>
      <c r="U214" s="78"/>
      <c r="V214" s="78"/>
      <c r="W214" s="44"/>
    </row>
    <row r="215" spans="1:23" hidden="1" x14ac:dyDescent="0.25">
      <c r="A215" s="54"/>
      <c r="B215" s="2"/>
      <c r="C215" s="624" t="s">
        <v>377</v>
      </c>
      <c r="D215" s="624"/>
      <c r="E215" s="159">
        <v>0</v>
      </c>
      <c r="F215" s="343">
        <v>0</v>
      </c>
      <c r="G215" s="313">
        <v>0</v>
      </c>
      <c r="H215" s="513">
        <v>0</v>
      </c>
      <c r="I215" s="232">
        <f t="shared" si="51"/>
        <v>0</v>
      </c>
      <c r="J215" s="141"/>
      <c r="K215" s="159">
        <f t="shared" si="47"/>
        <v>0</v>
      </c>
      <c r="L215" s="72"/>
      <c r="M215" s="1"/>
      <c r="N215" s="78"/>
      <c r="O215" s="78"/>
      <c r="P215" s="1"/>
      <c r="Q215" s="78"/>
      <c r="R215" s="78"/>
      <c r="S215" s="44"/>
      <c r="T215" s="343"/>
      <c r="U215" s="78"/>
      <c r="V215" s="78"/>
      <c r="W215" s="44"/>
    </row>
    <row r="216" spans="1:23" hidden="1" x14ac:dyDescent="0.25">
      <c r="A216" s="54"/>
      <c r="B216" s="2"/>
      <c r="C216" s="624" t="s">
        <v>378</v>
      </c>
      <c r="D216" s="624"/>
      <c r="E216" s="159">
        <v>0</v>
      </c>
      <c r="F216" s="343">
        <v>0</v>
      </c>
      <c r="G216" s="313">
        <v>0</v>
      </c>
      <c r="H216" s="513">
        <v>0</v>
      </c>
      <c r="I216" s="232">
        <f t="shared" si="51"/>
        <v>0</v>
      </c>
      <c r="J216" s="141"/>
      <c r="K216" s="159">
        <f t="shared" si="47"/>
        <v>0</v>
      </c>
      <c r="L216" s="72"/>
      <c r="M216" s="1"/>
      <c r="N216" s="78"/>
      <c r="O216" s="78"/>
      <c r="P216" s="1"/>
      <c r="Q216" s="78"/>
      <c r="R216" s="78"/>
      <c r="S216" s="44"/>
      <c r="T216" s="343"/>
      <c r="U216" s="78"/>
      <c r="V216" s="78"/>
      <c r="W216" s="44"/>
    </row>
    <row r="217" spans="1:23" hidden="1" x14ac:dyDescent="0.25">
      <c r="A217" s="54"/>
      <c r="B217" s="2"/>
      <c r="C217" s="624" t="s">
        <v>379</v>
      </c>
      <c r="D217" s="624"/>
      <c r="E217" s="159">
        <v>0</v>
      </c>
      <c r="F217" s="343">
        <v>0</v>
      </c>
      <c r="G217" s="313">
        <v>0</v>
      </c>
      <c r="H217" s="513">
        <v>0</v>
      </c>
      <c r="I217" s="232">
        <f t="shared" si="51"/>
        <v>0</v>
      </c>
      <c r="J217" s="141"/>
      <c r="K217" s="159">
        <f t="shared" si="47"/>
        <v>0</v>
      </c>
      <c r="L217" s="72"/>
      <c r="M217" s="1"/>
      <c r="N217" s="78"/>
      <c r="O217" s="78"/>
      <c r="P217" s="1"/>
      <c r="Q217" s="78"/>
      <c r="R217" s="78"/>
      <c r="S217" s="44"/>
      <c r="T217" s="343"/>
      <c r="U217" s="78"/>
      <c r="V217" s="78"/>
      <c r="W217" s="44"/>
    </row>
    <row r="218" spans="1:23" hidden="1" x14ac:dyDescent="0.25">
      <c r="A218" s="54"/>
      <c r="B218" s="2"/>
      <c r="C218" s="624" t="s">
        <v>380</v>
      </c>
      <c r="D218" s="624"/>
      <c r="E218" s="159">
        <v>0</v>
      </c>
      <c r="F218" s="343">
        <v>0</v>
      </c>
      <c r="G218" s="313">
        <v>0</v>
      </c>
      <c r="H218" s="513">
        <v>0</v>
      </c>
      <c r="I218" s="232">
        <f t="shared" si="51"/>
        <v>0</v>
      </c>
      <c r="J218" s="141"/>
      <c r="K218" s="159">
        <f t="shared" si="47"/>
        <v>0</v>
      </c>
      <c r="L218" s="72"/>
      <c r="M218" s="1"/>
      <c r="N218" s="78"/>
      <c r="O218" s="78"/>
      <c r="P218" s="1"/>
      <c r="Q218" s="78"/>
      <c r="R218" s="78"/>
      <c r="S218" s="44"/>
      <c r="T218" s="343"/>
      <c r="U218" s="78"/>
      <c r="V218" s="78"/>
      <c r="W218" s="44"/>
    </row>
    <row r="219" spans="1:23" hidden="1" x14ac:dyDescent="0.25">
      <c r="A219" s="54"/>
      <c r="B219" s="2"/>
      <c r="C219" s="625" t="s">
        <v>538</v>
      </c>
      <c r="D219" s="625"/>
      <c r="E219" s="159">
        <v>0</v>
      </c>
      <c r="F219" s="343">
        <v>0</v>
      </c>
      <c r="G219" s="313">
        <v>0</v>
      </c>
      <c r="H219" s="513">
        <v>0</v>
      </c>
      <c r="I219" s="242">
        <f t="shared" si="51"/>
        <v>0</v>
      </c>
      <c r="J219" s="151"/>
      <c r="K219" s="159">
        <f t="shared" si="47"/>
        <v>0</v>
      </c>
      <c r="L219" s="72"/>
      <c r="M219" s="1"/>
      <c r="N219" s="78"/>
      <c r="O219" s="78"/>
      <c r="P219" s="1"/>
      <c r="Q219" s="78"/>
      <c r="R219" s="78"/>
      <c r="S219" s="44"/>
      <c r="T219" s="343"/>
      <c r="U219" s="78"/>
      <c r="V219" s="78"/>
      <c r="W219" s="44"/>
    </row>
    <row r="220" spans="1:23" hidden="1" x14ac:dyDescent="0.25">
      <c r="A220" s="54"/>
      <c r="B220" s="2"/>
      <c r="C220" s="625" t="s">
        <v>541</v>
      </c>
      <c r="D220" s="625"/>
      <c r="E220" s="159">
        <v>0</v>
      </c>
      <c r="F220" s="343">
        <v>0</v>
      </c>
      <c r="G220" s="313">
        <v>0</v>
      </c>
      <c r="H220" s="513">
        <v>0</v>
      </c>
      <c r="I220" s="242">
        <f t="shared" si="51"/>
        <v>0</v>
      </c>
      <c r="J220" s="151"/>
      <c r="K220" s="159">
        <f t="shared" si="47"/>
        <v>0</v>
      </c>
      <c r="L220" s="72"/>
      <c r="M220" s="1"/>
      <c r="N220" s="78"/>
      <c r="O220" s="78"/>
      <c r="P220" s="1"/>
      <c r="Q220" s="78"/>
      <c r="R220" s="78"/>
      <c r="S220" s="44"/>
      <c r="T220" s="343"/>
      <c r="U220" s="78"/>
      <c r="V220" s="78"/>
      <c r="W220" s="44"/>
    </row>
    <row r="221" spans="1:23" hidden="1" x14ac:dyDescent="0.25">
      <c r="A221" s="54"/>
      <c r="B221" s="2"/>
      <c r="C221" s="624" t="s">
        <v>381</v>
      </c>
      <c r="D221" s="624"/>
      <c r="E221" s="159">
        <v>0</v>
      </c>
      <c r="F221" s="343">
        <v>0</v>
      </c>
      <c r="G221" s="313">
        <v>0</v>
      </c>
      <c r="H221" s="513">
        <v>0</v>
      </c>
      <c r="I221" s="232">
        <f t="shared" si="51"/>
        <v>0</v>
      </c>
      <c r="J221" s="141"/>
      <c r="K221" s="159">
        <f t="shared" si="47"/>
        <v>0</v>
      </c>
      <c r="L221" s="72"/>
      <c r="M221" s="1"/>
      <c r="N221" s="78"/>
      <c r="O221" s="78"/>
      <c r="P221" s="1"/>
      <c r="Q221" s="78"/>
      <c r="R221" s="78"/>
      <c r="S221" s="44"/>
      <c r="T221" s="343"/>
      <c r="U221" s="78"/>
      <c r="V221" s="78"/>
      <c r="W221" s="44"/>
    </row>
    <row r="222" spans="1:23" hidden="1" x14ac:dyDescent="0.25">
      <c r="A222" s="54"/>
      <c r="B222" s="2"/>
      <c r="C222" s="624" t="s">
        <v>382</v>
      </c>
      <c r="D222" s="624"/>
      <c r="E222" s="159">
        <v>0</v>
      </c>
      <c r="F222" s="343">
        <v>0</v>
      </c>
      <c r="G222" s="313">
        <v>0</v>
      </c>
      <c r="H222" s="513">
        <v>0</v>
      </c>
      <c r="I222" s="232">
        <f t="shared" si="51"/>
        <v>0</v>
      </c>
      <c r="J222" s="141"/>
      <c r="K222" s="159">
        <f t="shared" si="47"/>
        <v>0</v>
      </c>
      <c r="L222" s="72"/>
      <c r="M222" s="1"/>
      <c r="N222" s="78"/>
      <c r="O222" s="78"/>
      <c r="P222" s="1"/>
      <c r="Q222" s="78"/>
      <c r="R222" s="78"/>
      <c r="S222" s="44"/>
      <c r="T222" s="343"/>
      <c r="U222" s="78"/>
      <c r="V222" s="78"/>
      <c r="W222" s="44"/>
    </row>
    <row r="223" spans="1:23" ht="15.75" hidden="1" thickBot="1" x14ac:dyDescent="0.3">
      <c r="A223" s="56"/>
      <c r="B223" s="20"/>
      <c r="C223" s="631" t="s">
        <v>567</v>
      </c>
      <c r="D223" s="631"/>
      <c r="E223" s="159">
        <v>0</v>
      </c>
      <c r="F223" s="467">
        <v>0</v>
      </c>
      <c r="G223" s="486">
        <v>0</v>
      </c>
      <c r="H223" s="514">
        <v>0</v>
      </c>
      <c r="I223" s="234">
        <f t="shared" si="51"/>
        <v>0</v>
      </c>
      <c r="J223" s="143"/>
      <c r="K223" s="159">
        <f t="shared" si="47"/>
        <v>0</v>
      </c>
      <c r="L223" s="72"/>
      <c r="M223" s="1"/>
      <c r="N223" s="78"/>
      <c r="O223" s="78"/>
      <c r="P223" s="1"/>
      <c r="Q223" s="78"/>
      <c r="R223" s="78"/>
      <c r="S223" s="44"/>
      <c r="T223" s="343"/>
      <c r="U223" s="78"/>
      <c r="V223" s="78"/>
      <c r="W223" s="44"/>
    </row>
    <row r="224" spans="1:23" ht="15.75" hidden="1" thickBot="1" x14ac:dyDescent="0.3">
      <c r="A224" s="96" t="s">
        <v>284</v>
      </c>
      <c r="B224" s="632" t="s">
        <v>285</v>
      </c>
      <c r="C224" s="633"/>
      <c r="D224" s="633"/>
      <c r="E224" s="156">
        <v>0</v>
      </c>
      <c r="F224" s="338">
        <v>0</v>
      </c>
      <c r="G224" s="308">
        <v>0</v>
      </c>
      <c r="H224" s="506">
        <v>0</v>
      </c>
      <c r="I224" s="235">
        <f>I225+I246+I252+I253</f>
        <v>0</v>
      </c>
      <c r="J224" s="144">
        <f>J225+J246+J252+J253</f>
        <v>0</v>
      </c>
      <c r="K224" s="156">
        <f t="shared" si="47"/>
        <v>0</v>
      </c>
      <c r="L224" s="82">
        <f t="shared" ref="L224:W224" si="52">L225+L246+L252+L253</f>
        <v>0</v>
      </c>
      <c r="M224" s="83">
        <f t="shared" si="52"/>
        <v>0</v>
      </c>
      <c r="N224" s="86">
        <f t="shared" si="52"/>
        <v>0</v>
      </c>
      <c r="O224" s="86">
        <f t="shared" si="52"/>
        <v>0</v>
      </c>
      <c r="P224" s="83">
        <f t="shared" si="52"/>
        <v>0</v>
      </c>
      <c r="Q224" s="86">
        <f t="shared" si="52"/>
        <v>0</v>
      </c>
      <c r="R224" s="86">
        <f t="shared" si="52"/>
        <v>0</v>
      </c>
      <c r="S224" s="87">
        <f t="shared" si="52"/>
        <v>0</v>
      </c>
      <c r="T224" s="338">
        <f t="shared" si="52"/>
        <v>0</v>
      </c>
      <c r="U224" s="86">
        <f t="shared" si="52"/>
        <v>0</v>
      </c>
      <c r="V224" s="86">
        <f t="shared" si="52"/>
        <v>0</v>
      </c>
      <c r="W224" s="87">
        <f t="shared" si="52"/>
        <v>0</v>
      </c>
    </row>
    <row r="225" spans="1:23" hidden="1" x14ac:dyDescent="0.25">
      <c r="A225" s="108" t="s">
        <v>691</v>
      </c>
      <c r="B225" s="634" t="s">
        <v>286</v>
      </c>
      <c r="C225" s="635"/>
      <c r="D225" s="635"/>
      <c r="E225" s="157">
        <v>0</v>
      </c>
      <c r="F225" s="339">
        <v>0</v>
      </c>
      <c r="G225" s="309">
        <v>0</v>
      </c>
      <c r="H225" s="507">
        <v>0</v>
      </c>
      <c r="I225" s="231">
        <f>I226+I230+I237+I238+I239+I240+I241+I242+I243</f>
        <v>0</v>
      </c>
      <c r="J225" s="140">
        <f>J226+J230+J237+J238+J239+J240+J241+J242+J243</f>
        <v>0</v>
      </c>
      <c r="K225" s="157">
        <f t="shared" si="47"/>
        <v>0</v>
      </c>
      <c r="L225" s="109">
        <f t="shared" ref="L225:W225" si="53">L226+L230+L237+L238+L239+L240+L241+L242+L243</f>
        <v>0</v>
      </c>
      <c r="M225" s="110">
        <f t="shared" si="53"/>
        <v>0</v>
      </c>
      <c r="N225" s="113">
        <f t="shared" si="53"/>
        <v>0</v>
      </c>
      <c r="O225" s="113">
        <f t="shared" si="53"/>
        <v>0</v>
      </c>
      <c r="P225" s="110">
        <f t="shared" si="53"/>
        <v>0</v>
      </c>
      <c r="Q225" s="113">
        <f t="shared" si="53"/>
        <v>0</v>
      </c>
      <c r="R225" s="113">
        <f t="shared" si="53"/>
        <v>0</v>
      </c>
      <c r="S225" s="114">
        <f t="shared" si="53"/>
        <v>0</v>
      </c>
      <c r="T225" s="339">
        <f t="shared" si="53"/>
        <v>0</v>
      </c>
      <c r="U225" s="113">
        <f t="shared" si="53"/>
        <v>0</v>
      </c>
      <c r="V225" s="113">
        <f t="shared" si="53"/>
        <v>0</v>
      </c>
      <c r="W225" s="114">
        <f t="shared" si="53"/>
        <v>0</v>
      </c>
    </row>
    <row r="226" spans="1:23" hidden="1" x14ac:dyDescent="0.25">
      <c r="A226" s="53" t="s">
        <v>692</v>
      </c>
      <c r="B226" s="628" t="s">
        <v>287</v>
      </c>
      <c r="C226" s="629"/>
      <c r="D226" s="629"/>
      <c r="E226" s="160">
        <v>0</v>
      </c>
      <c r="F226" s="342">
        <v>0</v>
      </c>
      <c r="G226" s="312">
        <v>0</v>
      </c>
      <c r="H226" s="510">
        <v>0</v>
      </c>
      <c r="I226" s="239">
        <f>I227+I228+I229</f>
        <v>0</v>
      </c>
      <c r="J226" s="148">
        <f>J227+J228+J229</f>
        <v>0</v>
      </c>
      <c r="K226" s="160">
        <f t="shared" si="47"/>
        <v>0</v>
      </c>
      <c r="L226" s="74">
        <f t="shared" ref="L226:W226" si="54">L227+L228+L229</f>
        <v>0</v>
      </c>
      <c r="M226" s="13">
        <f t="shared" si="54"/>
        <v>0</v>
      </c>
      <c r="N226" s="79">
        <f t="shared" si="54"/>
        <v>0</v>
      </c>
      <c r="O226" s="79">
        <f t="shared" si="54"/>
        <v>0</v>
      </c>
      <c r="P226" s="13">
        <f t="shared" si="54"/>
        <v>0</v>
      </c>
      <c r="Q226" s="79">
        <f t="shared" si="54"/>
        <v>0</v>
      </c>
      <c r="R226" s="79">
        <f t="shared" si="54"/>
        <v>0</v>
      </c>
      <c r="S226" s="45">
        <f t="shared" si="54"/>
        <v>0</v>
      </c>
      <c r="T226" s="342">
        <f t="shared" si="54"/>
        <v>0</v>
      </c>
      <c r="U226" s="79">
        <f t="shared" si="54"/>
        <v>0</v>
      </c>
      <c r="V226" s="79">
        <f t="shared" si="54"/>
        <v>0</v>
      </c>
      <c r="W226" s="45">
        <f t="shared" si="54"/>
        <v>0</v>
      </c>
    </row>
    <row r="227" spans="1:23" hidden="1" x14ac:dyDescent="0.25">
      <c r="A227" s="181" t="s">
        <v>693</v>
      </c>
      <c r="B227" s="228"/>
      <c r="C227" s="724" t="s">
        <v>705</v>
      </c>
      <c r="D227" s="724"/>
      <c r="E227" s="183">
        <v>0</v>
      </c>
      <c r="F227" s="340">
        <v>0</v>
      </c>
      <c r="G227" s="310">
        <v>0</v>
      </c>
      <c r="H227" s="508">
        <v>0</v>
      </c>
      <c r="I227" s="268">
        <f>SUM(O227:Z227)</f>
        <v>0</v>
      </c>
      <c r="J227" s="269"/>
      <c r="K227" s="183">
        <f t="shared" si="47"/>
        <v>0</v>
      </c>
      <c r="L227" s="191"/>
      <c r="M227" s="185"/>
      <c r="N227" s="186"/>
      <c r="O227" s="186"/>
      <c r="P227" s="185"/>
      <c r="Q227" s="186"/>
      <c r="R227" s="186"/>
      <c r="S227" s="187"/>
      <c r="T227" s="340"/>
      <c r="U227" s="186"/>
      <c r="V227" s="186"/>
      <c r="W227" s="187"/>
    </row>
    <row r="228" spans="1:23" hidden="1" x14ac:dyDescent="0.25">
      <c r="A228" s="181" t="s">
        <v>694</v>
      </c>
      <c r="B228" s="190"/>
      <c r="C228" s="630" t="s">
        <v>706</v>
      </c>
      <c r="D228" s="630"/>
      <c r="E228" s="183">
        <v>0</v>
      </c>
      <c r="F228" s="340">
        <v>0</v>
      </c>
      <c r="G228" s="310">
        <v>0</v>
      </c>
      <c r="H228" s="508">
        <v>0</v>
      </c>
      <c r="I228" s="251">
        <f>SUM(O228:Z228)</f>
        <v>0</v>
      </c>
      <c r="J228" s="182"/>
      <c r="K228" s="183">
        <f t="shared" si="47"/>
        <v>0</v>
      </c>
      <c r="L228" s="191"/>
      <c r="M228" s="185"/>
      <c r="N228" s="186"/>
      <c r="O228" s="186"/>
      <c r="P228" s="185"/>
      <c r="Q228" s="186"/>
      <c r="R228" s="186"/>
      <c r="S228" s="187"/>
      <c r="T228" s="340"/>
      <c r="U228" s="186"/>
      <c r="V228" s="186"/>
      <c r="W228" s="187"/>
    </row>
    <row r="229" spans="1:23" hidden="1" x14ac:dyDescent="0.25">
      <c r="A229" s="181" t="s">
        <v>695</v>
      </c>
      <c r="B229" s="190"/>
      <c r="C229" s="630" t="s">
        <v>707</v>
      </c>
      <c r="D229" s="630"/>
      <c r="E229" s="183">
        <v>0</v>
      </c>
      <c r="F229" s="340">
        <v>0</v>
      </c>
      <c r="G229" s="310">
        <v>0</v>
      </c>
      <c r="H229" s="508">
        <v>0</v>
      </c>
      <c r="I229" s="251">
        <f>SUM(O229:Z229)</f>
        <v>0</v>
      </c>
      <c r="J229" s="182"/>
      <c r="K229" s="183">
        <f t="shared" si="47"/>
        <v>0</v>
      </c>
      <c r="L229" s="191"/>
      <c r="M229" s="185"/>
      <c r="N229" s="186"/>
      <c r="O229" s="186"/>
      <c r="P229" s="185"/>
      <c r="Q229" s="186"/>
      <c r="R229" s="186"/>
      <c r="S229" s="187"/>
      <c r="T229" s="340"/>
      <c r="U229" s="186"/>
      <c r="V229" s="186"/>
      <c r="W229" s="187"/>
    </row>
    <row r="230" spans="1:23" hidden="1" x14ac:dyDescent="0.25">
      <c r="A230" s="53" t="s">
        <v>696</v>
      </c>
      <c r="B230" s="628" t="s">
        <v>291</v>
      </c>
      <c r="C230" s="629"/>
      <c r="D230" s="629"/>
      <c r="E230" s="160">
        <v>0</v>
      </c>
      <c r="F230" s="342">
        <v>0</v>
      </c>
      <c r="G230" s="312">
        <v>0</v>
      </c>
      <c r="H230" s="510">
        <v>0</v>
      </c>
      <c r="I230" s="239">
        <f>I231+I232+I233+I234+I235+I236</f>
        <v>0</v>
      </c>
      <c r="J230" s="148">
        <f>J231+J232+J233+J234+J235+J236</f>
        <v>0</v>
      </c>
      <c r="K230" s="160">
        <f t="shared" si="47"/>
        <v>0</v>
      </c>
      <c r="L230" s="74">
        <f t="shared" ref="L230:W230" si="55">L231+L232+L233+L234+L235+L236</f>
        <v>0</v>
      </c>
      <c r="M230" s="13">
        <f t="shared" si="55"/>
        <v>0</v>
      </c>
      <c r="N230" s="79">
        <f t="shared" si="55"/>
        <v>0</v>
      </c>
      <c r="O230" s="79">
        <f t="shared" si="55"/>
        <v>0</v>
      </c>
      <c r="P230" s="13">
        <f t="shared" si="55"/>
        <v>0</v>
      </c>
      <c r="Q230" s="79">
        <f t="shared" si="55"/>
        <v>0</v>
      </c>
      <c r="R230" s="79">
        <f t="shared" si="55"/>
        <v>0</v>
      </c>
      <c r="S230" s="45">
        <f t="shared" si="55"/>
        <v>0</v>
      </c>
      <c r="T230" s="342">
        <f t="shared" si="55"/>
        <v>0</v>
      </c>
      <c r="U230" s="79">
        <f t="shared" si="55"/>
        <v>0</v>
      </c>
      <c r="V230" s="79">
        <f t="shared" si="55"/>
        <v>0</v>
      </c>
      <c r="W230" s="45">
        <f t="shared" si="55"/>
        <v>0</v>
      </c>
    </row>
    <row r="231" spans="1:23" hidden="1" x14ac:dyDescent="0.25">
      <c r="A231" s="181" t="s">
        <v>697</v>
      </c>
      <c r="B231" s="190"/>
      <c r="C231" s="630" t="s">
        <v>383</v>
      </c>
      <c r="D231" s="630"/>
      <c r="E231" s="183">
        <v>0</v>
      </c>
      <c r="F231" s="340">
        <v>0</v>
      </c>
      <c r="G231" s="310">
        <v>0</v>
      </c>
      <c r="H231" s="508">
        <v>0</v>
      </c>
      <c r="I231" s="251">
        <f t="shared" ref="I231:I242" si="56">SUM(O231:Z231)</f>
        <v>0</v>
      </c>
      <c r="J231" s="182"/>
      <c r="K231" s="183">
        <f t="shared" si="47"/>
        <v>0</v>
      </c>
      <c r="L231" s="191"/>
      <c r="M231" s="185"/>
      <c r="N231" s="186"/>
      <c r="O231" s="186"/>
      <c r="P231" s="185"/>
      <c r="Q231" s="186"/>
      <c r="R231" s="186"/>
      <c r="S231" s="187"/>
      <c r="T231" s="340"/>
      <c r="U231" s="186"/>
      <c r="V231" s="186"/>
      <c r="W231" s="187"/>
    </row>
    <row r="232" spans="1:23" hidden="1" x14ac:dyDescent="0.25">
      <c r="A232" s="181" t="s">
        <v>698</v>
      </c>
      <c r="B232" s="190"/>
      <c r="C232" s="630" t="s">
        <v>384</v>
      </c>
      <c r="D232" s="630"/>
      <c r="E232" s="183">
        <v>0</v>
      </c>
      <c r="F232" s="340">
        <v>0</v>
      </c>
      <c r="G232" s="310">
        <v>0</v>
      </c>
      <c r="H232" s="508">
        <v>0</v>
      </c>
      <c r="I232" s="251">
        <f t="shared" si="56"/>
        <v>0</v>
      </c>
      <c r="J232" s="182"/>
      <c r="K232" s="183">
        <f t="shared" si="47"/>
        <v>0</v>
      </c>
      <c r="L232" s="191"/>
      <c r="M232" s="185"/>
      <c r="N232" s="186"/>
      <c r="O232" s="186"/>
      <c r="P232" s="185"/>
      <c r="Q232" s="186"/>
      <c r="R232" s="186"/>
      <c r="S232" s="187"/>
      <c r="T232" s="340"/>
      <c r="U232" s="186"/>
      <c r="V232" s="186"/>
      <c r="W232" s="187"/>
    </row>
    <row r="233" spans="1:23" hidden="1" x14ac:dyDescent="0.25">
      <c r="A233" s="181" t="s">
        <v>886</v>
      </c>
      <c r="B233" s="190"/>
      <c r="C233" s="630" t="s">
        <v>887</v>
      </c>
      <c r="D233" s="630"/>
      <c r="E233" s="183">
        <v>0</v>
      </c>
      <c r="F233" s="340">
        <v>0</v>
      </c>
      <c r="G233" s="310">
        <v>0</v>
      </c>
      <c r="H233" s="508">
        <v>0</v>
      </c>
      <c r="I233" s="251">
        <f t="shared" si="56"/>
        <v>0</v>
      </c>
      <c r="J233" s="182"/>
      <c r="K233" s="183">
        <f t="shared" si="47"/>
        <v>0</v>
      </c>
      <c r="L233" s="191"/>
      <c r="M233" s="185"/>
      <c r="N233" s="186"/>
      <c r="O233" s="186"/>
      <c r="P233" s="185"/>
      <c r="Q233" s="186"/>
      <c r="R233" s="186"/>
      <c r="S233" s="187"/>
      <c r="T233" s="340"/>
      <c r="U233" s="186"/>
      <c r="V233" s="186"/>
      <c r="W233" s="187"/>
    </row>
    <row r="234" spans="1:23" hidden="1" x14ac:dyDescent="0.25">
      <c r="A234" s="181" t="s">
        <v>699</v>
      </c>
      <c r="B234" s="190"/>
      <c r="C234" s="630" t="s">
        <v>295</v>
      </c>
      <c r="D234" s="630"/>
      <c r="E234" s="183">
        <v>0</v>
      </c>
      <c r="F234" s="340">
        <v>0</v>
      </c>
      <c r="G234" s="310">
        <v>0</v>
      </c>
      <c r="H234" s="508">
        <v>0</v>
      </c>
      <c r="I234" s="251">
        <f t="shared" si="56"/>
        <v>0</v>
      </c>
      <c r="J234" s="182"/>
      <c r="K234" s="183">
        <f t="shared" si="47"/>
        <v>0</v>
      </c>
      <c r="L234" s="191"/>
      <c r="M234" s="185"/>
      <c r="N234" s="186"/>
      <c r="O234" s="186"/>
      <c r="P234" s="185"/>
      <c r="Q234" s="186"/>
      <c r="R234" s="186"/>
      <c r="S234" s="187"/>
      <c r="T234" s="340"/>
      <c r="U234" s="186"/>
      <c r="V234" s="186"/>
      <c r="W234" s="187"/>
    </row>
    <row r="235" spans="1:23" hidden="1" x14ac:dyDescent="0.25">
      <c r="A235" s="181" t="s">
        <v>700</v>
      </c>
      <c r="B235" s="190"/>
      <c r="C235" s="630" t="s">
        <v>297</v>
      </c>
      <c r="D235" s="630"/>
      <c r="E235" s="183">
        <v>0</v>
      </c>
      <c r="F235" s="340">
        <v>0</v>
      </c>
      <c r="G235" s="310">
        <v>0</v>
      </c>
      <c r="H235" s="508">
        <v>0</v>
      </c>
      <c r="I235" s="251">
        <f t="shared" si="56"/>
        <v>0</v>
      </c>
      <c r="J235" s="182"/>
      <c r="K235" s="183">
        <f t="shared" si="47"/>
        <v>0</v>
      </c>
      <c r="L235" s="191"/>
      <c r="M235" s="185"/>
      <c r="N235" s="186"/>
      <c r="O235" s="186"/>
      <c r="P235" s="185"/>
      <c r="Q235" s="186"/>
      <c r="R235" s="186"/>
      <c r="S235" s="187"/>
      <c r="T235" s="340"/>
      <c r="U235" s="186"/>
      <c r="V235" s="186"/>
      <c r="W235" s="187"/>
    </row>
    <row r="236" spans="1:23" hidden="1" x14ac:dyDescent="0.25">
      <c r="A236" s="181" t="s">
        <v>889</v>
      </c>
      <c r="B236" s="190"/>
      <c r="C236" s="630" t="s">
        <v>890</v>
      </c>
      <c r="D236" s="630"/>
      <c r="E236" s="183">
        <v>0</v>
      </c>
      <c r="F236" s="340">
        <v>0</v>
      </c>
      <c r="G236" s="310">
        <v>0</v>
      </c>
      <c r="H236" s="508">
        <v>0</v>
      </c>
      <c r="I236" s="251">
        <f t="shared" si="56"/>
        <v>0</v>
      </c>
      <c r="J236" s="182"/>
      <c r="K236" s="183">
        <f t="shared" si="47"/>
        <v>0</v>
      </c>
      <c r="L236" s="191"/>
      <c r="M236" s="185"/>
      <c r="N236" s="186"/>
      <c r="O236" s="186"/>
      <c r="P236" s="185"/>
      <c r="Q236" s="186"/>
      <c r="R236" s="186"/>
      <c r="S236" s="187"/>
      <c r="T236" s="340"/>
      <c r="U236" s="186"/>
      <c r="V236" s="186"/>
      <c r="W236" s="187"/>
    </row>
    <row r="237" spans="1:23" hidden="1" x14ac:dyDescent="0.25">
      <c r="A237" s="53" t="s">
        <v>892</v>
      </c>
      <c r="B237" s="628" t="s">
        <v>893</v>
      </c>
      <c r="C237" s="629"/>
      <c r="D237" s="629"/>
      <c r="E237" s="160">
        <v>0</v>
      </c>
      <c r="F237" s="342">
        <v>0</v>
      </c>
      <c r="G237" s="312">
        <v>0</v>
      </c>
      <c r="H237" s="510">
        <v>0</v>
      </c>
      <c r="I237" s="239">
        <f t="shared" si="56"/>
        <v>0</v>
      </c>
      <c r="J237" s="148"/>
      <c r="K237" s="160">
        <f t="shared" si="47"/>
        <v>0</v>
      </c>
      <c r="L237" s="74"/>
      <c r="M237" s="13"/>
      <c r="N237" s="79"/>
      <c r="O237" s="79"/>
      <c r="P237" s="13"/>
      <c r="Q237" s="79"/>
      <c r="R237" s="79"/>
      <c r="S237" s="45"/>
      <c r="T237" s="342"/>
      <c r="U237" s="79"/>
      <c r="V237" s="79"/>
      <c r="W237" s="45"/>
    </row>
    <row r="238" spans="1:23" hidden="1" x14ac:dyDescent="0.25">
      <c r="A238" s="53" t="s">
        <v>701</v>
      </c>
      <c r="B238" s="628" t="s">
        <v>299</v>
      </c>
      <c r="C238" s="629"/>
      <c r="D238" s="629"/>
      <c r="E238" s="160">
        <v>0</v>
      </c>
      <c r="F238" s="342">
        <v>0</v>
      </c>
      <c r="G238" s="312">
        <v>0</v>
      </c>
      <c r="H238" s="510">
        <v>0</v>
      </c>
      <c r="I238" s="239">
        <f t="shared" si="56"/>
        <v>0</v>
      </c>
      <c r="J238" s="148"/>
      <c r="K238" s="160">
        <f t="shared" si="47"/>
        <v>0</v>
      </c>
      <c r="L238" s="74"/>
      <c r="M238" s="13"/>
      <c r="N238" s="79"/>
      <c r="O238" s="79"/>
      <c r="P238" s="13"/>
      <c r="Q238" s="79"/>
      <c r="R238" s="79"/>
      <c r="S238" s="45"/>
      <c r="T238" s="342"/>
      <c r="U238" s="79"/>
      <c r="V238" s="79"/>
      <c r="W238" s="45"/>
    </row>
    <row r="239" spans="1:23" hidden="1" x14ac:dyDescent="0.25">
      <c r="A239" s="53" t="s">
        <v>702</v>
      </c>
      <c r="B239" s="628" t="s">
        <v>894</v>
      </c>
      <c r="C239" s="629"/>
      <c r="D239" s="629"/>
      <c r="E239" s="160">
        <v>0</v>
      </c>
      <c r="F239" s="342">
        <v>0</v>
      </c>
      <c r="G239" s="312">
        <v>0</v>
      </c>
      <c r="H239" s="510">
        <v>0</v>
      </c>
      <c r="I239" s="239">
        <f t="shared" si="56"/>
        <v>0</v>
      </c>
      <c r="J239" s="148"/>
      <c r="K239" s="160">
        <f t="shared" si="47"/>
        <v>0</v>
      </c>
      <c r="L239" s="74"/>
      <c r="M239" s="13"/>
      <c r="N239" s="79"/>
      <c r="O239" s="79"/>
      <c r="P239" s="13"/>
      <c r="Q239" s="79"/>
      <c r="R239" s="79"/>
      <c r="S239" s="45"/>
      <c r="T239" s="342"/>
      <c r="U239" s="79"/>
      <c r="V239" s="79"/>
      <c r="W239" s="45"/>
    </row>
    <row r="240" spans="1:23" hidden="1" x14ac:dyDescent="0.25">
      <c r="A240" s="53" t="s">
        <v>703</v>
      </c>
      <c r="B240" s="628" t="s">
        <v>895</v>
      </c>
      <c r="C240" s="629"/>
      <c r="D240" s="629"/>
      <c r="E240" s="160">
        <v>0</v>
      </c>
      <c r="F240" s="342">
        <v>0</v>
      </c>
      <c r="G240" s="312">
        <v>0</v>
      </c>
      <c r="H240" s="510">
        <v>0</v>
      </c>
      <c r="I240" s="239">
        <f t="shared" si="56"/>
        <v>0</v>
      </c>
      <c r="J240" s="148"/>
      <c r="K240" s="160">
        <f t="shared" si="47"/>
        <v>0</v>
      </c>
      <c r="L240" s="74"/>
      <c r="M240" s="13"/>
      <c r="N240" s="79"/>
      <c r="O240" s="79"/>
      <c r="P240" s="13"/>
      <c r="Q240" s="79"/>
      <c r="R240" s="79"/>
      <c r="S240" s="45"/>
      <c r="T240" s="342"/>
      <c r="U240" s="79"/>
      <c r="V240" s="79"/>
      <c r="W240" s="45"/>
    </row>
    <row r="241" spans="1:23" hidden="1" x14ac:dyDescent="0.25">
      <c r="A241" s="53" t="s">
        <v>704</v>
      </c>
      <c r="B241" s="628" t="s">
        <v>303</v>
      </c>
      <c r="C241" s="629"/>
      <c r="D241" s="629"/>
      <c r="E241" s="160">
        <v>0</v>
      </c>
      <c r="F241" s="342">
        <v>0</v>
      </c>
      <c r="G241" s="312">
        <v>0</v>
      </c>
      <c r="H241" s="510">
        <v>0</v>
      </c>
      <c r="I241" s="239">
        <f t="shared" si="56"/>
        <v>0</v>
      </c>
      <c r="J241" s="148"/>
      <c r="K241" s="160">
        <f t="shared" si="47"/>
        <v>0</v>
      </c>
      <c r="L241" s="74"/>
      <c r="M241" s="13"/>
      <c r="N241" s="79"/>
      <c r="O241" s="79"/>
      <c r="P241" s="13"/>
      <c r="Q241" s="79"/>
      <c r="R241" s="79"/>
      <c r="S241" s="45"/>
      <c r="T241" s="342"/>
      <c r="U241" s="79"/>
      <c r="V241" s="79"/>
      <c r="W241" s="45"/>
    </row>
    <row r="242" spans="1:23" hidden="1" x14ac:dyDescent="0.25">
      <c r="A242" s="53" t="s">
        <v>897</v>
      </c>
      <c r="B242" s="628" t="s">
        <v>899</v>
      </c>
      <c r="C242" s="629"/>
      <c r="D242" s="629"/>
      <c r="E242" s="160">
        <v>0</v>
      </c>
      <c r="F242" s="342">
        <v>0</v>
      </c>
      <c r="G242" s="312">
        <v>0</v>
      </c>
      <c r="H242" s="510">
        <v>0</v>
      </c>
      <c r="I242" s="239">
        <f t="shared" si="56"/>
        <v>0</v>
      </c>
      <c r="J242" s="148"/>
      <c r="K242" s="160">
        <f t="shared" si="47"/>
        <v>0</v>
      </c>
      <c r="L242" s="74"/>
      <c r="M242" s="13"/>
      <c r="N242" s="79"/>
      <c r="O242" s="79"/>
      <c r="P242" s="13"/>
      <c r="Q242" s="79"/>
      <c r="R242" s="79"/>
      <c r="S242" s="45"/>
      <c r="T242" s="342"/>
      <c r="U242" s="79"/>
      <c r="V242" s="79"/>
      <c r="W242" s="45"/>
    </row>
    <row r="243" spans="1:23" hidden="1" x14ac:dyDescent="0.25">
      <c r="A243" s="53" t="s">
        <v>898</v>
      </c>
      <c r="B243" s="628" t="s">
        <v>900</v>
      </c>
      <c r="C243" s="629"/>
      <c r="D243" s="629"/>
      <c r="E243" s="160">
        <v>0</v>
      </c>
      <c r="F243" s="342">
        <v>0</v>
      </c>
      <c r="G243" s="312">
        <v>0</v>
      </c>
      <c r="H243" s="510">
        <v>0</v>
      </c>
      <c r="I243" s="239">
        <f>I244+I245</f>
        <v>0</v>
      </c>
      <c r="J243" s="148">
        <f>J244+J245</f>
        <v>0</v>
      </c>
      <c r="K243" s="160">
        <f t="shared" si="47"/>
        <v>0</v>
      </c>
      <c r="L243" s="74">
        <f t="shared" ref="L243:W243" si="57">L244+L245</f>
        <v>0</v>
      </c>
      <c r="M243" s="13">
        <f t="shared" si="57"/>
        <v>0</v>
      </c>
      <c r="N243" s="79">
        <f t="shared" si="57"/>
        <v>0</v>
      </c>
      <c r="O243" s="79">
        <f t="shared" si="57"/>
        <v>0</v>
      </c>
      <c r="P243" s="13">
        <f t="shared" si="57"/>
        <v>0</v>
      </c>
      <c r="Q243" s="79">
        <f t="shared" si="57"/>
        <v>0</v>
      </c>
      <c r="R243" s="79">
        <f t="shared" si="57"/>
        <v>0</v>
      </c>
      <c r="S243" s="45">
        <f t="shared" si="57"/>
        <v>0</v>
      </c>
      <c r="T243" s="342">
        <f t="shared" si="57"/>
        <v>0</v>
      </c>
      <c r="U243" s="79">
        <f t="shared" si="57"/>
        <v>0</v>
      </c>
      <c r="V243" s="79">
        <f t="shared" si="57"/>
        <v>0</v>
      </c>
      <c r="W243" s="45">
        <f t="shared" si="57"/>
        <v>0</v>
      </c>
    </row>
    <row r="244" spans="1:23" hidden="1" x14ac:dyDescent="0.25">
      <c r="A244" s="181" t="s">
        <v>901</v>
      </c>
      <c r="B244" s="190"/>
      <c r="C244" s="630" t="s">
        <v>905</v>
      </c>
      <c r="D244" s="630"/>
      <c r="E244" s="183">
        <v>0</v>
      </c>
      <c r="F244" s="340">
        <v>0</v>
      </c>
      <c r="G244" s="310">
        <v>0</v>
      </c>
      <c r="H244" s="508">
        <v>0</v>
      </c>
      <c r="I244" s="251">
        <f>SUM(O244:Z244)</f>
        <v>0</v>
      </c>
      <c r="J244" s="182"/>
      <c r="K244" s="183">
        <f t="shared" si="47"/>
        <v>0</v>
      </c>
      <c r="L244" s="191"/>
      <c r="M244" s="185"/>
      <c r="N244" s="186"/>
      <c r="O244" s="186"/>
      <c r="P244" s="185"/>
      <c r="Q244" s="186"/>
      <c r="R244" s="186"/>
      <c r="S244" s="187"/>
      <c r="T244" s="340"/>
      <c r="U244" s="186"/>
      <c r="V244" s="186"/>
      <c r="W244" s="187"/>
    </row>
    <row r="245" spans="1:23" hidden="1" x14ac:dyDescent="0.25">
      <c r="A245" s="181" t="s">
        <v>904</v>
      </c>
      <c r="B245" s="190"/>
      <c r="C245" s="630" t="s">
        <v>906</v>
      </c>
      <c r="D245" s="630"/>
      <c r="E245" s="183">
        <v>0</v>
      </c>
      <c r="F245" s="340">
        <v>0</v>
      </c>
      <c r="G245" s="310">
        <v>0</v>
      </c>
      <c r="H245" s="508">
        <v>0</v>
      </c>
      <c r="I245" s="251">
        <f>SUM(O245:Z245)</f>
        <v>0</v>
      </c>
      <c r="J245" s="182"/>
      <c r="K245" s="183">
        <f t="shared" si="47"/>
        <v>0</v>
      </c>
      <c r="L245" s="191"/>
      <c r="M245" s="185"/>
      <c r="N245" s="186"/>
      <c r="O245" s="186"/>
      <c r="P245" s="185"/>
      <c r="Q245" s="186"/>
      <c r="R245" s="186"/>
      <c r="S245" s="187"/>
      <c r="T245" s="340"/>
      <c r="U245" s="186"/>
      <c r="V245" s="186"/>
      <c r="W245" s="187"/>
    </row>
    <row r="246" spans="1:23" hidden="1" x14ac:dyDescent="0.25">
      <c r="A246" s="88" t="s">
        <v>708</v>
      </c>
      <c r="B246" s="626" t="s">
        <v>304</v>
      </c>
      <c r="C246" s="627"/>
      <c r="D246" s="627"/>
      <c r="E246" s="158">
        <v>0</v>
      </c>
      <c r="F246" s="341">
        <v>0</v>
      </c>
      <c r="G246" s="311">
        <v>0</v>
      </c>
      <c r="H246" s="509">
        <v>0</v>
      </c>
      <c r="I246" s="233">
        <f>I247+I248+I249+I250+I251</f>
        <v>0</v>
      </c>
      <c r="J246" s="142">
        <f>J247+J248+J249+J250+J251</f>
        <v>0</v>
      </c>
      <c r="K246" s="158">
        <f t="shared" si="47"/>
        <v>0</v>
      </c>
      <c r="L246" s="90">
        <f t="shared" ref="L246:W246" si="58">L247+L248+L249+L250+L251</f>
        <v>0</v>
      </c>
      <c r="M246" s="91">
        <f t="shared" si="58"/>
        <v>0</v>
      </c>
      <c r="N246" s="94">
        <f t="shared" si="58"/>
        <v>0</v>
      </c>
      <c r="O246" s="94">
        <f t="shared" si="58"/>
        <v>0</v>
      </c>
      <c r="P246" s="91">
        <f t="shared" si="58"/>
        <v>0</v>
      </c>
      <c r="Q246" s="94">
        <f t="shared" si="58"/>
        <v>0</v>
      </c>
      <c r="R246" s="94">
        <f t="shared" si="58"/>
        <v>0</v>
      </c>
      <c r="S246" s="95">
        <f t="shared" si="58"/>
        <v>0</v>
      </c>
      <c r="T246" s="341">
        <f t="shared" si="58"/>
        <v>0</v>
      </c>
      <c r="U246" s="94">
        <f t="shared" si="58"/>
        <v>0</v>
      </c>
      <c r="V246" s="94">
        <f t="shared" si="58"/>
        <v>0</v>
      </c>
      <c r="W246" s="95">
        <f t="shared" si="58"/>
        <v>0</v>
      </c>
    </row>
    <row r="247" spans="1:23" hidden="1" x14ac:dyDescent="0.25">
      <c r="A247" s="188" t="s">
        <v>709</v>
      </c>
      <c r="B247" s="706" t="s">
        <v>385</v>
      </c>
      <c r="C247" s="707"/>
      <c r="D247" s="707"/>
      <c r="E247" s="201">
        <v>0</v>
      </c>
      <c r="F247" s="347">
        <v>0</v>
      </c>
      <c r="G247" s="319">
        <v>0</v>
      </c>
      <c r="H247" s="511">
        <v>0</v>
      </c>
      <c r="I247" s="252">
        <f t="shared" ref="I247:I253" si="59">SUM(O247:Z247)</f>
        <v>0</v>
      </c>
      <c r="J247" s="189"/>
      <c r="K247" s="201">
        <f t="shared" si="47"/>
        <v>0</v>
      </c>
      <c r="L247" s="202"/>
      <c r="M247" s="203"/>
      <c r="N247" s="206"/>
      <c r="O247" s="206"/>
      <c r="P247" s="203"/>
      <c r="Q247" s="206"/>
      <c r="R247" s="206"/>
      <c r="S247" s="204"/>
      <c r="T247" s="347"/>
      <c r="U247" s="206"/>
      <c r="V247" s="206"/>
      <c r="W247" s="204"/>
    </row>
    <row r="248" spans="1:23" hidden="1" x14ac:dyDescent="0.25">
      <c r="A248" s="188" t="s">
        <v>710</v>
      </c>
      <c r="B248" s="706" t="s">
        <v>386</v>
      </c>
      <c r="C248" s="707"/>
      <c r="D248" s="707"/>
      <c r="E248" s="201">
        <v>0</v>
      </c>
      <c r="F248" s="347">
        <v>0</v>
      </c>
      <c r="G248" s="319">
        <v>0</v>
      </c>
      <c r="H248" s="511">
        <v>0</v>
      </c>
      <c r="I248" s="252">
        <f t="shared" si="59"/>
        <v>0</v>
      </c>
      <c r="J248" s="189"/>
      <c r="K248" s="201">
        <f t="shared" si="47"/>
        <v>0</v>
      </c>
      <c r="L248" s="202"/>
      <c r="M248" s="203"/>
      <c r="N248" s="206"/>
      <c r="O248" s="206"/>
      <c r="P248" s="203"/>
      <c r="Q248" s="206"/>
      <c r="R248" s="206"/>
      <c r="S248" s="204"/>
      <c r="T248" s="347"/>
      <c r="U248" s="206"/>
      <c r="V248" s="206"/>
      <c r="W248" s="204"/>
    </row>
    <row r="249" spans="1:23" hidden="1" x14ac:dyDescent="0.25">
      <c r="A249" s="188" t="s">
        <v>711</v>
      </c>
      <c r="B249" s="706" t="s">
        <v>308</v>
      </c>
      <c r="C249" s="707"/>
      <c r="D249" s="707"/>
      <c r="E249" s="201">
        <v>0</v>
      </c>
      <c r="F249" s="347">
        <v>0</v>
      </c>
      <c r="G249" s="319">
        <v>0</v>
      </c>
      <c r="H249" s="511">
        <v>0</v>
      </c>
      <c r="I249" s="252">
        <f t="shared" si="59"/>
        <v>0</v>
      </c>
      <c r="J249" s="189"/>
      <c r="K249" s="201">
        <f t="shared" si="47"/>
        <v>0</v>
      </c>
      <c r="L249" s="202"/>
      <c r="M249" s="203"/>
      <c r="N249" s="206"/>
      <c r="O249" s="206"/>
      <c r="P249" s="203"/>
      <c r="Q249" s="206"/>
      <c r="R249" s="206"/>
      <c r="S249" s="204"/>
      <c r="T249" s="347"/>
      <c r="U249" s="206"/>
      <c r="V249" s="206"/>
      <c r="W249" s="204"/>
    </row>
    <row r="250" spans="1:23" hidden="1" x14ac:dyDescent="0.25">
      <c r="A250" s="188" t="s">
        <v>712</v>
      </c>
      <c r="B250" s="706" t="s">
        <v>310</v>
      </c>
      <c r="C250" s="707"/>
      <c r="D250" s="707"/>
      <c r="E250" s="201">
        <v>0</v>
      </c>
      <c r="F250" s="347">
        <v>0</v>
      </c>
      <c r="G250" s="319">
        <v>0</v>
      </c>
      <c r="H250" s="511">
        <v>0</v>
      </c>
      <c r="I250" s="252">
        <f t="shared" si="59"/>
        <v>0</v>
      </c>
      <c r="J250" s="189"/>
      <c r="K250" s="201">
        <f t="shared" si="47"/>
        <v>0</v>
      </c>
      <c r="L250" s="202"/>
      <c r="M250" s="203"/>
      <c r="N250" s="206"/>
      <c r="O250" s="206"/>
      <c r="P250" s="203"/>
      <c r="Q250" s="206"/>
      <c r="R250" s="206"/>
      <c r="S250" s="204"/>
      <c r="T250" s="347"/>
      <c r="U250" s="206"/>
      <c r="V250" s="206"/>
      <c r="W250" s="204"/>
    </row>
    <row r="251" spans="1:23" hidden="1" x14ac:dyDescent="0.25">
      <c r="A251" s="188" t="s">
        <v>713</v>
      </c>
      <c r="B251" s="706" t="s">
        <v>387</v>
      </c>
      <c r="C251" s="707"/>
      <c r="D251" s="707"/>
      <c r="E251" s="201">
        <v>0</v>
      </c>
      <c r="F251" s="347">
        <v>0</v>
      </c>
      <c r="G251" s="319">
        <v>0</v>
      </c>
      <c r="H251" s="511">
        <v>0</v>
      </c>
      <c r="I251" s="252">
        <f t="shared" si="59"/>
        <v>0</v>
      </c>
      <c r="J251" s="189"/>
      <c r="K251" s="201">
        <f t="shared" si="47"/>
        <v>0</v>
      </c>
      <c r="L251" s="202"/>
      <c r="M251" s="203"/>
      <c r="N251" s="206"/>
      <c r="O251" s="206"/>
      <c r="P251" s="203"/>
      <c r="Q251" s="206"/>
      <c r="R251" s="206"/>
      <c r="S251" s="204"/>
      <c r="T251" s="347"/>
      <c r="U251" s="206"/>
      <c r="V251" s="206"/>
      <c r="W251" s="204"/>
    </row>
    <row r="252" spans="1:23" hidden="1" x14ac:dyDescent="0.25">
      <c r="A252" s="88" t="s">
        <v>714</v>
      </c>
      <c r="B252" s="626" t="s">
        <v>312</v>
      </c>
      <c r="C252" s="627"/>
      <c r="D252" s="627"/>
      <c r="E252" s="158">
        <v>0</v>
      </c>
      <c r="F252" s="341">
        <v>0</v>
      </c>
      <c r="G252" s="311">
        <v>0</v>
      </c>
      <c r="H252" s="509">
        <v>0</v>
      </c>
      <c r="I252" s="233">
        <f t="shared" si="59"/>
        <v>0</v>
      </c>
      <c r="J252" s="142"/>
      <c r="K252" s="158">
        <f t="shared" si="47"/>
        <v>0</v>
      </c>
      <c r="L252" s="90"/>
      <c r="M252" s="91"/>
      <c r="N252" s="94"/>
      <c r="O252" s="94"/>
      <c r="P252" s="91"/>
      <c r="Q252" s="94"/>
      <c r="R252" s="94"/>
      <c r="S252" s="95"/>
      <c r="T252" s="341"/>
      <c r="U252" s="94"/>
      <c r="V252" s="94"/>
      <c r="W252" s="95"/>
    </row>
    <row r="253" spans="1:23" ht="15.75" hidden="1" thickBot="1" x14ac:dyDescent="0.3">
      <c r="A253" s="88" t="s">
        <v>908</v>
      </c>
      <c r="B253" s="626" t="s">
        <v>909</v>
      </c>
      <c r="C253" s="627"/>
      <c r="D253" s="627"/>
      <c r="E253" s="158">
        <v>0</v>
      </c>
      <c r="F253" s="341">
        <v>0</v>
      </c>
      <c r="G253" s="311">
        <v>0</v>
      </c>
      <c r="H253" s="509">
        <v>0</v>
      </c>
      <c r="I253" s="233">
        <f t="shared" si="59"/>
        <v>0</v>
      </c>
      <c r="J253" s="142"/>
      <c r="K253" s="158">
        <f t="shared" si="47"/>
        <v>0</v>
      </c>
      <c r="L253" s="90"/>
      <c r="M253" s="91"/>
      <c r="N253" s="94"/>
      <c r="O253" s="94"/>
      <c r="P253" s="91"/>
      <c r="Q253" s="94"/>
      <c r="R253" s="94"/>
      <c r="S253" s="95"/>
      <c r="T253" s="341"/>
      <c r="U253" s="94"/>
      <c r="V253" s="94"/>
      <c r="W253" s="95"/>
    </row>
    <row r="254" spans="1:23" ht="15.75" thickBot="1" x14ac:dyDescent="0.3">
      <c r="A254" s="722" t="s">
        <v>314</v>
      </c>
      <c r="B254" s="723"/>
      <c r="C254" s="723"/>
      <c r="D254" s="723"/>
      <c r="E254" s="156">
        <v>0</v>
      </c>
      <c r="F254" s="338">
        <v>0</v>
      </c>
      <c r="G254" s="308">
        <v>0</v>
      </c>
      <c r="H254" s="506">
        <v>0</v>
      </c>
      <c r="I254" s="230">
        <f>I4+I23+I31+I58+I74+I146+I156+I161+I224</f>
        <v>73898233</v>
      </c>
      <c r="J254" s="139">
        <f>J4+J23+J31+J58+J74+J146+J156+J161+J224</f>
        <v>0</v>
      </c>
      <c r="K254" s="156">
        <f t="shared" si="47"/>
        <v>73898233</v>
      </c>
      <c r="L254" s="82">
        <f t="shared" ref="L254:W254" si="60">L4+L23+L31+L58+L74+L146+L156+L161+L224</f>
        <v>0</v>
      </c>
      <c r="M254" s="83">
        <f t="shared" si="60"/>
        <v>2794</v>
      </c>
      <c r="N254" s="86">
        <f t="shared" si="60"/>
        <v>0</v>
      </c>
      <c r="O254" s="86">
        <f t="shared" si="60"/>
        <v>0</v>
      </c>
      <c r="P254" s="83">
        <f t="shared" si="60"/>
        <v>0</v>
      </c>
      <c r="Q254" s="86">
        <f t="shared" si="60"/>
        <v>33766267</v>
      </c>
      <c r="R254" s="86">
        <f t="shared" si="60"/>
        <v>0</v>
      </c>
      <c r="S254" s="87">
        <f t="shared" si="60"/>
        <v>148590</v>
      </c>
      <c r="T254" s="338">
        <f t="shared" si="60"/>
        <v>65130</v>
      </c>
      <c r="U254" s="86">
        <f t="shared" si="60"/>
        <v>0</v>
      </c>
      <c r="V254" s="86">
        <f t="shared" si="60"/>
        <v>0</v>
      </c>
      <c r="W254" s="87">
        <f t="shared" si="60"/>
        <v>41497655</v>
      </c>
    </row>
  </sheetData>
  <mergeCells count="246">
    <mergeCell ref="E1:E3"/>
    <mergeCell ref="F1:F3"/>
    <mergeCell ref="G1:G3"/>
    <mergeCell ref="H1:H3"/>
    <mergeCell ref="I1:K1"/>
    <mergeCell ref="B5:D5"/>
    <mergeCell ref="T1:W2"/>
    <mergeCell ref="L1:S2"/>
    <mergeCell ref="B30:D30"/>
    <mergeCell ref="B19:D19"/>
    <mergeCell ref="B20:D20"/>
    <mergeCell ref="B21:D21"/>
    <mergeCell ref="B22:D22"/>
    <mergeCell ref="B23:D23"/>
    <mergeCell ref="I2:I3"/>
    <mergeCell ref="J2:J3"/>
    <mergeCell ref="K2:K3"/>
    <mergeCell ref="B4:D4"/>
    <mergeCell ref="A1:D3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C45:D45"/>
    <mergeCell ref="C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C66:D66"/>
    <mergeCell ref="C67:D67"/>
    <mergeCell ref="C68:D68"/>
    <mergeCell ref="B69:D69"/>
    <mergeCell ref="C70:D70"/>
    <mergeCell ref="C71:D71"/>
    <mergeCell ref="B60:D60"/>
    <mergeCell ref="B61:D61"/>
    <mergeCell ref="B62:D62"/>
    <mergeCell ref="B63:D63"/>
    <mergeCell ref="B64:D64"/>
    <mergeCell ref="B65:D65"/>
    <mergeCell ref="B78:D78"/>
    <mergeCell ref="B82:D82"/>
    <mergeCell ref="B83:D83"/>
    <mergeCell ref="C84:D84"/>
    <mergeCell ref="C85:D85"/>
    <mergeCell ref="C86:D86"/>
    <mergeCell ref="C72:D72"/>
    <mergeCell ref="C73:D73"/>
    <mergeCell ref="B74:D74"/>
    <mergeCell ref="B75:D75"/>
    <mergeCell ref="C76:D76"/>
    <mergeCell ref="C77:D77"/>
    <mergeCell ref="C93:D93"/>
    <mergeCell ref="B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B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17:D117"/>
    <mergeCell ref="C118:D118"/>
    <mergeCell ref="B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B116:D116"/>
    <mergeCell ref="C129:D129"/>
    <mergeCell ref="C130:D130"/>
    <mergeCell ref="B131:D131"/>
    <mergeCell ref="B132:D132"/>
    <mergeCell ref="B133:D133"/>
    <mergeCell ref="B134:D134"/>
    <mergeCell ref="C123:D123"/>
    <mergeCell ref="C124:D124"/>
    <mergeCell ref="C125:D125"/>
    <mergeCell ref="C126:D126"/>
    <mergeCell ref="C127:D127"/>
    <mergeCell ref="C128:D128"/>
    <mergeCell ref="C141:D141"/>
    <mergeCell ref="C142:D142"/>
    <mergeCell ref="C143:D143"/>
    <mergeCell ref="C144:D144"/>
    <mergeCell ref="B145:D145"/>
    <mergeCell ref="B146:D146"/>
    <mergeCell ref="C135:D135"/>
    <mergeCell ref="C136:D136"/>
    <mergeCell ref="C137:D137"/>
    <mergeCell ref="C138:D138"/>
    <mergeCell ref="C139:D139"/>
    <mergeCell ref="C140:D140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C149:D149"/>
    <mergeCell ref="C150:D150"/>
    <mergeCell ref="B151:D151"/>
    <mergeCell ref="B152:D152"/>
    <mergeCell ref="C165:D165"/>
    <mergeCell ref="C166:D166"/>
    <mergeCell ref="C167:D167"/>
    <mergeCell ref="C168:D168"/>
    <mergeCell ref="C169:D169"/>
    <mergeCell ref="C170:D170"/>
    <mergeCell ref="B159:D159"/>
    <mergeCell ref="B160:D160"/>
    <mergeCell ref="B161:D161"/>
    <mergeCell ref="B162:D162"/>
    <mergeCell ref="B163:D163"/>
    <mergeCell ref="C164:D164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B174:D174"/>
    <mergeCell ref="C175:D175"/>
    <mergeCell ref="C176:D176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B185:D185"/>
    <mergeCell ref="C186:D186"/>
    <mergeCell ref="C187:D187"/>
    <mergeCell ref="C188:D188"/>
    <mergeCell ref="C201:D201"/>
    <mergeCell ref="C202:D202"/>
    <mergeCell ref="C203:D203"/>
    <mergeCell ref="C204:D204"/>
    <mergeCell ref="C205:D205"/>
    <mergeCell ref="C206:D206"/>
    <mergeCell ref="C195:D195"/>
    <mergeCell ref="B196:D196"/>
    <mergeCell ref="C197:D197"/>
    <mergeCell ref="C198:D198"/>
    <mergeCell ref="B199:D199"/>
    <mergeCell ref="C200:D200"/>
    <mergeCell ref="B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B211:D211"/>
    <mergeCell ref="B212:D212"/>
    <mergeCell ref="B225:D225"/>
    <mergeCell ref="B226:D226"/>
    <mergeCell ref="C227:D227"/>
    <mergeCell ref="C228:D228"/>
    <mergeCell ref="C229:D229"/>
    <mergeCell ref="B230:D230"/>
    <mergeCell ref="C219:D219"/>
    <mergeCell ref="C220:D220"/>
    <mergeCell ref="C221:D221"/>
    <mergeCell ref="C222:D222"/>
    <mergeCell ref="C223:D223"/>
    <mergeCell ref="B224:D224"/>
    <mergeCell ref="B237:D237"/>
    <mergeCell ref="B238:D238"/>
    <mergeCell ref="B239:D239"/>
    <mergeCell ref="B240:D240"/>
    <mergeCell ref="B241:D241"/>
    <mergeCell ref="B242:D242"/>
    <mergeCell ref="C231:D231"/>
    <mergeCell ref="C232:D232"/>
    <mergeCell ref="C233:D233"/>
    <mergeCell ref="C234:D234"/>
    <mergeCell ref="C235:D235"/>
    <mergeCell ref="C236:D236"/>
    <mergeCell ref="B249:D249"/>
    <mergeCell ref="B250:D250"/>
    <mergeCell ref="B251:D251"/>
    <mergeCell ref="B252:D252"/>
    <mergeCell ref="B253:D253"/>
    <mergeCell ref="A254:D254"/>
    <mergeCell ref="B243:D243"/>
    <mergeCell ref="C244:D244"/>
    <mergeCell ref="C245:D245"/>
    <mergeCell ref="B246:D246"/>
    <mergeCell ref="B247:D247"/>
    <mergeCell ref="B248:D248"/>
  </mergeCells>
  <pageMargins left="0.7" right="0.7" top="0.75" bottom="0.75" header="0.3" footer="0.3"/>
  <pageSetup paperSize="9" scale="34" orientation="portrait" r:id="rId1"/>
  <headerFooter>
    <oddHeader>&amp;C&amp;"Times New Roman,Félkövér"052020 - Szennyvíz gyűjtése, tisztítása, elhelyezése Kiadások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723"/>
  <sheetViews>
    <sheetView showWhiteSpace="0" view="pageLayout" zoomScale="86" zoomScaleNormal="83" zoomScalePageLayoutView="86" workbookViewId="0">
      <selection activeCell="Q264" sqref="Q264"/>
    </sheetView>
  </sheetViews>
  <sheetFormatPr defaultColWidth="9.140625" defaultRowHeight="15" x14ac:dyDescent="0.25"/>
  <cols>
    <col min="1" max="1" width="7.85546875" style="118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9" width="12.7109375" style="12" customWidth="1"/>
    <col min="10" max="10" width="11.85546875" style="12" customWidth="1"/>
    <col min="11" max="11" width="8.140625" style="12" customWidth="1"/>
    <col min="12" max="12" width="11.7109375" style="49" customWidth="1"/>
    <col min="13" max="13" width="7.140625" style="12" customWidth="1"/>
    <col min="14" max="14" width="10.140625" style="12" bestFit="1" customWidth="1"/>
    <col min="15" max="15" width="6.140625" style="12" customWidth="1"/>
    <col min="16" max="16" width="5.7109375" style="12" customWidth="1"/>
    <col min="17" max="17" width="6" style="12" customWidth="1"/>
    <col min="18" max="18" width="6.28515625" style="12" customWidth="1"/>
    <col min="19" max="19" width="5" style="12" customWidth="1"/>
    <col min="20" max="20" width="5.28515625" style="12" customWidth="1"/>
    <col min="21" max="21" width="11.42578125" style="12" bestFit="1" customWidth="1"/>
    <col min="22" max="22" width="7.5703125" style="12" customWidth="1"/>
    <col min="23" max="23" width="10.140625" style="12" bestFit="1" customWidth="1"/>
    <col min="24" max="24" width="12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677" t="s">
        <v>0</v>
      </c>
      <c r="C2" s="668"/>
      <c r="D2" s="668"/>
      <c r="E2" s="668"/>
      <c r="F2" s="669" t="s">
        <v>1049</v>
      </c>
      <c r="G2" s="669" t="s">
        <v>1052</v>
      </c>
      <c r="H2" s="669" t="s">
        <v>1054</v>
      </c>
      <c r="I2" s="669" t="s">
        <v>1055</v>
      </c>
      <c r="J2" s="691" t="s">
        <v>1041</v>
      </c>
      <c r="K2" s="683"/>
      <c r="L2" s="684"/>
      <c r="M2" s="661" t="s">
        <v>1053</v>
      </c>
      <c r="N2" s="668"/>
      <c r="O2" s="668"/>
      <c r="P2" s="668"/>
      <c r="Q2" s="668"/>
      <c r="R2" s="668"/>
      <c r="S2" s="668"/>
      <c r="T2" s="669"/>
      <c r="U2" s="668" t="s">
        <v>1042</v>
      </c>
      <c r="V2" s="668"/>
      <c r="W2" s="668"/>
      <c r="X2" s="669"/>
    </row>
    <row r="3" spans="1:24" ht="22.5" customHeight="1" x14ac:dyDescent="0.25">
      <c r="B3" s="678"/>
      <c r="C3" s="679"/>
      <c r="D3" s="679"/>
      <c r="E3" s="679"/>
      <c r="F3" s="689"/>
      <c r="G3" s="689"/>
      <c r="H3" s="689"/>
      <c r="I3" s="689"/>
      <c r="J3" s="692" t="s">
        <v>853</v>
      </c>
      <c r="K3" s="694" t="s">
        <v>854</v>
      </c>
      <c r="L3" s="696" t="s">
        <v>571</v>
      </c>
      <c r="M3" s="672"/>
      <c r="N3" s="670"/>
      <c r="O3" s="670"/>
      <c r="P3" s="670"/>
      <c r="Q3" s="670"/>
      <c r="R3" s="670"/>
      <c r="S3" s="670"/>
      <c r="T3" s="671"/>
      <c r="U3" s="670"/>
      <c r="V3" s="670"/>
      <c r="W3" s="670"/>
      <c r="X3" s="671"/>
    </row>
    <row r="4" spans="1:24" ht="25.5" customHeight="1" thickBot="1" x14ac:dyDescent="0.3">
      <c r="B4" s="680"/>
      <c r="C4" s="681"/>
      <c r="D4" s="681"/>
      <c r="E4" s="681"/>
      <c r="F4" s="690"/>
      <c r="G4" s="690"/>
      <c r="H4" s="690"/>
      <c r="I4" s="690"/>
      <c r="J4" s="693"/>
      <c r="K4" s="695"/>
      <c r="L4" s="697"/>
      <c r="M4" s="122" t="s">
        <v>592</v>
      </c>
      <c r="N4" s="63" t="s">
        <v>593</v>
      </c>
      <c r="O4" s="408" t="s">
        <v>594</v>
      </c>
      <c r="P4" s="408" t="s">
        <v>595</v>
      </c>
      <c r="Q4" s="80" t="s">
        <v>596</v>
      </c>
      <c r="R4" s="408" t="s">
        <v>597</v>
      </c>
      <c r="S4" s="408" t="s">
        <v>598</v>
      </c>
      <c r="T4" s="390" t="s">
        <v>599</v>
      </c>
      <c r="U4" s="389" t="s">
        <v>600</v>
      </c>
      <c r="V4" s="408" t="s">
        <v>601</v>
      </c>
      <c r="W4" s="408" t="s">
        <v>602</v>
      </c>
      <c r="X4" s="390" t="s">
        <v>603</v>
      </c>
    </row>
    <row r="5" spans="1:24" ht="15.75" thickBot="1" x14ac:dyDescent="0.3">
      <c r="B5" s="81" t="s">
        <v>118</v>
      </c>
      <c r="C5" s="698" t="s">
        <v>119</v>
      </c>
      <c r="D5" s="699"/>
      <c r="E5" s="699"/>
      <c r="F5" s="156">
        <v>0</v>
      </c>
      <c r="G5" s="338">
        <v>0</v>
      </c>
      <c r="H5" s="308">
        <v>0</v>
      </c>
      <c r="I5" s="506">
        <v>0</v>
      </c>
      <c r="J5" s="230">
        <f>J6+J20</f>
        <v>0</v>
      </c>
      <c r="K5" s="139">
        <f t="shared" ref="K5:X5" si="0">K6+K20</f>
        <v>0</v>
      </c>
      <c r="L5" s="156">
        <f>SUM(J5:K5)</f>
        <v>0</v>
      </c>
      <c r="M5" s="82">
        <f t="shared" si="0"/>
        <v>0</v>
      </c>
      <c r="N5" s="83">
        <f t="shared" si="0"/>
        <v>0</v>
      </c>
      <c r="O5" s="86">
        <f t="shared" si="0"/>
        <v>0</v>
      </c>
      <c r="P5" s="86">
        <f t="shared" si="0"/>
        <v>0</v>
      </c>
      <c r="Q5" s="83">
        <f t="shared" si="0"/>
        <v>0</v>
      </c>
      <c r="R5" s="86">
        <f t="shared" si="0"/>
        <v>0</v>
      </c>
      <c r="S5" s="86">
        <f t="shared" si="0"/>
        <v>0</v>
      </c>
      <c r="T5" s="87">
        <f t="shared" si="0"/>
        <v>0</v>
      </c>
      <c r="U5" s="338">
        <f t="shared" si="0"/>
        <v>0</v>
      </c>
      <c r="V5" s="86">
        <f t="shared" si="0"/>
        <v>0</v>
      </c>
      <c r="W5" s="86">
        <f t="shared" si="0"/>
        <v>0</v>
      </c>
      <c r="X5" s="87">
        <f t="shared" si="0"/>
        <v>0</v>
      </c>
    </row>
    <row r="6" spans="1:24" ht="15" hidden="1" customHeight="1" x14ac:dyDescent="0.25">
      <c r="B6" s="115" t="s">
        <v>608</v>
      </c>
      <c r="C6" s="653" t="s">
        <v>120</v>
      </c>
      <c r="D6" s="654"/>
      <c r="E6" s="654"/>
      <c r="F6" s="157">
        <v>0</v>
      </c>
      <c r="G6" s="339">
        <v>0</v>
      </c>
      <c r="H6" s="309">
        <v>0</v>
      </c>
      <c r="I6" s="507">
        <v>0</v>
      </c>
      <c r="J6" s="231">
        <f>J7+J8+J9+J10+J11+J12+J13+J14+J15+J16+J17+J18+J19</f>
        <v>0</v>
      </c>
      <c r="K6" s="140">
        <f t="shared" ref="K6:X6" si="1">K7+K8+K9+K10+K11+K12+K13+K14+K15+K16+K17+K18+K19</f>
        <v>0</v>
      </c>
      <c r="L6" s="157">
        <f t="shared" ref="L6:L69" si="2">SUM(J6:K6)</f>
        <v>0</v>
      </c>
      <c r="M6" s="109">
        <f t="shared" si="1"/>
        <v>0</v>
      </c>
      <c r="N6" s="110">
        <f t="shared" si="1"/>
        <v>0</v>
      </c>
      <c r="O6" s="113">
        <f t="shared" si="1"/>
        <v>0</v>
      </c>
      <c r="P6" s="113">
        <f t="shared" si="1"/>
        <v>0</v>
      </c>
      <c r="Q6" s="110">
        <f t="shared" si="1"/>
        <v>0</v>
      </c>
      <c r="R6" s="113">
        <f t="shared" si="1"/>
        <v>0</v>
      </c>
      <c r="S6" s="113">
        <f t="shared" si="1"/>
        <v>0</v>
      </c>
      <c r="T6" s="114">
        <f t="shared" si="1"/>
        <v>0</v>
      </c>
      <c r="U6" s="339">
        <f t="shared" si="1"/>
        <v>0</v>
      </c>
      <c r="V6" s="113">
        <f t="shared" si="1"/>
        <v>0</v>
      </c>
      <c r="W6" s="113">
        <f t="shared" si="1"/>
        <v>0</v>
      </c>
      <c r="X6" s="114">
        <f t="shared" si="1"/>
        <v>0</v>
      </c>
    </row>
    <row r="7" spans="1:24" s="199" customFormat="1" ht="15" hidden="1" customHeight="1" x14ac:dyDescent="0.25">
      <c r="A7" s="118" t="s">
        <v>121</v>
      </c>
      <c r="B7" s="181" t="s">
        <v>609</v>
      </c>
      <c r="C7" s="194"/>
      <c r="D7" s="247" t="s">
        <v>122</v>
      </c>
      <c r="E7" s="247"/>
      <c r="F7" s="183">
        <v>0</v>
      </c>
      <c r="G7" s="340">
        <v>0</v>
      </c>
      <c r="H7" s="310">
        <v>0</v>
      </c>
      <c r="I7" s="508">
        <v>0</v>
      </c>
      <c r="J7" s="251">
        <f>SUM(M7:X7)</f>
        <v>0</v>
      </c>
      <c r="K7" s="182"/>
      <c r="L7" s="183">
        <f t="shared" si="2"/>
        <v>0</v>
      </c>
      <c r="M7" s="191"/>
      <c r="N7" s="185"/>
      <c r="O7" s="186"/>
      <c r="P7" s="186"/>
      <c r="Q7" s="185"/>
      <c r="R7" s="186"/>
      <c r="S7" s="186"/>
      <c r="T7" s="187"/>
      <c r="U7" s="340"/>
      <c r="V7" s="186"/>
      <c r="W7" s="186"/>
      <c r="X7" s="187"/>
    </row>
    <row r="8" spans="1:24" s="199" customFormat="1" ht="15" hidden="1" customHeight="1" x14ac:dyDescent="0.25">
      <c r="A8" s="118" t="s">
        <v>123</v>
      </c>
      <c r="B8" s="181" t="s">
        <v>610</v>
      </c>
      <c r="C8" s="194"/>
      <c r="D8" s="247" t="s">
        <v>124</v>
      </c>
      <c r="E8" s="247"/>
      <c r="F8" s="183">
        <v>0</v>
      </c>
      <c r="G8" s="340">
        <v>0</v>
      </c>
      <c r="H8" s="310">
        <v>0</v>
      </c>
      <c r="I8" s="508">
        <v>0</v>
      </c>
      <c r="J8" s="251">
        <f t="shared" ref="J8:J19" si="3">SUM(M8:X8)</f>
        <v>0</v>
      </c>
      <c r="K8" s="182"/>
      <c r="L8" s="183">
        <f t="shared" si="2"/>
        <v>0</v>
      </c>
      <c r="M8" s="191"/>
      <c r="N8" s="185"/>
      <c r="O8" s="186"/>
      <c r="P8" s="186"/>
      <c r="Q8" s="185"/>
      <c r="R8" s="186"/>
      <c r="S8" s="186"/>
      <c r="T8" s="187"/>
      <c r="U8" s="340"/>
      <c r="V8" s="186"/>
      <c r="W8" s="186"/>
      <c r="X8" s="187"/>
    </row>
    <row r="9" spans="1:24" s="199" customFormat="1" ht="15" hidden="1" customHeight="1" x14ac:dyDescent="0.25">
      <c r="A9" s="118" t="s">
        <v>125</v>
      </c>
      <c r="B9" s="181" t="s">
        <v>611</v>
      </c>
      <c r="C9" s="194"/>
      <c r="D9" s="247" t="s">
        <v>126</v>
      </c>
      <c r="E9" s="247"/>
      <c r="F9" s="183">
        <v>0</v>
      </c>
      <c r="G9" s="340">
        <v>0</v>
      </c>
      <c r="H9" s="310">
        <v>0</v>
      </c>
      <c r="I9" s="508">
        <v>0</v>
      </c>
      <c r="J9" s="251">
        <f t="shared" si="3"/>
        <v>0</v>
      </c>
      <c r="K9" s="182"/>
      <c r="L9" s="183">
        <f t="shared" si="2"/>
        <v>0</v>
      </c>
      <c r="M9" s="191"/>
      <c r="N9" s="185"/>
      <c r="O9" s="186"/>
      <c r="P9" s="186"/>
      <c r="Q9" s="185"/>
      <c r="R9" s="186"/>
      <c r="S9" s="186"/>
      <c r="T9" s="187"/>
      <c r="U9" s="340"/>
      <c r="V9" s="186"/>
      <c r="W9" s="186"/>
      <c r="X9" s="187"/>
    </row>
    <row r="10" spans="1:24" s="199" customFormat="1" ht="15" hidden="1" customHeight="1" x14ac:dyDescent="0.25">
      <c r="A10" s="118" t="s">
        <v>127</v>
      </c>
      <c r="B10" s="181" t="s">
        <v>612</v>
      </c>
      <c r="C10" s="194"/>
      <c r="D10" s="247" t="s">
        <v>351</v>
      </c>
      <c r="E10" s="247"/>
      <c r="F10" s="183">
        <v>0</v>
      </c>
      <c r="G10" s="340">
        <v>0</v>
      </c>
      <c r="H10" s="310">
        <v>0</v>
      </c>
      <c r="I10" s="508">
        <v>0</v>
      </c>
      <c r="J10" s="251">
        <f t="shared" si="3"/>
        <v>0</v>
      </c>
      <c r="K10" s="182"/>
      <c r="L10" s="183">
        <f t="shared" si="2"/>
        <v>0</v>
      </c>
      <c r="M10" s="191"/>
      <c r="N10" s="185"/>
      <c r="O10" s="186"/>
      <c r="P10" s="186"/>
      <c r="Q10" s="185"/>
      <c r="R10" s="186"/>
      <c r="S10" s="186"/>
      <c r="T10" s="187"/>
      <c r="U10" s="340"/>
      <c r="V10" s="186"/>
      <c r="W10" s="186"/>
      <c r="X10" s="187"/>
    </row>
    <row r="11" spans="1:24" s="199" customFormat="1" ht="15" hidden="1" customHeight="1" x14ac:dyDescent="0.25">
      <c r="A11" s="118" t="s">
        <v>128</v>
      </c>
      <c r="B11" s="181" t="s">
        <v>613</v>
      </c>
      <c r="C11" s="194"/>
      <c r="D11" s="247" t="s">
        <v>129</v>
      </c>
      <c r="E11" s="247"/>
      <c r="F11" s="183">
        <v>0</v>
      </c>
      <c r="G11" s="340">
        <v>0</v>
      </c>
      <c r="H11" s="310">
        <v>0</v>
      </c>
      <c r="I11" s="508">
        <v>0</v>
      </c>
      <c r="J11" s="251">
        <f t="shared" si="3"/>
        <v>0</v>
      </c>
      <c r="K11" s="182"/>
      <c r="L11" s="183">
        <f t="shared" si="2"/>
        <v>0</v>
      </c>
      <c r="M11" s="191"/>
      <c r="N11" s="185"/>
      <c r="O11" s="186"/>
      <c r="P11" s="186"/>
      <c r="Q11" s="185"/>
      <c r="R11" s="186"/>
      <c r="S11" s="186"/>
      <c r="T11" s="187"/>
      <c r="U11" s="340"/>
      <c r="V11" s="186"/>
      <c r="W11" s="186"/>
      <c r="X11" s="187"/>
    </row>
    <row r="12" spans="1:24" s="199" customFormat="1" ht="15" hidden="1" customHeight="1" x14ac:dyDescent="0.25">
      <c r="A12" s="118" t="s">
        <v>130</v>
      </c>
      <c r="B12" s="181" t="s">
        <v>614</v>
      </c>
      <c r="C12" s="194"/>
      <c r="D12" s="247" t="s">
        <v>131</v>
      </c>
      <c r="E12" s="247"/>
      <c r="F12" s="183">
        <v>0</v>
      </c>
      <c r="G12" s="340">
        <v>0</v>
      </c>
      <c r="H12" s="310">
        <v>0</v>
      </c>
      <c r="I12" s="508">
        <v>0</v>
      </c>
      <c r="J12" s="251">
        <f t="shared" si="3"/>
        <v>0</v>
      </c>
      <c r="K12" s="182"/>
      <c r="L12" s="183">
        <f t="shared" si="2"/>
        <v>0</v>
      </c>
      <c r="M12" s="191"/>
      <c r="N12" s="185"/>
      <c r="O12" s="186"/>
      <c r="P12" s="186"/>
      <c r="Q12" s="185"/>
      <c r="R12" s="186"/>
      <c r="S12" s="186"/>
      <c r="T12" s="187"/>
      <c r="U12" s="340"/>
      <c r="V12" s="186"/>
      <c r="W12" s="186"/>
      <c r="X12" s="187"/>
    </row>
    <row r="13" spans="1:24" s="199" customFormat="1" ht="15" hidden="1" customHeight="1" x14ac:dyDescent="0.25">
      <c r="A13" s="118" t="s">
        <v>132</v>
      </c>
      <c r="B13" s="181" t="s">
        <v>615</v>
      </c>
      <c r="C13" s="194"/>
      <c r="D13" s="247" t="s">
        <v>133</v>
      </c>
      <c r="E13" s="247"/>
      <c r="F13" s="183">
        <v>0</v>
      </c>
      <c r="G13" s="340">
        <v>0</v>
      </c>
      <c r="H13" s="310">
        <v>0</v>
      </c>
      <c r="I13" s="508">
        <v>0</v>
      </c>
      <c r="J13" s="251">
        <f t="shared" si="3"/>
        <v>0</v>
      </c>
      <c r="K13" s="182"/>
      <c r="L13" s="183">
        <f t="shared" si="2"/>
        <v>0</v>
      </c>
      <c r="M13" s="191"/>
      <c r="N13" s="185"/>
      <c r="O13" s="186"/>
      <c r="P13" s="186"/>
      <c r="Q13" s="185"/>
      <c r="R13" s="186"/>
      <c r="S13" s="186"/>
      <c r="T13" s="187"/>
      <c r="U13" s="340"/>
      <c r="V13" s="186"/>
      <c r="W13" s="186"/>
      <c r="X13" s="187"/>
    </row>
    <row r="14" spans="1:24" s="199" customFormat="1" ht="15" hidden="1" customHeight="1" x14ac:dyDescent="0.25">
      <c r="A14" s="118" t="s">
        <v>134</v>
      </c>
      <c r="B14" s="181" t="s">
        <v>616</v>
      </c>
      <c r="C14" s="194"/>
      <c r="D14" s="247" t="s">
        <v>135</v>
      </c>
      <c r="E14" s="247"/>
      <c r="F14" s="183">
        <v>0</v>
      </c>
      <c r="G14" s="340">
        <v>0</v>
      </c>
      <c r="H14" s="310">
        <v>0</v>
      </c>
      <c r="I14" s="508">
        <v>0</v>
      </c>
      <c r="J14" s="251">
        <f t="shared" si="3"/>
        <v>0</v>
      </c>
      <c r="K14" s="182"/>
      <c r="L14" s="183">
        <f t="shared" si="2"/>
        <v>0</v>
      </c>
      <c r="M14" s="191"/>
      <c r="N14" s="185"/>
      <c r="O14" s="186"/>
      <c r="P14" s="186"/>
      <c r="Q14" s="185"/>
      <c r="R14" s="186"/>
      <c r="S14" s="186"/>
      <c r="T14" s="187"/>
      <c r="U14" s="340"/>
      <c r="V14" s="186"/>
      <c r="W14" s="186"/>
      <c r="X14" s="187"/>
    </row>
    <row r="15" spans="1:24" s="199" customFormat="1" ht="15" hidden="1" customHeight="1" x14ac:dyDescent="0.25">
      <c r="A15" s="118" t="s">
        <v>136</v>
      </c>
      <c r="B15" s="181" t="s">
        <v>617</v>
      </c>
      <c r="C15" s="194"/>
      <c r="D15" s="247" t="s">
        <v>137</v>
      </c>
      <c r="E15" s="247"/>
      <c r="F15" s="183">
        <v>0</v>
      </c>
      <c r="G15" s="340">
        <v>0</v>
      </c>
      <c r="H15" s="310">
        <v>0</v>
      </c>
      <c r="I15" s="508">
        <v>0</v>
      </c>
      <c r="J15" s="251">
        <f t="shared" si="3"/>
        <v>0</v>
      </c>
      <c r="K15" s="182"/>
      <c r="L15" s="183">
        <f t="shared" si="2"/>
        <v>0</v>
      </c>
      <c r="M15" s="191"/>
      <c r="N15" s="185"/>
      <c r="O15" s="186"/>
      <c r="P15" s="186"/>
      <c r="Q15" s="185"/>
      <c r="R15" s="186"/>
      <c r="S15" s="186"/>
      <c r="T15" s="187"/>
      <c r="U15" s="340"/>
      <c r="V15" s="186"/>
      <c r="W15" s="186"/>
      <c r="X15" s="187"/>
    </row>
    <row r="16" spans="1:24" s="199" customFormat="1" ht="15" hidden="1" customHeight="1" x14ac:dyDescent="0.25">
      <c r="A16" s="118" t="s">
        <v>138</v>
      </c>
      <c r="B16" s="181" t="s">
        <v>618</v>
      </c>
      <c r="C16" s="194"/>
      <c r="D16" s="247" t="s">
        <v>139</v>
      </c>
      <c r="E16" s="247"/>
      <c r="F16" s="183">
        <v>0</v>
      </c>
      <c r="G16" s="340">
        <v>0</v>
      </c>
      <c r="H16" s="310">
        <v>0</v>
      </c>
      <c r="I16" s="508">
        <v>0</v>
      </c>
      <c r="J16" s="251">
        <f t="shared" si="3"/>
        <v>0</v>
      </c>
      <c r="K16" s="182"/>
      <c r="L16" s="183">
        <f t="shared" si="2"/>
        <v>0</v>
      </c>
      <c r="M16" s="191"/>
      <c r="N16" s="185"/>
      <c r="O16" s="186"/>
      <c r="P16" s="186"/>
      <c r="Q16" s="185"/>
      <c r="R16" s="186"/>
      <c r="S16" s="186"/>
      <c r="T16" s="187"/>
      <c r="U16" s="340"/>
      <c r="V16" s="186"/>
      <c r="W16" s="186"/>
      <c r="X16" s="187"/>
    </row>
    <row r="17" spans="1:24" s="199" customFormat="1" ht="15" hidden="1" customHeight="1" x14ac:dyDescent="0.25">
      <c r="A17" s="118" t="s">
        <v>140</v>
      </c>
      <c r="B17" s="181" t="s">
        <v>619</v>
      </c>
      <c r="C17" s="194"/>
      <c r="D17" s="247" t="s">
        <v>141</v>
      </c>
      <c r="E17" s="247"/>
      <c r="F17" s="183">
        <v>0</v>
      </c>
      <c r="G17" s="340">
        <v>0</v>
      </c>
      <c r="H17" s="310">
        <v>0</v>
      </c>
      <c r="I17" s="508">
        <v>0</v>
      </c>
      <c r="J17" s="251">
        <f t="shared" si="3"/>
        <v>0</v>
      </c>
      <c r="K17" s="182"/>
      <c r="L17" s="183">
        <f t="shared" si="2"/>
        <v>0</v>
      </c>
      <c r="M17" s="191"/>
      <c r="N17" s="185"/>
      <c r="O17" s="186"/>
      <c r="P17" s="186"/>
      <c r="Q17" s="185"/>
      <c r="R17" s="186"/>
      <c r="S17" s="186"/>
      <c r="T17" s="187"/>
      <c r="U17" s="340"/>
      <c r="V17" s="186"/>
      <c r="W17" s="186"/>
      <c r="X17" s="187"/>
    </row>
    <row r="18" spans="1:24" s="199" customFormat="1" ht="15" hidden="1" customHeight="1" x14ac:dyDescent="0.25">
      <c r="A18" s="118" t="s">
        <v>142</v>
      </c>
      <c r="B18" s="181" t="s">
        <v>620</v>
      </c>
      <c r="C18" s="194"/>
      <c r="D18" s="247" t="s">
        <v>143</v>
      </c>
      <c r="E18" s="247"/>
      <c r="F18" s="183">
        <v>0</v>
      </c>
      <c r="G18" s="340">
        <v>0</v>
      </c>
      <c r="H18" s="310">
        <v>0</v>
      </c>
      <c r="I18" s="508">
        <v>0</v>
      </c>
      <c r="J18" s="251">
        <f t="shared" si="3"/>
        <v>0</v>
      </c>
      <c r="K18" s="182"/>
      <c r="L18" s="183">
        <f t="shared" si="2"/>
        <v>0</v>
      </c>
      <c r="M18" s="191"/>
      <c r="N18" s="185"/>
      <c r="O18" s="186"/>
      <c r="P18" s="186"/>
      <c r="Q18" s="185"/>
      <c r="R18" s="186"/>
      <c r="S18" s="186"/>
      <c r="T18" s="187"/>
      <c r="U18" s="340"/>
      <c r="V18" s="186"/>
      <c r="W18" s="186"/>
      <c r="X18" s="187"/>
    </row>
    <row r="19" spans="1:24" s="199" customFormat="1" ht="15" hidden="1" customHeight="1" x14ac:dyDescent="0.25">
      <c r="A19" s="118" t="s">
        <v>144</v>
      </c>
      <c r="B19" s="181" t="s">
        <v>621</v>
      </c>
      <c r="C19" s="194"/>
      <c r="D19" s="247" t="s">
        <v>145</v>
      </c>
      <c r="E19" s="247"/>
      <c r="F19" s="183">
        <v>0</v>
      </c>
      <c r="G19" s="340">
        <v>0</v>
      </c>
      <c r="H19" s="310">
        <v>0</v>
      </c>
      <c r="I19" s="508">
        <v>0</v>
      </c>
      <c r="J19" s="251">
        <f t="shared" si="3"/>
        <v>0</v>
      </c>
      <c r="K19" s="182"/>
      <c r="L19" s="183">
        <f t="shared" si="2"/>
        <v>0</v>
      </c>
      <c r="M19" s="191"/>
      <c r="N19" s="185"/>
      <c r="O19" s="186"/>
      <c r="P19" s="186"/>
      <c r="Q19" s="185"/>
      <c r="R19" s="186"/>
      <c r="S19" s="186"/>
      <c r="T19" s="187"/>
      <c r="U19" s="340"/>
      <c r="V19" s="186"/>
      <c r="W19" s="186"/>
      <c r="X19" s="187"/>
    </row>
    <row r="20" spans="1:24" ht="15" hidden="1" customHeight="1" x14ac:dyDescent="0.25">
      <c r="B20" s="88" t="s">
        <v>622</v>
      </c>
      <c r="C20" s="640" t="s">
        <v>146</v>
      </c>
      <c r="D20" s="641"/>
      <c r="E20" s="641"/>
      <c r="F20" s="158">
        <v>0</v>
      </c>
      <c r="G20" s="341">
        <v>0</v>
      </c>
      <c r="H20" s="311">
        <v>0</v>
      </c>
      <c r="I20" s="509">
        <v>0</v>
      </c>
      <c r="J20" s="233">
        <f>J21+J22+J23</f>
        <v>0</v>
      </c>
      <c r="K20" s="142">
        <f t="shared" ref="K20:X20" si="4">K21+K22+K23</f>
        <v>0</v>
      </c>
      <c r="L20" s="158">
        <f t="shared" si="2"/>
        <v>0</v>
      </c>
      <c r="M20" s="90">
        <f t="shared" si="4"/>
        <v>0</v>
      </c>
      <c r="N20" s="91">
        <f t="shared" si="4"/>
        <v>0</v>
      </c>
      <c r="O20" s="94">
        <f t="shared" si="4"/>
        <v>0</v>
      </c>
      <c r="P20" s="94">
        <f t="shared" si="4"/>
        <v>0</v>
      </c>
      <c r="Q20" s="91">
        <f t="shared" si="4"/>
        <v>0</v>
      </c>
      <c r="R20" s="94">
        <f t="shared" si="4"/>
        <v>0</v>
      </c>
      <c r="S20" s="94">
        <f t="shared" si="4"/>
        <v>0</v>
      </c>
      <c r="T20" s="95">
        <f t="shared" si="4"/>
        <v>0</v>
      </c>
      <c r="U20" s="341">
        <f t="shared" si="4"/>
        <v>0</v>
      </c>
      <c r="V20" s="94">
        <f t="shared" si="4"/>
        <v>0</v>
      </c>
      <c r="W20" s="94">
        <f t="shared" si="4"/>
        <v>0</v>
      </c>
      <c r="X20" s="95">
        <f t="shared" si="4"/>
        <v>0</v>
      </c>
    </row>
    <row r="21" spans="1:24" s="41" customFormat="1" ht="15" hidden="1" customHeight="1" x14ac:dyDescent="0.25">
      <c r="A21" s="118" t="s">
        <v>147</v>
      </c>
      <c r="B21" s="53" t="s">
        <v>623</v>
      </c>
      <c r="C21" s="642" t="s">
        <v>148</v>
      </c>
      <c r="D21" s="643"/>
      <c r="E21" s="643"/>
      <c r="F21" s="160">
        <v>0</v>
      </c>
      <c r="G21" s="342">
        <v>0</v>
      </c>
      <c r="H21" s="312">
        <v>0</v>
      </c>
      <c r="I21" s="510">
        <v>0</v>
      </c>
      <c r="J21" s="239">
        <f>SUM(M21:X21)</f>
        <v>0</v>
      </c>
      <c r="K21" s="148"/>
      <c r="L21" s="160">
        <f t="shared" si="2"/>
        <v>0</v>
      </c>
      <c r="M21" s="74"/>
      <c r="N21" s="13"/>
      <c r="O21" s="79"/>
      <c r="P21" s="79"/>
      <c r="Q21" s="13"/>
      <c r="R21" s="79"/>
      <c r="S21" s="79"/>
      <c r="T21" s="45"/>
      <c r="U21" s="342"/>
      <c r="V21" s="79"/>
      <c r="W21" s="79"/>
      <c r="X21" s="45"/>
    </row>
    <row r="22" spans="1:24" s="41" customFormat="1" ht="25.5" hidden="1" customHeight="1" x14ac:dyDescent="0.25">
      <c r="A22" s="118" t="s">
        <v>149</v>
      </c>
      <c r="B22" s="53" t="s">
        <v>624</v>
      </c>
      <c r="C22" s="644" t="s">
        <v>875</v>
      </c>
      <c r="D22" s="645"/>
      <c r="E22" s="645"/>
      <c r="F22" s="160">
        <v>0</v>
      </c>
      <c r="G22" s="342">
        <v>0</v>
      </c>
      <c r="H22" s="312">
        <v>0</v>
      </c>
      <c r="I22" s="510">
        <v>0</v>
      </c>
      <c r="J22" s="239">
        <f>SUM(M22:X22)</f>
        <v>0</v>
      </c>
      <c r="K22" s="148"/>
      <c r="L22" s="160">
        <f t="shared" si="2"/>
        <v>0</v>
      </c>
      <c r="M22" s="74"/>
      <c r="N22" s="13"/>
      <c r="O22" s="79"/>
      <c r="P22" s="79"/>
      <c r="Q22" s="13"/>
      <c r="R22" s="79"/>
      <c r="S22" s="79"/>
      <c r="T22" s="45"/>
      <c r="U22" s="342"/>
      <c r="V22" s="79"/>
      <c r="W22" s="79"/>
      <c r="X22" s="45"/>
    </row>
    <row r="23" spans="1:24" s="41" customFormat="1" ht="15.75" hidden="1" customHeight="1" thickBot="1" x14ac:dyDescent="0.3">
      <c r="A23" s="118" t="s">
        <v>150</v>
      </c>
      <c r="B23" s="188" t="s">
        <v>625</v>
      </c>
      <c r="C23" s="687" t="s">
        <v>151</v>
      </c>
      <c r="D23" s="688"/>
      <c r="E23" s="688"/>
      <c r="F23" s="160">
        <v>0</v>
      </c>
      <c r="G23" s="347">
        <v>0</v>
      </c>
      <c r="H23" s="319">
        <v>0</v>
      </c>
      <c r="I23" s="511">
        <v>0</v>
      </c>
      <c r="J23" s="252">
        <f>SUM(M23:X23)</f>
        <v>0</v>
      </c>
      <c r="K23" s="189"/>
      <c r="L23" s="160">
        <f t="shared" si="2"/>
        <v>0</v>
      </c>
      <c r="M23" s="74"/>
      <c r="N23" s="13"/>
      <c r="O23" s="79"/>
      <c r="P23" s="79"/>
      <c r="Q23" s="13"/>
      <c r="R23" s="79"/>
      <c r="S23" s="79"/>
      <c r="T23" s="45"/>
      <c r="U23" s="342"/>
      <c r="V23" s="79"/>
      <c r="W23" s="79"/>
      <c r="X23" s="45"/>
    </row>
    <row r="24" spans="1:24" ht="15.75" thickBot="1" x14ac:dyDescent="0.3">
      <c r="A24" s="118" t="s">
        <v>964</v>
      </c>
      <c r="B24" s="81" t="s">
        <v>152</v>
      </c>
      <c r="C24" s="660" t="s">
        <v>802</v>
      </c>
      <c r="D24" s="660"/>
      <c r="E24" s="648"/>
      <c r="F24" s="156">
        <v>0</v>
      </c>
      <c r="G24" s="338">
        <v>0</v>
      </c>
      <c r="H24" s="308">
        <v>0</v>
      </c>
      <c r="I24" s="506">
        <v>0</v>
      </c>
      <c r="J24" s="235">
        <f>J25+J26+J27+J28+J29+J30+J31</f>
        <v>0</v>
      </c>
      <c r="K24" s="144">
        <f t="shared" ref="K24:X24" si="5">K25+K26+K27+K28+K29+K30+K31</f>
        <v>0</v>
      </c>
      <c r="L24" s="156">
        <f t="shared" si="2"/>
        <v>0</v>
      </c>
      <c r="M24" s="82">
        <f t="shared" si="5"/>
        <v>0</v>
      </c>
      <c r="N24" s="83">
        <f t="shared" si="5"/>
        <v>0</v>
      </c>
      <c r="O24" s="86">
        <f t="shared" si="5"/>
        <v>0</v>
      </c>
      <c r="P24" s="86">
        <f t="shared" si="5"/>
        <v>0</v>
      </c>
      <c r="Q24" s="83">
        <f t="shared" si="5"/>
        <v>0</v>
      </c>
      <c r="R24" s="86">
        <f t="shared" si="5"/>
        <v>0</v>
      </c>
      <c r="S24" s="86">
        <f t="shared" si="5"/>
        <v>0</v>
      </c>
      <c r="T24" s="87">
        <f t="shared" si="5"/>
        <v>0</v>
      </c>
      <c r="U24" s="338">
        <f t="shared" si="5"/>
        <v>0</v>
      </c>
      <c r="V24" s="86">
        <f t="shared" si="5"/>
        <v>0</v>
      </c>
      <c r="W24" s="86">
        <f t="shared" si="5"/>
        <v>0</v>
      </c>
      <c r="X24" s="87">
        <f t="shared" si="5"/>
        <v>0</v>
      </c>
    </row>
    <row r="25" spans="1:24" ht="15" hidden="1" customHeight="1" x14ac:dyDescent="0.25">
      <c r="B25" s="59"/>
      <c r="C25" s="700" t="s">
        <v>154</v>
      </c>
      <c r="D25" s="701"/>
      <c r="E25" s="701"/>
      <c r="F25" s="159">
        <v>0</v>
      </c>
      <c r="G25" s="468">
        <v>0</v>
      </c>
      <c r="H25" s="316">
        <v>0</v>
      </c>
      <c r="I25" s="512">
        <v>0</v>
      </c>
      <c r="J25" s="236">
        <f t="shared" ref="J25:J31" si="6">SUM(M25:X25)</f>
        <v>0</v>
      </c>
      <c r="K25" s="145"/>
      <c r="L25" s="159">
        <f t="shared" si="2"/>
        <v>0</v>
      </c>
      <c r="M25" s="72"/>
      <c r="N25" s="1"/>
      <c r="O25" s="78"/>
      <c r="P25" s="78"/>
      <c r="Q25" s="1"/>
      <c r="R25" s="78"/>
      <c r="S25" s="78"/>
      <c r="T25" s="44"/>
      <c r="U25" s="343"/>
      <c r="V25" s="78"/>
      <c r="W25" s="78"/>
      <c r="X25" s="44"/>
    </row>
    <row r="26" spans="1:24" ht="15" hidden="1" customHeight="1" x14ac:dyDescent="0.25">
      <c r="B26" s="60"/>
      <c r="C26" s="702" t="s">
        <v>155</v>
      </c>
      <c r="D26" s="703"/>
      <c r="E26" s="703"/>
      <c r="F26" s="159">
        <v>0</v>
      </c>
      <c r="G26" s="343">
        <v>0</v>
      </c>
      <c r="H26" s="313">
        <v>0</v>
      </c>
      <c r="I26" s="513">
        <v>0</v>
      </c>
      <c r="J26" s="237">
        <f t="shared" si="6"/>
        <v>0</v>
      </c>
      <c r="K26" s="146"/>
      <c r="L26" s="159">
        <f t="shared" si="2"/>
        <v>0</v>
      </c>
      <c r="M26" s="72"/>
      <c r="N26" s="1"/>
      <c r="O26" s="78"/>
      <c r="P26" s="78"/>
      <c r="Q26" s="1"/>
      <c r="R26" s="78"/>
      <c r="S26" s="78"/>
      <c r="T26" s="44"/>
      <c r="U26" s="343"/>
      <c r="V26" s="78"/>
      <c r="W26" s="78"/>
      <c r="X26" s="44"/>
    </row>
    <row r="27" spans="1:24" ht="15" hidden="1" customHeight="1" x14ac:dyDescent="0.25">
      <c r="B27" s="60"/>
      <c r="C27" s="702" t="s">
        <v>156</v>
      </c>
      <c r="D27" s="703"/>
      <c r="E27" s="703"/>
      <c r="F27" s="159">
        <v>0</v>
      </c>
      <c r="G27" s="343">
        <v>0</v>
      </c>
      <c r="H27" s="313">
        <v>0</v>
      </c>
      <c r="I27" s="513">
        <v>0</v>
      </c>
      <c r="J27" s="237">
        <f t="shared" si="6"/>
        <v>0</v>
      </c>
      <c r="K27" s="146"/>
      <c r="L27" s="159">
        <f t="shared" si="2"/>
        <v>0</v>
      </c>
      <c r="M27" s="72"/>
      <c r="N27" s="1"/>
      <c r="O27" s="78"/>
      <c r="P27" s="78"/>
      <c r="Q27" s="1"/>
      <c r="R27" s="78"/>
      <c r="S27" s="78"/>
      <c r="T27" s="44"/>
      <c r="U27" s="343"/>
      <c r="V27" s="78"/>
      <c r="W27" s="78"/>
      <c r="X27" s="44"/>
    </row>
    <row r="28" spans="1:24" ht="15" hidden="1" customHeight="1" x14ac:dyDescent="0.25">
      <c r="B28" s="60"/>
      <c r="C28" s="702" t="s">
        <v>157</v>
      </c>
      <c r="D28" s="703"/>
      <c r="E28" s="703"/>
      <c r="F28" s="159">
        <v>0</v>
      </c>
      <c r="G28" s="343">
        <v>0</v>
      </c>
      <c r="H28" s="313">
        <v>0</v>
      </c>
      <c r="I28" s="513">
        <v>0</v>
      </c>
      <c r="J28" s="237">
        <f t="shared" si="6"/>
        <v>0</v>
      </c>
      <c r="K28" s="146"/>
      <c r="L28" s="159">
        <f t="shared" si="2"/>
        <v>0</v>
      </c>
      <c r="M28" s="72"/>
      <c r="N28" s="1"/>
      <c r="O28" s="78"/>
      <c r="P28" s="78"/>
      <c r="Q28" s="1"/>
      <c r="R28" s="78"/>
      <c r="S28" s="78"/>
      <c r="T28" s="44"/>
      <c r="U28" s="343"/>
      <c r="V28" s="78"/>
      <c r="W28" s="78"/>
      <c r="X28" s="44"/>
    </row>
    <row r="29" spans="1:24" ht="15" hidden="1" customHeight="1" x14ac:dyDescent="0.25">
      <c r="B29" s="60"/>
      <c r="C29" s="702" t="s">
        <v>158</v>
      </c>
      <c r="D29" s="703"/>
      <c r="E29" s="703"/>
      <c r="F29" s="159">
        <v>0</v>
      </c>
      <c r="G29" s="343">
        <v>0</v>
      </c>
      <c r="H29" s="313">
        <v>0</v>
      </c>
      <c r="I29" s="513">
        <v>0</v>
      </c>
      <c r="J29" s="237">
        <f t="shared" si="6"/>
        <v>0</v>
      </c>
      <c r="K29" s="146"/>
      <c r="L29" s="159">
        <f t="shared" si="2"/>
        <v>0</v>
      </c>
      <c r="M29" s="72"/>
      <c r="N29" s="1"/>
      <c r="O29" s="78"/>
      <c r="P29" s="78"/>
      <c r="Q29" s="1"/>
      <c r="R29" s="78"/>
      <c r="S29" s="78"/>
      <c r="T29" s="44"/>
      <c r="U29" s="343"/>
      <c r="V29" s="78"/>
      <c r="W29" s="78"/>
      <c r="X29" s="44"/>
    </row>
    <row r="30" spans="1:24" ht="15" hidden="1" customHeight="1" x14ac:dyDescent="0.25">
      <c r="B30" s="60"/>
      <c r="C30" s="702" t="s">
        <v>159</v>
      </c>
      <c r="D30" s="703"/>
      <c r="E30" s="703"/>
      <c r="F30" s="159">
        <v>0</v>
      </c>
      <c r="G30" s="343">
        <v>0</v>
      </c>
      <c r="H30" s="313">
        <v>0</v>
      </c>
      <c r="I30" s="513">
        <v>0</v>
      </c>
      <c r="J30" s="237">
        <f t="shared" si="6"/>
        <v>0</v>
      </c>
      <c r="K30" s="146"/>
      <c r="L30" s="159">
        <f t="shared" si="2"/>
        <v>0</v>
      </c>
      <c r="M30" s="72"/>
      <c r="N30" s="1"/>
      <c r="O30" s="78"/>
      <c r="P30" s="78"/>
      <c r="Q30" s="1"/>
      <c r="R30" s="78"/>
      <c r="S30" s="78"/>
      <c r="T30" s="44"/>
      <c r="U30" s="343"/>
      <c r="V30" s="78"/>
      <c r="W30" s="78"/>
      <c r="X30" s="44"/>
    </row>
    <row r="31" spans="1:24" ht="15.75" hidden="1" customHeight="1" thickBot="1" x14ac:dyDescent="0.3">
      <c r="B31" s="61"/>
      <c r="C31" s="704" t="s">
        <v>160</v>
      </c>
      <c r="D31" s="705"/>
      <c r="E31" s="705"/>
      <c r="F31" s="159">
        <v>0</v>
      </c>
      <c r="G31" s="467">
        <v>0</v>
      </c>
      <c r="H31" s="486">
        <v>0</v>
      </c>
      <c r="I31" s="514">
        <v>0</v>
      </c>
      <c r="J31" s="238">
        <f t="shared" si="6"/>
        <v>0</v>
      </c>
      <c r="K31" s="147"/>
      <c r="L31" s="159">
        <f t="shared" si="2"/>
        <v>0</v>
      </c>
      <c r="M31" s="72"/>
      <c r="N31" s="1"/>
      <c r="O31" s="78"/>
      <c r="P31" s="78"/>
      <c r="Q31" s="1"/>
      <c r="R31" s="78"/>
      <c r="S31" s="78"/>
      <c r="T31" s="44"/>
      <c r="U31" s="343"/>
      <c r="V31" s="78"/>
      <c r="W31" s="78"/>
      <c r="X31" s="44"/>
    </row>
    <row r="32" spans="1:24" ht="15.75" thickBot="1" x14ac:dyDescent="0.3">
      <c r="B32" s="81" t="s">
        <v>161</v>
      </c>
      <c r="C32" s="648" t="s">
        <v>162</v>
      </c>
      <c r="D32" s="649"/>
      <c r="E32" s="649"/>
      <c r="F32" s="156">
        <v>246000</v>
      </c>
      <c r="G32" s="338">
        <v>246000</v>
      </c>
      <c r="H32" s="308">
        <v>257965</v>
      </c>
      <c r="I32" s="506">
        <v>257965</v>
      </c>
      <c r="J32" s="235">
        <f>J33+J37+J40+J50+J53</f>
        <v>683555</v>
      </c>
      <c r="K32" s="144">
        <f t="shared" ref="K32:X32" si="7">K33+K37+K40+K50+K53</f>
        <v>0</v>
      </c>
      <c r="L32" s="156">
        <f t="shared" si="2"/>
        <v>683555</v>
      </c>
      <c r="M32" s="82">
        <f t="shared" si="7"/>
        <v>0</v>
      </c>
      <c r="N32" s="83">
        <f t="shared" si="7"/>
        <v>11965</v>
      </c>
      <c r="O32" s="86">
        <f t="shared" si="7"/>
        <v>0</v>
      </c>
      <c r="P32" s="86">
        <f t="shared" si="7"/>
        <v>0</v>
      </c>
      <c r="Q32" s="83">
        <f t="shared" si="7"/>
        <v>0</v>
      </c>
      <c r="R32" s="86">
        <f t="shared" si="7"/>
        <v>0</v>
      </c>
      <c r="S32" s="86">
        <f t="shared" si="7"/>
        <v>0</v>
      </c>
      <c r="T32" s="87">
        <f t="shared" si="7"/>
        <v>0</v>
      </c>
      <c r="U32" s="338">
        <f t="shared" si="7"/>
        <v>0</v>
      </c>
      <c r="V32" s="86">
        <f t="shared" si="7"/>
        <v>0</v>
      </c>
      <c r="W32" s="86">
        <f t="shared" si="7"/>
        <v>275590</v>
      </c>
      <c r="X32" s="87">
        <f t="shared" si="7"/>
        <v>396000</v>
      </c>
    </row>
    <row r="33" spans="1:24" x14ac:dyDescent="0.25">
      <c r="B33" s="115" t="s">
        <v>626</v>
      </c>
      <c r="C33" s="653" t="s">
        <v>163</v>
      </c>
      <c r="D33" s="654"/>
      <c r="E33" s="654"/>
      <c r="F33" s="157">
        <v>10000</v>
      </c>
      <c r="G33" s="339">
        <v>10000</v>
      </c>
      <c r="H33" s="309">
        <v>19422</v>
      </c>
      <c r="I33" s="507">
        <v>19422</v>
      </c>
      <c r="J33" s="231">
        <f>J34+J35+J36</f>
        <v>19422</v>
      </c>
      <c r="K33" s="140">
        <f t="shared" ref="K33:X33" si="8">K34+K35+K36</f>
        <v>0</v>
      </c>
      <c r="L33" s="157">
        <f t="shared" si="2"/>
        <v>19422</v>
      </c>
      <c r="M33" s="109">
        <f t="shared" si="8"/>
        <v>0</v>
      </c>
      <c r="N33" s="110">
        <f t="shared" si="8"/>
        <v>9422</v>
      </c>
      <c r="O33" s="113">
        <f t="shared" si="8"/>
        <v>0</v>
      </c>
      <c r="P33" s="113">
        <f t="shared" si="8"/>
        <v>0</v>
      </c>
      <c r="Q33" s="110">
        <f t="shared" si="8"/>
        <v>0</v>
      </c>
      <c r="R33" s="113">
        <f t="shared" si="8"/>
        <v>0</v>
      </c>
      <c r="S33" s="113">
        <f t="shared" si="8"/>
        <v>0</v>
      </c>
      <c r="T33" s="114">
        <f t="shared" si="8"/>
        <v>0</v>
      </c>
      <c r="U33" s="339">
        <f t="shared" si="8"/>
        <v>0</v>
      </c>
      <c r="V33" s="113">
        <f t="shared" si="8"/>
        <v>0</v>
      </c>
      <c r="W33" s="113">
        <f t="shared" si="8"/>
        <v>0</v>
      </c>
      <c r="X33" s="114">
        <f t="shared" si="8"/>
        <v>10000</v>
      </c>
    </row>
    <row r="34" spans="1:24" s="41" customFormat="1" ht="15" hidden="1" customHeight="1" x14ac:dyDescent="0.25">
      <c r="A34" s="118" t="s">
        <v>164</v>
      </c>
      <c r="B34" s="53" t="s">
        <v>627</v>
      </c>
      <c r="C34" s="642" t="s">
        <v>165</v>
      </c>
      <c r="D34" s="643"/>
      <c r="E34" s="643"/>
      <c r="F34" s="160">
        <v>0</v>
      </c>
      <c r="G34" s="342">
        <v>0</v>
      </c>
      <c r="H34" s="312">
        <v>0</v>
      </c>
      <c r="I34" s="510">
        <v>0</v>
      </c>
      <c r="J34" s="239">
        <f>SUM(M34:X34)</f>
        <v>0</v>
      </c>
      <c r="K34" s="148"/>
      <c r="L34" s="160">
        <f t="shared" si="2"/>
        <v>0</v>
      </c>
      <c r="M34" s="74"/>
      <c r="N34" s="13"/>
      <c r="O34" s="79"/>
      <c r="P34" s="79"/>
      <c r="Q34" s="13"/>
      <c r="R34" s="79"/>
      <c r="S34" s="79"/>
      <c r="T34" s="45"/>
      <c r="U34" s="342"/>
      <c r="V34" s="79"/>
      <c r="W34" s="79"/>
      <c r="X34" s="204"/>
    </row>
    <row r="35" spans="1:24" s="41" customFormat="1" x14ac:dyDescent="0.25">
      <c r="A35" s="118" t="s">
        <v>166</v>
      </c>
      <c r="B35" s="53" t="s">
        <v>628</v>
      </c>
      <c r="C35" s="642" t="s">
        <v>167</v>
      </c>
      <c r="D35" s="643"/>
      <c r="E35" s="643"/>
      <c r="F35" s="160">
        <v>10000</v>
      </c>
      <c r="G35" s="342">
        <v>10000</v>
      </c>
      <c r="H35" s="312">
        <v>19422</v>
      </c>
      <c r="I35" s="510">
        <v>19422</v>
      </c>
      <c r="J35" s="239">
        <f>SUM(M35:X35)</f>
        <v>19422</v>
      </c>
      <c r="K35" s="148"/>
      <c r="L35" s="160">
        <f t="shared" si="2"/>
        <v>19422</v>
      </c>
      <c r="M35" s="74"/>
      <c r="N35" s="13">
        <v>9422</v>
      </c>
      <c r="O35" s="79"/>
      <c r="P35" s="79"/>
      <c r="Q35" s="13"/>
      <c r="R35" s="79"/>
      <c r="S35" s="79"/>
      <c r="T35" s="45"/>
      <c r="U35" s="342"/>
      <c r="V35" s="79"/>
      <c r="W35" s="79"/>
      <c r="X35" s="45">
        <v>10000</v>
      </c>
    </row>
    <row r="36" spans="1:24" s="41" customFormat="1" ht="15" hidden="1" customHeight="1" x14ac:dyDescent="0.25">
      <c r="A36" s="118" t="s">
        <v>168</v>
      </c>
      <c r="B36" s="53" t="s">
        <v>629</v>
      </c>
      <c r="C36" s="642" t="s">
        <v>169</v>
      </c>
      <c r="D36" s="643"/>
      <c r="E36" s="643"/>
      <c r="F36" s="160">
        <v>0</v>
      </c>
      <c r="G36" s="342">
        <v>0</v>
      </c>
      <c r="H36" s="312">
        <v>0</v>
      </c>
      <c r="I36" s="510">
        <v>0</v>
      </c>
      <c r="J36" s="239">
        <f>SUM(M36:X36)</f>
        <v>0</v>
      </c>
      <c r="K36" s="148"/>
      <c r="L36" s="160">
        <f t="shared" si="2"/>
        <v>0</v>
      </c>
      <c r="M36" s="74"/>
      <c r="N36" s="13"/>
      <c r="O36" s="79"/>
      <c r="P36" s="79"/>
      <c r="Q36" s="13"/>
      <c r="R36" s="79"/>
      <c r="S36" s="79"/>
      <c r="T36" s="45"/>
      <c r="U36" s="342"/>
      <c r="V36" s="79"/>
      <c r="W36" s="79"/>
      <c r="X36" s="420"/>
    </row>
    <row r="37" spans="1:24" ht="15" hidden="1" customHeight="1" x14ac:dyDescent="0.25">
      <c r="B37" s="88" t="s">
        <v>630</v>
      </c>
      <c r="C37" s="640" t="s">
        <v>170</v>
      </c>
      <c r="D37" s="641"/>
      <c r="E37" s="641"/>
      <c r="F37" s="158">
        <v>0</v>
      </c>
      <c r="G37" s="341">
        <v>0</v>
      </c>
      <c r="H37" s="311">
        <v>0</v>
      </c>
      <c r="I37" s="509">
        <v>0</v>
      </c>
      <c r="J37" s="233">
        <f>J38+J39</f>
        <v>0</v>
      </c>
      <c r="K37" s="142">
        <f t="shared" ref="K37:X37" si="9">K38+K39</f>
        <v>0</v>
      </c>
      <c r="L37" s="158">
        <f t="shared" si="2"/>
        <v>0</v>
      </c>
      <c r="M37" s="90">
        <f t="shared" si="9"/>
        <v>0</v>
      </c>
      <c r="N37" s="91">
        <f t="shared" si="9"/>
        <v>0</v>
      </c>
      <c r="O37" s="94">
        <f t="shared" si="9"/>
        <v>0</v>
      </c>
      <c r="P37" s="94">
        <f t="shared" si="9"/>
        <v>0</v>
      </c>
      <c r="Q37" s="91">
        <f t="shared" si="9"/>
        <v>0</v>
      </c>
      <c r="R37" s="94">
        <f t="shared" si="9"/>
        <v>0</v>
      </c>
      <c r="S37" s="94">
        <f t="shared" si="9"/>
        <v>0</v>
      </c>
      <c r="T37" s="95">
        <f t="shared" si="9"/>
        <v>0</v>
      </c>
      <c r="U37" s="341">
        <f t="shared" si="9"/>
        <v>0</v>
      </c>
      <c r="V37" s="94">
        <f t="shared" si="9"/>
        <v>0</v>
      </c>
      <c r="W37" s="94">
        <f t="shared" si="9"/>
        <v>0</v>
      </c>
      <c r="X37" s="95">
        <f t="shared" si="9"/>
        <v>0</v>
      </c>
    </row>
    <row r="38" spans="1:24" s="41" customFormat="1" ht="15" hidden="1" customHeight="1" x14ac:dyDescent="0.25">
      <c r="A38" s="118" t="s">
        <v>171</v>
      </c>
      <c r="B38" s="53" t="s">
        <v>631</v>
      </c>
      <c r="C38" s="642" t="s">
        <v>172</v>
      </c>
      <c r="D38" s="643"/>
      <c r="E38" s="643"/>
      <c r="F38" s="160">
        <v>0</v>
      </c>
      <c r="G38" s="342">
        <v>0</v>
      </c>
      <c r="H38" s="312">
        <v>0</v>
      </c>
      <c r="I38" s="510">
        <v>0</v>
      </c>
      <c r="J38" s="239">
        <f>SUM(M38:X38)</f>
        <v>0</v>
      </c>
      <c r="K38" s="148"/>
      <c r="L38" s="160">
        <f t="shared" si="2"/>
        <v>0</v>
      </c>
      <c r="M38" s="74"/>
      <c r="N38" s="13"/>
      <c r="O38" s="79"/>
      <c r="P38" s="79"/>
      <c r="Q38" s="13"/>
      <c r="R38" s="79"/>
      <c r="S38" s="79"/>
      <c r="T38" s="45"/>
      <c r="U38" s="342"/>
      <c r="V38" s="79"/>
      <c r="W38" s="79"/>
      <c r="X38" s="45"/>
    </row>
    <row r="39" spans="1:24" s="41" customFormat="1" ht="15" hidden="1" customHeight="1" x14ac:dyDescent="0.25">
      <c r="A39" s="118" t="s">
        <v>173</v>
      </c>
      <c r="B39" s="53" t="s">
        <v>632</v>
      </c>
      <c r="C39" s="642" t="s">
        <v>174</v>
      </c>
      <c r="D39" s="643"/>
      <c r="E39" s="643"/>
      <c r="F39" s="160">
        <v>0</v>
      </c>
      <c r="G39" s="342">
        <v>0</v>
      </c>
      <c r="H39" s="312">
        <v>0</v>
      </c>
      <c r="I39" s="510">
        <v>0</v>
      </c>
      <c r="J39" s="239">
        <f>SUM(M39:X39)</f>
        <v>0</v>
      </c>
      <c r="K39" s="148"/>
      <c r="L39" s="160">
        <f t="shared" si="2"/>
        <v>0</v>
      </c>
      <c r="M39" s="74"/>
      <c r="N39" s="13"/>
      <c r="O39" s="79"/>
      <c r="P39" s="79"/>
      <c r="Q39" s="13"/>
      <c r="R39" s="79"/>
      <c r="S39" s="79"/>
      <c r="T39" s="45"/>
      <c r="U39" s="342"/>
      <c r="V39" s="79"/>
      <c r="W39" s="79"/>
      <c r="X39" s="45"/>
    </row>
    <row r="40" spans="1:24" x14ac:dyDescent="0.25">
      <c r="B40" s="88" t="s">
        <v>633</v>
      </c>
      <c r="C40" s="640" t="s">
        <v>175</v>
      </c>
      <c r="D40" s="641"/>
      <c r="E40" s="641"/>
      <c r="F40" s="158">
        <v>135000</v>
      </c>
      <c r="G40" s="341">
        <v>135000</v>
      </c>
      <c r="H40" s="311">
        <v>135000</v>
      </c>
      <c r="I40" s="509">
        <v>135000</v>
      </c>
      <c r="J40" s="233">
        <f>J41+J42+J43+J44+J45+J48+J49</f>
        <v>452000</v>
      </c>
      <c r="K40" s="142">
        <f t="shared" ref="K40:X40" si="10">K41+K42+K43+K44+K45+K48+K49</f>
        <v>0</v>
      </c>
      <c r="L40" s="158">
        <f t="shared" si="2"/>
        <v>452000</v>
      </c>
      <c r="M40" s="90">
        <f t="shared" si="10"/>
        <v>0</v>
      </c>
      <c r="N40" s="91">
        <f t="shared" si="10"/>
        <v>0</v>
      </c>
      <c r="O40" s="94">
        <f t="shared" si="10"/>
        <v>0</v>
      </c>
      <c r="P40" s="94">
        <f t="shared" si="10"/>
        <v>0</v>
      </c>
      <c r="Q40" s="91">
        <f t="shared" si="10"/>
        <v>0</v>
      </c>
      <c r="R40" s="94">
        <f t="shared" si="10"/>
        <v>0</v>
      </c>
      <c r="S40" s="94">
        <f t="shared" si="10"/>
        <v>0</v>
      </c>
      <c r="T40" s="95">
        <f t="shared" si="10"/>
        <v>0</v>
      </c>
      <c r="U40" s="341">
        <f t="shared" si="10"/>
        <v>0</v>
      </c>
      <c r="V40" s="94">
        <f t="shared" si="10"/>
        <v>0</v>
      </c>
      <c r="W40" s="94">
        <f t="shared" si="10"/>
        <v>217000</v>
      </c>
      <c r="X40" s="95">
        <f t="shared" si="10"/>
        <v>235000</v>
      </c>
    </row>
    <row r="41" spans="1:24" s="41" customFormat="1" ht="15" hidden="1" customHeight="1" x14ac:dyDescent="0.25">
      <c r="A41" s="118" t="s">
        <v>176</v>
      </c>
      <c r="B41" s="53" t="s">
        <v>634</v>
      </c>
      <c r="C41" s="642" t="s">
        <v>177</v>
      </c>
      <c r="D41" s="643"/>
      <c r="E41" s="643"/>
      <c r="F41" s="160">
        <v>0</v>
      </c>
      <c r="G41" s="342">
        <v>0</v>
      </c>
      <c r="H41" s="312">
        <v>0</v>
      </c>
      <c r="I41" s="510">
        <v>0</v>
      </c>
      <c r="J41" s="239">
        <f>SUM(M41:X41)</f>
        <v>0</v>
      </c>
      <c r="K41" s="148"/>
      <c r="L41" s="160">
        <f t="shared" si="2"/>
        <v>0</v>
      </c>
      <c r="M41" s="74"/>
      <c r="N41" s="13"/>
      <c r="O41" s="79"/>
      <c r="P41" s="79"/>
      <c r="Q41" s="13"/>
      <c r="R41" s="79"/>
      <c r="S41" s="79"/>
      <c r="T41" s="45"/>
      <c r="U41" s="342"/>
      <c r="V41" s="79"/>
      <c r="W41" s="79"/>
      <c r="X41" s="45"/>
    </row>
    <row r="42" spans="1:24" s="41" customFormat="1" ht="15" hidden="1" customHeight="1" x14ac:dyDescent="0.25">
      <c r="A42" s="118" t="s">
        <v>178</v>
      </c>
      <c r="B42" s="53" t="s">
        <v>635</v>
      </c>
      <c r="C42" s="642" t="s">
        <v>179</v>
      </c>
      <c r="D42" s="643"/>
      <c r="E42" s="643"/>
      <c r="F42" s="160">
        <v>0</v>
      </c>
      <c r="G42" s="342">
        <v>0</v>
      </c>
      <c r="H42" s="312">
        <v>0</v>
      </c>
      <c r="I42" s="510">
        <v>0</v>
      </c>
      <c r="J42" s="239">
        <f>SUM(M42:X42)</f>
        <v>0</v>
      </c>
      <c r="K42" s="148"/>
      <c r="L42" s="160">
        <f t="shared" si="2"/>
        <v>0</v>
      </c>
      <c r="M42" s="74"/>
      <c r="N42" s="13"/>
      <c r="O42" s="79"/>
      <c r="P42" s="79"/>
      <c r="Q42" s="13"/>
      <c r="R42" s="79"/>
      <c r="S42" s="79"/>
      <c r="T42" s="45"/>
      <c r="U42" s="342"/>
      <c r="V42" s="79"/>
      <c r="W42" s="79"/>
      <c r="X42" s="45"/>
    </row>
    <row r="43" spans="1:24" s="41" customFormat="1" ht="15" hidden="1" customHeight="1" x14ac:dyDescent="0.25">
      <c r="A43" s="118" t="s">
        <v>180</v>
      </c>
      <c r="B43" s="53" t="s">
        <v>636</v>
      </c>
      <c r="C43" s="642" t="s">
        <v>181</v>
      </c>
      <c r="D43" s="643"/>
      <c r="E43" s="643"/>
      <c r="F43" s="160">
        <v>0</v>
      </c>
      <c r="G43" s="342">
        <v>0</v>
      </c>
      <c r="H43" s="312">
        <v>0</v>
      </c>
      <c r="I43" s="510">
        <v>0</v>
      </c>
      <c r="J43" s="239">
        <f>SUM(M43:X43)</f>
        <v>0</v>
      </c>
      <c r="K43" s="148"/>
      <c r="L43" s="160">
        <f t="shared" si="2"/>
        <v>0</v>
      </c>
      <c r="M43" s="74"/>
      <c r="N43" s="13"/>
      <c r="O43" s="79"/>
      <c r="P43" s="79"/>
      <c r="Q43" s="13"/>
      <c r="R43" s="79"/>
      <c r="S43" s="79"/>
      <c r="T43" s="45"/>
      <c r="U43" s="342"/>
      <c r="V43" s="79"/>
      <c r="W43" s="79"/>
      <c r="X43" s="45"/>
    </row>
    <row r="44" spans="1:24" s="41" customFormat="1" x14ac:dyDescent="0.25">
      <c r="A44" s="118" t="s">
        <v>182</v>
      </c>
      <c r="B44" s="53" t="s">
        <v>637</v>
      </c>
      <c r="C44" s="642" t="s">
        <v>183</v>
      </c>
      <c r="D44" s="643"/>
      <c r="E44" s="643"/>
      <c r="F44" s="160">
        <v>100000</v>
      </c>
      <c r="G44" s="342">
        <v>100000</v>
      </c>
      <c r="H44" s="312">
        <v>100000</v>
      </c>
      <c r="I44" s="510">
        <v>100000</v>
      </c>
      <c r="J44" s="239">
        <f>SUM(M44:X44)</f>
        <v>100000</v>
      </c>
      <c r="K44" s="148"/>
      <c r="L44" s="160">
        <f t="shared" si="2"/>
        <v>100000</v>
      </c>
      <c r="M44" s="74"/>
      <c r="N44" s="13"/>
      <c r="O44" s="79"/>
      <c r="P44" s="79"/>
      <c r="Q44" s="13"/>
      <c r="R44" s="79"/>
      <c r="S44" s="79"/>
      <c r="T44" s="45"/>
      <c r="U44" s="342"/>
      <c r="V44" s="79"/>
      <c r="W44" s="79"/>
      <c r="X44" s="45">
        <v>100000</v>
      </c>
    </row>
    <row r="45" spans="1:24" s="18" customFormat="1" ht="15" hidden="1" customHeight="1" x14ac:dyDescent="0.25">
      <c r="A45" s="118" t="s">
        <v>184</v>
      </c>
      <c r="B45" s="53" t="s">
        <v>638</v>
      </c>
      <c r="C45" s="642" t="s">
        <v>185</v>
      </c>
      <c r="D45" s="643"/>
      <c r="E45" s="643"/>
      <c r="F45" s="160">
        <v>0</v>
      </c>
      <c r="G45" s="342">
        <v>0</v>
      </c>
      <c r="H45" s="312">
        <v>0</v>
      </c>
      <c r="I45" s="510">
        <v>0</v>
      </c>
      <c r="J45" s="239">
        <f>J46+J47</f>
        <v>0</v>
      </c>
      <c r="K45" s="148">
        <f t="shared" ref="K45:X45" si="11">K46+K47</f>
        <v>0</v>
      </c>
      <c r="L45" s="160">
        <f t="shared" si="2"/>
        <v>0</v>
      </c>
      <c r="M45" s="74">
        <f t="shared" si="11"/>
        <v>0</v>
      </c>
      <c r="N45" s="13">
        <f t="shared" si="11"/>
        <v>0</v>
      </c>
      <c r="O45" s="79">
        <f t="shared" si="11"/>
        <v>0</v>
      </c>
      <c r="P45" s="79">
        <f t="shared" si="11"/>
        <v>0</v>
      </c>
      <c r="Q45" s="13">
        <f t="shared" si="11"/>
        <v>0</v>
      </c>
      <c r="R45" s="79">
        <f t="shared" si="11"/>
        <v>0</v>
      </c>
      <c r="S45" s="79">
        <f t="shared" si="11"/>
        <v>0</v>
      </c>
      <c r="T45" s="45">
        <f t="shared" si="11"/>
        <v>0</v>
      </c>
      <c r="U45" s="342">
        <f t="shared" si="11"/>
        <v>0</v>
      </c>
      <c r="V45" s="79">
        <f t="shared" si="11"/>
        <v>0</v>
      </c>
      <c r="W45" s="79">
        <f t="shared" si="11"/>
        <v>0</v>
      </c>
      <c r="X45" s="45">
        <f t="shared" si="11"/>
        <v>0</v>
      </c>
    </row>
    <row r="46" spans="1:24" ht="15" hidden="1" customHeight="1" x14ac:dyDescent="0.25">
      <c r="B46" s="54"/>
      <c r="C46" s="250"/>
      <c r="D46" s="624" t="s">
        <v>186</v>
      </c>
      <c r="E46" s="624"/>
      <c r="F46" s="159">
        <v>0</v>
      </c>
      <c r="G46" s="343">
        <v>0</v>
      </c>
      <c r="H46" s="313">
        <v>0</v>
      </c>
      <c r="I46" s="513">
        <v>0</v>
      </c>
      <c r="J46" s="232">
        <f>SUM(M46:X46)</f>
        <v>0</v>
      </c>
      <c r="K46" s="141"/>
      <c r="L46" s="159">
        <f t="shared" si="2"/>
        <v>0</v>
      </c>
      <c r="M46" s="72"/>
      <c r="N46" s="1"/>
      <c r="O46" s="78"/>
      <c r="P46" s="78"/>
      <c r="Q46" s="1"/>
      <c r="R46" s="78"/>
      <c r="S46" s="78"/>
      <c r="T46" s="44"/>
      <c r="U46" s="343"/>
      <c r="V46" s="78"/>
      <c r="W46" s="78"/>
      <c r="X46" s="44"/>
    </row>
    <row r="47" spans="1:24" ht="15" hidden="1" customHeight="1" x14ac:dyDescent="0.25">
      <c r="B47" s="54"/>
      <c r="C47" s="250"/>
      <c r="D47" s="624" t="s">
        <v>187</v>
      </c>
      <c r="E47" s="624"/>
      <c r="F47" s="159">
        <v>0</v>
      </c>
      <c r="G47" s="343">
        <v>0</v>
      </c>
      <c r="H47" s="313">
        <v>0</v>
      </c>
      <c r="I47" s="513">
        <v>0</v>
      </c>
      <c r="J47" s="232">
        <f>SUM(M47:X47)</f>
        <v>0</v>
      </c>
      <c r="K47" s="141"/>
      <c r="L47" s="159">
        <f t="shared" si="2"/>
        <v>0</v>
      </c>
      <c r="M47" s="72"/>
      <c r="N47" s="1"/>
      <c r="O47" s="78"/>
      <c r="P47" s="78"/>
      <c r="Q47" s="1"/>
      <c r="R47" s="78"/>
      <c r="S47" s="78"/>
      <c r="T47" s="44"/>
      <c r="U47" s="343"/>
      <c r="V47" s="78"/>
      <c r="W47" s="78"/>
      <c r="X47" s="44"/>
    </row>
    <row r="48" spans="1:24" s="41" customFormat="1" ht="15" hidden="1" customHeight="1" x14ac:dyDescent="0.25">
      <c r="A48" s="118" t="s">
        <v>188</v>
      </c>
      <c r="B48" s="53" t="s">
        <v>639</v>
      </c>
      <c r="C48" s="628" t="s">
        <v>189</v>
      </c>
      <c r="D48" s="629"/>
      <c r="E48" s="629"/>
      <c r="F48" s="160">
        <v>0</v>
      </c>
      <c r="G48" s="342">
        <v>0</v>
      </c>
      <c r="H48" s="312">
        <v>0</v>
      </c>
      <c r="I48" s="510">
        <v>0</v>
      </c>
      <c r="J48" s="239">
        <f>SUM(M48:X48)</f>
        <v>0</v>
      </c>
      <c r="K48" s="148"/>
      <c r="L48" s="160">
        <f t="shared" si="2"/>
        <v>0</v>
      </c>
      <c r="M48" s="74"/>
      <c r="N48" s="13"/>
      <c r="O48" s="79"/>
      <c r="P48" s="79"/>
      <c r="Q48" s="13"/>
      <c r="R48" s="79"/>
      <c r="S48" s="79"/>
      <c r="T48" s="45"/>
      <c r="U48" s="342"/>
      <c r="V48" s="79"/>
      <c r="W48" s="79"/>
      <c r="X48" s="45"/>
    </row>
    <row r="49" spans="1:24" s="41" customFormat="1" x14ac:dyDescent="0.25">
      <c r="A49" s="118" t="s">
        <v>190</v>
      </c>
      <c r="B49" s="53" t="s">
        <v>640</v>
      </c>
      <c r="C49" s="628" t="s">
        <v>191</v>
      </c>
      <c r="D49" s="629"/>
      <c r="E49" s="629"/>
      <c r="F49" s="160">
        <v>35000</v>
      </c>
      <c r="G49" s="342">
        <v>35000</v>
      </c>
      <c r="H49" s="312">
        <v>35000</v>
      </c>
      <c r="I49" s="510">
        <v>35000</v>
      </c>
      <c r="J49" s="239">
        <f>SUM(M49:X49)</f>
        <v>352000</v>
      </c>
      <c r="K49" s="148"/>
      <c r="L49" s="160">
        <f t="shared" si="2"/>
        <v>352000</v>
      </c>
      <c r="M49" s="74"/>
      <c r="N49" s="13"/>
      <c r="O49" s="79"/>
      <c r="P49" s="79"/>
      <c r="Q49" s="13"/>
      <c r="R49" s="79"/>
      <c r="S49" s="79"/>
      <c r="T49" s="45"/>
      <c r="U49" s="342"/>
      <c r="V49" s="79"/>
      <c r="W49" s="79">
        <v>217000</v>
      </c>
      <c r="X49" s="45">
        <v>135000</v>
      </c>
    </row>
    <row r="50" spans="1:24" ht="15" hidden="1" customHeight="1" x14ac:dyDescent="0.25">
      <c r="B50" s="88" t="s">
        <v>641</v>
      </c>
      <c r="C50" s="626" t="s">
        <v>192</v>
      </c>
      <c r="D50" s="627"/>
      <c r="E50" s="627"/>
      <c r="F50" s="158">
        <v>0</v>
      </c>
      <c r="G50" s="341">
        <v>0</v>
      </c>
      <c r="H50" s="311">
        <v>0</v>
      </c>
      <c r="I50" s="509">
        <v>0</v>
      </c>
      <c r="J50" s="233">
        <f>J51+J52</f>
        <v>0</v>
      </c>
      <c r="K50" s="142">
        <f t="shared" ref="K50:X50" si="12">K51+K52</f>
        <v>0</v>
      </c>
      <c r="L50" s="158">
        <f t="shared" si="2"/>
        <v>0</v>
      </c>
      <c r="M50" s="90">
        <f t="shared" si="12"/>
        <v>0</v>
      </c>
      <c r="N50" s="91">
        <f t="shared" si="12"/>
        <v>0</v>
      </c>
      <c r="O50" s="94">
        <f t="shared" si="12"/>
        <v>0</v>
      </c>
      <c r="P50" s="94">
        <f t="shared" si="12"/>
        <v>0</v>
      </c>
      <c r="Q50" s="91">
        <f t="shared" si="12"/>
        <v>0</v>
      </c>
      <c r="R50" s="94">
        <f t="shared" si="12"/>
        <v>0</v>
      </c>
      <c r="S50" s="94">
        <f t="shared" si="12"/>
        <v>0</v>
      </c>
      <c r="T50" s="95">
        <f t="shared" si="12"/>
        <v>0</v>
      </c>
      <c r="U50" s="341">
        <f t="shared" si="12"/>
        <v>0</v>
      </c>
      <c r="V50" s="94">
        <f t="shared" si="12"/>
        <v>0</v>
      </c>
      <c r="W50" s="94">
        <f t="shared" si="12"/>
        <v>0</v>
      </c>
      <c r="X50" s="95">
        <f t="shared" si="12"/>
        <v>0</v>
      </c>
    </row>
    <row r="51" spans="1:24" s="41" customFormat="1" ht="15" hidden="1" customHeight="1" x14ac:dyDescent="0.25">
      <c r="A51" s="118" t="s">
        <v>193</v>
      </c>
      <c r="B51" s="53" t="s">
        <v>642</v>
      </c>
      <c r="C51" s="628" t="s">
        <v>194</v>
      </c>
      <c r="D51" s="629"/>
      <c r="E51" s="629"/>
      <c r="F51" s="160">
        <v>0</v>
      </c>
      <c r="G51" s="342">
        <v>0</v>
      </c>
      <c r="H51" s="312">
        <v>0</v>
      </c>
      <c r="I51" s="510">
        <v>0</v>
      </c>
      <c r="J51" s="239">
        <f>SUM(M51:X51)</f>
        <v>0</v>
      </c>
      <c r="K51" s="148"/>
      <c r="L51" s="160">
        <f t="shared" si="2"/>
        <v>0</v>
      </c>
      <c r="M51" s="74"/>
      <c r="N51" s="13"/>
      <c r="O51" s="79"/>
      <c r="P51" s="79"/>
      <c r="Q51" s="13"/>
      <c r="R51" s="79"/>
      <c r="S51" s="79"/>
      <c r="T51" s="45"/>
      <c r="U51" s="342"/>
      <c r="V51" s="79"/>
      <c r="W51" s="79"/>
      <c r="X51" s="45"/>
    </row>
    <row r="52" spans="1:24" s="41" customFormat="1" ht="15" hidden="1" customHeight="1" x14ac:dyDescent="0.25">
      <c r="A52" s="118" t="s">
        <v>195</v>
      </c>
      <c r="B52" s="53" t="s">
        <v>643</v>
      </c>
      <c r="C52" s="628" t="s">
        <v>196</v>
      </c>
      <c r="D52" s="629"/>
      <c r="E52" s="629"/>
      <c r="F52" s="160">
        <v>0</v>
      </c>
      <c r="G52" s="342">
        <v>0</v>
      </c>
      <c r="H52" s="312">
        <v>0</v>
      </c>
      <c r="I52" s="510">
        <v>0</v>
      </c>
      <c r="J52" s="239">
        <f>SUM(M52:X52)</f>
        <v>0</v>
      </c>
      <c r="K52" s="148"/>
      <c r="L52" s="160">
        <f t="shared" si="2"/>
        <v>0</v>
      </c>
      <c r="M52" s="74"/>
      <c r="N52" s="13"/>
      <c r="O52" s="79"/>
      <c r="P52" s="79"/>
      <c r="Q52" s="13"/>
      <c r="R52" s="79"/>
      <c r="S52" s="79"/>
      <c r="T52" s="45"/>
      <c r="U52" s="342"/>
      <c r="V52" s="79"/>
      <c r="W52" s="79"/>
      <c r="X52" s="45"/>
    </row>
    <row r="53" spans="1:24" x14ac:dyDescent="0.25">
      <c r="B53" s="88" t="s">
        <v>644</v>
      </c>
      <c r="C53" s="626" t="s">
        <v>197</v>
      </c>
      <c r="D53" s="627"/>
      <c r="E53" s="627"/>
      <c r="F53" s="158">
        <v>101000</v>
      </c>
      <c r="G53" s="341">
        <v>101000</v>
      </c>
      <c r="H53" s="311">
        <v>103543</v>
      </c>
      <c r="I53" s="509">
        <v>103543</v>
      </c>
      <c r="J53" s="233">
        <f>J54+J55+J56+J57+J58</f>
        <v>212133</v>
      </c>
      <c r="K53" s="142">
        <f t="shared" ref="K53:X53" si="13">K54+K55+K56+K57+K58</f>
        <v>0</v>
      </c>
      <c r="L53" s="158">
        <f t="shared" si="2"/>
        <v>212133</v>
      </c>
      <c r="M53" s="90">
        <f t="shared" si="13"/>
        <v>0</v>
      </c>
      <c r="N53" s="91">
        <f t="shared" si="13"/>
        <v>2543</v>
      </c>
      <c r="O53" s="94">
        <f t="shared" si="13"/>
        <v>0</v>
      </c>
      <c r="P53" s="94">
        <f t="shared" si="13"/>
        <v>0</v>
      </c>
      <c r="Q53" s="91">
        <f t="shared" si="13"/>
        <v>0</v>
      </c>
      <c r="R53" s="94">
        <f t="shared" si="13"/>
        <v>0</v>
      </c>
      <c r="S53" s="94">
        <f t="shared" si="13"/>
        <v>0</v>
      </c>
      <c r="T53" s="95">
        <f t="shared" si="13"/>
        <v>0</v>
      </c>
      <c r="U53" s="341">
        <f t="shared" si="13"/>
        <v>0</v>
      </c>
      <c r="V53" s="94">
        <f t="shared" si="13"/>
        <v>0</v>
      </c>
      <c r="W53" s="94">
        <f t="shared" si="13"/>
        <v>58590</v>
      </c>
      <c r="X53" s="95">
        <f t="shared" si="13"/>
        <v>151000</v>
      </c>
    </row>
    <row r="54" spans="1:24" s="41" customFormat="1" x14ac:dyDescent="0.25">
      <c r="A54" s="118" t="s">
        <v>198</v>
      </c>
      <c r="B54" s="53" t="s">
        <v>645</v>
      </c>
      <c r="C54" s="628" t="s">
        <v>876</v>
      </c>
      <c r="D54" s="629"/>
      <c r="E54" s="629"/>
      <c r="F54" s="160">
        <v>100000</v>
      </c>
      <c r="G54" s="342">
        <v>100000</v>
      </c>
      <c r="H54" s="312">
        <v>102543</v>
      </c>
      <c r="I54" s="510">
        <v>102543</v>
      </c>
      <c r="J54" s="239">
        <f>SUM(M54:X54)</f>
        <v>211133</v>
      </c>
      <c r="K54" s="148"/>
      <c r="L54" s="160">
        <f t="shared" si="2"/>
        <v>211133</v>
      </c>
      <c r="M54" s="74"/>
      <c r="N54" s="13">
        <v>2543</v>
      </c>
      <c r="O54" s="79"/>
      <c r="P54" s="79"/>
      <c r="Q54" s="13"/>
      <c r="R54" s="79"/>
      <c r="S54" s="79"/>
      <c r="T54" s="45"/>
      <c r="U54" s="342"/>
      <c r="V54" s="79"/>
      <c r="W54" s="79">
        <v>58590</v>
      </c>
      <c r="X54" s="45">
        <v>150000</v>
      </c>
    </row>
    <row r="55" spans="1:24" s="41" customFormat="1" ht="15" hidden="1" customHeight="1" x14ac:dyDescent="0.25">
      <c r="A55" s="118" t="s">
        <v>199</v>
      </c>
      <c r="B55" s="53" t="s">
        <v>646</v>
      </c>
      <c r="C55" s="628" t="s">
        <v>200</v>
      </c>
      <c r="D55" s="629"/>
      <c r="E55" s="629"/>
      <c r="F55" s="160">
        <v>0</v>
      </c>
      <c r="G55" s="342">
        <v>0</v>
      </c>
      <c r="H55" s="312">
        <v>0</v>
      </c>
      <c r="I55" s="510">
        <v>0</v>
      </c>
      <c r="J55" s="239">
        <f>SUM(M55:X55)</f>
        <v>0</v>
      </c>
      <c r="K55" s="148"/>
      <c r="L55" s="160">
        <f t="shared" si="2"/>
        <v>0</v>
      </c>
      <c r="M55" s="74"/>
      <c r="N55" s="13"/>
      <c r="O55" s="79"/>
      <c r="P55" s="79"/>
      <c r="Q55" s="13"/>
      <c r="R55" s="79"/>
      <c r="S55" s="79"/>
      <c r="T55" s="45"/>
      <c r="U55" s="342"/>
      <c r="V55" s="79"/>
      <c r="W55" s="79"/>
      <c r="X55" s="45"/>
    </row>
    <row r="56" spans="1:24" s="41" customFormat="1" ht="15" hidden="1" customHeight="1" x14ac:dyDescent="0.25">
      <c r="A56" s="118" t="s">
        <v>201</v>
      </c>
      <c r="B56" s="53" t="s">
        <v>647</v>
      </c>
      <c r="C56" s="628" t="s">
        <v>202</v>
      </c>
      <c r="D56" s="629"/>
      <c r="E56" s="629"/>
      <c r="F56" s="160">
        <v>0</v>
      </c>
      <c r="G56" s="342">
        <v>0</v>
      </c>
      <c r="H56" s="312">
        <v>0</v>
      </c>
      <c r="I56" s="510">
        <v>0</v>
      </c>
      <c r="J56" s="239">
        <f>SUM(M56:X56)</f>
        <v>0</v>
      </c>
      <c r="K56" s="148"/>
      <c r="L56" s="160">
        <f t="shared" si="2"/>
        <v>0</v>
      </c>
      <c r="M56" s="74"/>
      <c r="N56" s="13"/>
      <c r="O56" s="79"/>
      <c r="P56" s="79"/>
      <c r="Q56" s="13"/>
      <c r="R56" s="79"/>
      <c r="S56" s="79"/>
      <c r="T56" s="45"/>
      <c r="U56" s="342"/>
      <c r="V56" s="79"/>
      <c r="W56" s="79"/>
      <c r="X56" s="45"/>
    </row>
    <row r="57" spans="1:24" s="41" customFormat="1" ht="15" hidden="1" customHeight="1" x14ac:dyDescent="0.25">
      <c r="A57" s="118" t="s">
        <v>203</v>
      </c>
      <c r="B57" s="53" t="s">
        <v>648</v>
      </c>
      <c r="C57" s="628" t="s">
        <v>204</v>
      </c>
      <c r="D57" s="629"/>
      <c r="E57" s="629"/>
      <c r="F57" s="160">
        <v>0</v>
      </c>
      <c r="G57" s="342">
        <v>0</v>
      </c>
      <c r="H57" s="312">
        <v>0</v>
      </c>
      <c r="I57" s="510">
        <v>0</v>
      </c>
      <c r="J57" s="239">
        <f>SUM(M57:X57)</f>
        <v>0</v>
      </c>
      <c r="K57" s="148"/>
      <c r="L57" s="160">
        <f t="shared" si="2"/>
        <v>0</v>
      </c>
      <c r="M57" s="74"/>
      <c r="N57" s="13"/>
      <c r="O57" s="79"/>
      <c r="P57" s="79"/>
      <c r="Q57" s="13"/>
      <c r="R57" s="79"/>
      <c r="S57" s="79"/>
      <c r="T57" s="45"/>
      <c r="U57" s="342"/>
      <c r="V57" s="79"/>
      <c r="W57" s="79"/>
      <c r="X57" s="45"/>
    </row>
    <row r="58" spans="1:24" s="41" customFormat="1" ht="15.75" thickBot="1" x14ac:dyDescent="0.3">
      <c r="A58" s="118" t="s">
        <v>205</v>
      </c>
      <c r="B58" s="188" t="s">
        <v>649</v>
      </c>
      <c r="C58" s="706" t="s">
        <v>206</v>
      </c>
      <c r="D58" s="707"/>
      <c r="E58" s="707"/>
      <c r="F58" s="160">
        <v>1000</v>
      </c>
      <c r="G58" s="347">
        <v>1000</v>
      </c>
      <c r="H58" s="319">
        <v>1000</v>
      </c>
      <c r="I58" s="511">
        <v>1000</v>
      </c>
      <c r="J58" s="252">
        <f>SUM(M58:X58)</f>
        <v>1000</v>
      </c>
      <c r="K58" s="189"/>
      <c r="L58" s="160">
        <f t="shared" si="2"/>
        <v>1000</v>
      </c>
      <c r="M58" s="74"/>
      <c r="N58" s="13"/>
      <c r="O58" s="79"/>
      <c r="P58" s="79"/>
      <c r="Q58" s="13"/>
      <c r="R58" s="79"/>
      <c r="S58" s="79"/>
      <c r="T58" s="45"/>
      <c r="U58" s="342"/>
      <c r="V58" s="79"/>
      <c r="W58" s="79"/>
      <c r="X58" s="45">
        <v>1000</v>
      </c>
    </row>
    <row r="59" spans="1:24" ht="15.75" thickBot="1" x14ac:dyDescent="0.3">
      <c r="B59" s="81" t="s">
        <v>207</v>
      </c>
      <c r="C59" s="632" t="s">
        <v>208</v>
      </c>
      <c r="D59" s="633"/>
      <c r="E59" s="633"/>
      <c r="F59" s="156">
        <v>0</v>
      </c>
      <c r="G59" s="338">
        <v>0</v>
      </c>
      <c r="H59" s="308">
        <v>0</v>
      </c>
      <c r="I59" s="506">
        <v>0</v>
      </c>
      <c r="J59" s="235">
        <f>J60+J61+J62+J63+J64+J65+J66+J70</f>
        <v>0</v>
      </c>
      <c r="K59" s="144">
        <f t="shared" ref="K59:X59" si="14">K60+K61+K62+K63+K64+K65+K66+K70</f>
        <v>0</v>
      </c>
      <c r="L59" s="156">
        <f t="shared" si="2"/>
        <v>0</v>
      </c>
      <c r="M59" s="82">
        <f t="shared" si="14"/>
        <v>0</v>
      </c>
      <c r="N59" s="83">
        <f t="shared" si="14"/>
        <v>0</v>
      </c>
      <c r="O59" s="86">
        <f t="shared" si="14"/>
        <v>0</v>
      </c>
      <c r="P59" s="86">
        <f t="shared" si="14"/>
        <v>0</v>
      </c>
      <c r="Q59" s="83">
        <f t="shared" si="14"/>
        <v>0</v>
      </c>
      <c r="R59" s="86">
        <f t="shared" si="14"/>
        <v>0</v>
      </c>
      <c r="S59" s="86">
        <f t="shared" si="14"/>
        <v>0</v>
      </c>
      <c r="T59" s="87">
        <f t="shared" si="14"/>
        <v>0</v>
      </c>
      <c r="U59" s="338">
        <f t="shared" si="14"/>
        <v>0</v>
      </c>
      <c r="V59" s="86">
        <f t="shared" si="14"/>
        <v>0</v>
      </c>
      <c r="W59" s="86">
        <f t="shared" si="14"/>
        <v>0</v>
      </c>
      <c r="X59" s="87">
        <f t="shared" si="14"/>
        <v>0</v>
      </c>
    </row>
    <row r="60" spans="1:24" s="18" customFormat="1" ht="15" hidden="1" customHeight="1" x14ac:dyDescent="0.25">
      <c r="A60" s="118" t="s">
        <v>877</v>
      </c>
      <c r="B60" s="108" t="s">
        <v>878</v>
      </c>
      <c r="C60" s="634" t="s">
        <v>879</v>
      </c>
      <c r="D60" s="635"/>
      <c r="E60" s="635"/>
      <c r="F60" s="158">
        <v>0</v>
      </c>
      <c r="G60" s="339">
        <v>0</v>
      </c>
      <c r="H60" s="309">
        <v>0</v>
      </c>
      <c r="I60" s="507">
        <v>0</v>
      </c>
      <c r="J60" s="231">
        <f t="shared" ref="J60:J65" si="15">SUM(M60:X60)</f>
        <v>0</v>
      </c>
      <c r="K60" s="140"/>
      <c r="L60" s="158">
        <f t="shared" si="2"/>
        <v>0</v>
      </c>
      <c r="M60" s="90"/>
      <c r="N60" s="91"/>
      <c r="O60" s="94"/>
      <c r="P60" s="94"/>
      <c r="Q60" s="91"/>
      <c r="R60" s="94"/>
      <c r="S60" s="94"/>
      <c r="T60" s="95"/>
      <c r="U60" s="341"/>
      <c r="V60" s="94"/>
      <c r="W60" s="94"/>
      <c r="X60" s="95"/>
    </row>
    <row r="61" spans="1:24" s="18" customFormat="1" ht="15" hidden="1" customHeight="1" x14ac:dyDescent="0.25">
      <c r="A61" s="118" t="s">
        <v>209</v>
      </c>
      <c r="B61" s="108" t="s">
        <v>650</v>
      </c>
      <c r="C61" s="634" t="s">
        <v>210</v>
      </c>
      <c r="D61" s="635"/>
      <c r="E61" s="635"/>
      <c r="F61" s="158">
        <v>0</v>
      </c>
      <c r="G61" s="339">
        <v>0</v>
      </c>
      <c r="H61" s="309">
        <v>0</v>
      </c>
      <c r="I61" s="507">
        <v>0</v>
      </c>
      <c r="J61" s="231">
        <f t="shared" si="15"/>
        <v>0</v>
      </c>
      <c r="K61" s="140"/>
      <c r="L61" s="158">
        <f t="shared" si="2"/>
        <v>0</v>
      </c>
      <c r="M61" s="90"/>
      <c r="N61" s="91"/>
      <c r="O61" s="94"/>
      <c r="P61" s="94"/>
      <c r="Q61" s="91"/>
      <c r="R61" s="94"/>
      <c r="S61" s="94"/>
      <c r="T61" s="95"/>
      <c r="U61" s="341"/>
      <c r="V61" s="94"/>
      <c r="W61" s="94"/>
      <c r="X61" s="95"/>
    </row>
    <row r="62" spans="1:24" s="18" customFormat="1" ht="15" hidden="1" customHeight="1" x14ac:dyDescent="0.25">
      <c r="A62" s="118" t="s">
        <v>211</v>
      </c>
      <c r="B62" s="88" t="s">
        <v>651</v>
      </c>
      <c r="C62" s="626" t="s">
        <v>352</v>
      </c>
      <c r="D62" s="627"/>
      <c r="E62" s="627"/>
      <c r="F62" s="158">
        <v>0</v>
      </c>
      <c r="G62" s="341">
        <v>0</v>
      </c>
      <c r="H62" s="311">
        <v>0</v>
      </c>
      <c r="I62" s="509">
        <v>0</v>
      </c>
      <c r="J62" s="233">
        <f t="shared" si="15"/>
        <v>0</v>
      </c>
      <c r="K62" s="142"/>
      <c r="L62" s="158">
        <f t="shared" si="2"/>
        <v>0</v>
      </c>
      <c r="M62" s="90"/>
      <c r="N62" s="91"/>
      <c r="O62" s="94"/>
      <c r="P62" s="94"/>
      <c r="Q62" s="91"/>
      <c r="R62" s="94"/>
      <c r="S62" s="94"/>
      <c r="T62" s="95"/>
      <c r="U62" s="341"/>
      <c r="V62" s="94"/>
      <c r="W62" s="94"/>
      <c r="X62" s="95"/>
    </row>
    <row r="63" spans="1:24" s="18" customFormat="1" ht="15" hidden="1" customHeight="1" x14ac:dyDescent="0.25">
      <c r="A63" s="118" t="s">
        <v>212</v>
      </c>
      <c r="B63" s="108" t="s">
        <v>652</v>
      </c>
      <c r="C63" s="626" t="s">
        <v>880</v>
      </c>
      <c r="D63" s="627"/>
      <c r="E63" s="627"/>
      <c r="F63" s="158">
        <v>0</v>
      </c>
      <c r="G63" s="341">
        <v>0</v>
      </c>
      <c r="H63" s="311">
        <v>0</v>
      </c>
      <c r="I63" s="509">
        <v>0</v>
      </c>
      <c r="J63" s="233">
        <f t="shared" si="15"/>
        <v>0</v>
      </c>
      <c r="K63" s="142"/>
      <c r="L63" s="158">
        <f t="shared" si="2"/>
        <v>0</v>
      </c>
      <c r="M63" s="90"/>
      <c r="N63" s="91"/>
      <c r="O63" s="94"/>
      <c r="P63" s="94"/>
      <c r="Q63" s="91"/>
      <c r="R63" s="94"/>
      <c r="S63" s="94"/>
      <c r="T63" s="95"/>
      <c r="U63" s="341"/>
      <c r="V63" s="94"/>
      <c r="W63" s="94"/>
      <c r="X63" s="95"/>
    </row>
    <row r="64" spans="1:24" s="18" customFormat="1" ht="15" hidden="1" customHeight="1" x14ac:dyDescent="0.25">
      <c r="A64" s="118" t="s">
        <v>213</v>
      </c>
      <c r="B64" s="88" t="s">
        <v>653</v>
      </c>
      <c r="C64" s="626" t="s">
        <v>881</v>
      </c>
      <c r="D64" s="627"/>
      <c r="E64" s="627"/>
      <c r="F64" s="158">
        <v>0</v>
      </c>
      <c r="G64" s="341">
        <v>0</v>
      </c>
      <c r="H64" s="311">
        <v>0</v>
      </c>
      <c r="I64" s="509">
        <v>0</v>
      </c>
      <c r="J64" s="233">
        <f t="shared" si="15"/>
        <v>0</v>
      </c>
      <c r="K64" s="142"/>
      <c r="L64" s="158">
        <f t="shared" si="2"/>
        <v>0</v>
      </c>
      <c r="M64" s="90"/>
      <c r="N64" s="91"/>
      <c r="O64" s="94"/>
      <c r="P64" s="94"/>
      <c r="Q64" s="91"/>
      <c r="R64" s="94"/>
      <c r="S64" s="94"/>
      <c r="T64" s="95"/>
      <c r="U64" s="341"/>
      <c r="V64" s="94"/>
      <c r="W64" s="94"/>
      <c r="X64" s="95"/>
    </row>
    <row r="65" spans="1:25" s="18" customFormat="1" ht="15" hidden="1" customHeight="1" x14ac:dyDescent="0.25">
      <c r="A65" s="118" t="s">
        <v>214</v>
      </c>
      <c r="B65" s="108" t="s">
        <v>654</v>
      </c>
      <c r="C65" s="626" t="s">
        <v>215</v>
      </c>
      <c r="D65" s="627"/>
      <c r="E65" s="627"/>
      <c r="F65" s="158">
        <v>0</v>
      </c>
      <c r="G65" s="341">
        <v>0</v>
      </c>
      <c r="H65" s="311">
        <v>0</v>
      </c>
      <c r="I65" s="509">
        <v>0</v>
      </c>
      <c r="J65" s="233">
        <f t="shared" si="15"/>
        <v>0</v>
      </c>
      <c r="K65" s="142"/>
      <c r="L65" s="158">
        <f t="shared" si="2"/>
        <v>0</v>
      </c>
      <c r="M65" s="90"/>
      <c r="N65" s="91"/>
      <c r="O65" s="94"/>
      <c r="P65" s="94"/>
      <c r="Q65" s="91"/>
      <c r="R65" s="94"/>
      <c r="S65" s="94"/>
      <c r="T65" s="95"/>
      <c r="U65" s="341"/>
      <c r="V65" s="94"/>
      <c r="W65" s="94"/>
      <c r="X65" s="95"/>
    </row>
    <row r="66" spans="1:25" s="18" customFormat="1" ht="15" hidden="1" customHeight="1" x14ac:dyDescent="0.25">
      <c r="A66" s="118" t="s">
        <v>216</v>
      </c>
      <c r="B66" s="88" t="s">
        <v>655</v>
      </c>
      <c r="C66" s="626" t="s">
        <v>217</v>
      </c>
      <c r="D66" s="627"/>
      <c r="E66" s="627"/>
      <c r="F66" s="158">
        <v>0</v>
      </c>
      <c r="G66" s="341">
        <v>0</v>
      </c>
      <c r="H66" s="311">
        <v>0</v>
      </c>
      <c r="I66" s="509">
        <v>0</v>
      </c>
      <c r="J66" s="233">
        <f>J67+J68+J69</f>
        <v>0</v>
      </c>
      <c r="K66" s="142">
        <f t="shared" ref="K66:X66" si="16">K67+K68+K69</f>
        <v>0</v>
      </c>
      <c r="L66" s="158">
        <f t="shared" si="2"/>
        <v>0</v>
      </c>
      <c r="M66" s="90">
        <f t="shared" si="16"/>
        <v>0</v>
      </c>
      <c r="N66" s="91">
        <f t="shared" si="16"/>
        <v>0</v>
      </c>
      <c r="O66" s="94">
        <f t="shared" si="16"/>
        <v>0</v>
      </c>
      <c r="P66" s="94">
        <f t="shared" si="16"/>
        <v>0</v>
      </c>
      <c r="Q66" s="91">
        <f t="shared" si="16"/>
        <v>0</v>
      </c>
      <c r="R66" s="94">
        <f t="shared" si="16"/>
        <v>0</v>
      </c>
      <c r="S66" s="94">
        <f t="shared" si="16"/>
        <v>0</v>
      </c>
      <c r="T66" s="95">
        <f t="shared" si="16"/>
        <v>0</v>
      </c>
      <c r="U66" s="341">
        <f t="shared" si="16"/>
        <v>0</v>
      </c>
      <c r="V66" s="94">
        <f t="shared" si="16"/>
        <v>0</v>
      </c>
      <c r="W66" s="94">
        <f t="shared" si="16"/>
        <v>0</v>
      </c>
      <c r="X66" s="95">
        <f t="shared" si="16"/>
        <v>0</v>
      </c>
    </row>
    <row r="67" spans="1:25" ht="15" hidden="1" customHeight="1" x14ac:dyDescent="0.25">
      <c r="B67" s="54"/>
      <c r="C67" s="2"/>
      <c r="D67" s="624" t="s">
        <v>343</v>
      </c>
      <c r="E67" s="624"/>
      <c r="F67" s="159">
        <v>0</v>
      </c>
      <c r="G67" s="343">
        <v>0</v>
      </c>
      <c r="H67" s="313">
        <v>0</v>
      </c>
      <c r="I67" s="513">
        <v>0</v>
      </c>
      <c r="J67" s="232">
        <f>SUM(M67:X67)</f>
        <v>0</v>
      </c>
      <c r="K67" s="141"/>
      <c r="L67" s="159">
        <f t="shared" si="2"/>
        <v>0</v>
      </c>
      <c r="M67" s="72"/>
      <c r="N67" s="1"/>
      <c r="O67" s="78"/>
      <c r="P67" s="78"/>
      <c r="Q67" s="1"/>
      <c r="R67" s="78"/>
      <c r="S67" s="78"/>
      <c r="T67" s="44"/>
      <c r="U67" s="343"/>
      <c r="V67" s="78"/>
      <c r="W67" s="78"/>
      <c r="X67" s="44"/>
      <c r="Y67" s="21"/>
    </row>
    <row r="68" spans="1:25" ht="15" hidden="1" customHeight="1" x14ac:dyDescent="0.25">
      <c r="B68" s="54"/>
      <c r="C68" s="2"/>
      <c r="D68" s="624" t="s">
        <v>344</v>
      </c>
      <c r="E68" s="624"/>
      <c r="F68" s="159">
        <v>0</v>
      </c>
      <c r="G68" s="343">
        <v>0</v>
      </c>
      <c r="H68" s="313">
        <v>0</v>
      </c>
      <c r="I68" s="513">
        <v>0</v>
      </c>
      <c r="J68" s="232">
        <f>SUM(M68:X68)</f>
        <v>0</v>
      </c>
      <c r="K68" s="141"/>
      <c r="L68" s="159">
        <f t="shared" si="2"/>
        <v>0</v>
      </c>
      <c r="M68" s="72"/>
      <c r="N68" s="1"/>
      <c r="O68" s="78"/>
      <c r="P68" s="78"/>
      <c r="Q68" s="1"/>
      <c r="R68" s="78"/>
      <c r="S68" s="78"/>
      <c r="T68" s="44"/>
      <c r="U68" s="343"/>
      <c r="V68" s="78"/>
      <c r="W68" s="78"/>
      <c r="X68" s="44"/>
    </row>
    <row r="69" spans="1:25" ht="15" hidden="1" customHeight="1" x14ac:dyDescent="0.25">
      <c r="B69" s="54"/>
      <c r="C69" s="2"/>
      <c r="D69" s="624" t="s">
        <v>345</v>
      </c>
      <c r="E69" s="624"/>
      <c r="F69" s="159">
        <v>0</v>
      </c>
      <c r="G69" s="343">
        <v>0</v>
      </c>
      <c r="H69" s="313">
        <v>0</v>
      </c>
      <c r="I69" s="513">
        <v>0</v>
      </c>
      <c r="J69" s="232">
        <f>SUM(M69:X69)</f>
        <v>0</v>
      </c>
      <c r="K69" s="141"/>
      <c r="L69" s="159">
        <f t="shared" si="2"/>
        <v>0</v>
      </c>
      <c r="M69" s="72"/>
      <c r="N69" s="1"/>
      <c r="O69" s="78"/>
      <c r="P69" s="78"/>
      <c r="Q69" s="1"/>
      <c r="R69" s="78"/>
      <c r="S69" s="78"/>
      <c r="T69" s="44"/>
      <c r="U69" s="343"/>
      <c r="V69" s="78"/>
      <c r="W69" s="78"/>
      <c r="X69" s="44"/>
    </row>
    <row r="70" spans="1:25" s="18" customFormat="1" ht="15" hidden="1" customHeight="1" x14ac:dyDescent="0.25">
      <c r="A70" s="118" t="s">
        <v>218</v>
      </c>
      <c r="B70" s="88" t="s">
        <v>656</v>
      </c>
      <c r="C70" s="626" t="s">
        <v>219</v>
      </c>
      <c r="D70" s="627"/>
      <c r="E70" s="627"/>
      <c r="F70" s="158">
        <v>0</v>
      </c>
      <c r="G70" s="341">
        <v>0</v>
      </c>
      <c r="H70" s="311">
        <v>0</v>
      </c>
      <c r="I70" s="509">
        <v>0</v>
      </c>
      <c r="J70" s="233">
        <f>J71+J72+J73+J74</f>
        <v>0</v>
      </c>
      <c r="K70" s="142">
        <f t="shared" ref="K70:X70" si="17">K71+K72+K73+K74</f>
        <v>0</v>
      </c>
      <c r="L70" s="158">
        <f t="shared" ref="L70:L133" si="18">SUM(J70:K70)</f>
        <v>0</v>
      </c>
      <c r="M70" s="90">
        <f t="shared" si="17"/>
        <v>0</v>
      </c>
      <c r="N70" s="91">
        <f t="shared" si="17"/>
        <v>0</v>
      </c>
      <c r="O70" s="94">
        <f t="shared" si="17"/>
        <v>0</v>
      </c>
      <c r="P70" s="94">
        <f t="shared" si="17"/>
        <v>0</v>
      </c>
      <c r="Q70" s="91">
        <f t="shared" si="17"/>
        <v>0</v>
      </c>
      <c r="R70" s="94">
        <f t="shared" si="17"/>
        <v>0</v>
      </c>
      <c r="S70" s="94">
        <f t="shared" si="17"/>
        <v>0</v>
      </c>
      <c r="T70" s="95">
        <f t="shared" si="17"/>
        <v>0</v>
      </c>
      <c r="U70" s="341">
        <f t="shared" si="17"/>
        <v>0</v>
      </c>
      <c r="V70" s="94">
        <f t="shared" si="17"/>
        <v>0</v>
      </c>
      <c r="W70" s="94">
        <f t="shared" si="17"/>
        <v>0</v>
      </c>
      <c r="X70" s="95">
        <f t="shared" si="17"/>
        <v>0</v>
      </c>
    </row>
    <row r="71" spans="1:25" ht="15" hidden="1" customHeight="1" x14ac:dyDescent="0.25">
      <c r="B71" s="54"/>
      <c r="C71" s="2"/>
      <c r="D71" s="624" t="s">
        <v>835</v>
      </c>
      <c r="E71" s="624"/>
      <c r="F71" s="159">
        <v>0</v>
      </c>
      <c r="G71" s="343">
        <v>0</v>
      </c>
      <c r="H71" s="313">
        <v>0</v>
      </c>
      <c r="I71" s="513">
        <v>0</v>
      </c>
      <c r="J71" s="232">
        <f>SUM(M71:X71)</f>
        <v>0</v>
      </c>
      <c r="K71" s="141"/>
      <c r="L71" s="159">
        <f t="shared" si="18"/>
        <v>0</v>
      </c>
      <c r="M71" s="72"/>
      <c r="N71" s="1"/>
      <c r="O71" s="78"/>
      <c r="P71" s="78"/>
      <c r="Q71" s="1"/>
      <c r="R71" s="78"/>
      <c r="S71" s="78"/>
      <c r="T71" s="44"/>
      <c r="U71" s="343"/>
      <c r="V71" s="78"/>
      <c r="W71" s="78"/>
      <c r="X71" s="44"/>
    </row>
    <row r="72" spans="1:25" ht="15" hidden="1" customHeight="1" x14ac:dyDescent="0.25">
      <c r="B72" s="54"/>
      <c r="C72" s="2"/>
      <c r="D72" s="624" t="s">
        <v>346</v>
      </c>
      <c r="E72" s="624"/>
      <c r="F72" s="159">
        <v>0</v>
      </c>
      <c r="G72" s="343">
        <v>0</v>
      </c>
      <c r="H72" s="313">
        <v>0</v>
      </c>
      <c r="I72" s="513">
        <v>0</v>
      </c>
      <c r="J72" s="232">
        <f>SUM(M72:X72)</f>
        <v>0</v>
      </c>
      <c r="K72" s="141"/>
      <c r="L72" s="159">
        <f t="shared" si="18"/>
        <v>0</v>
      </c>
      <c r="M72" s="72"/>
      <c r="N72" s="1"/>
      <c r="O72" s="78"/>
      <c r="P72" s="78"/>
      <c r="Q72" s="1"/>
      <c r="R72" s="78"/>
      <c r="S72" s="78"/>
      <c r="T72" s="44"/>
      <c r="U72" s="343"/>
      <c r="V72" s="78"/>
      <c r="W72" s="78"/>
      <c r="X72" s="44"/>
    </row>
    <row r="73" spans="1:25" ht="15" hidden="1" customHeight="1" x14ac:dyDescent="0.25">
      <c r="B73" s="54"/>
      <c r="C73" s="2"/>
      <c r="D73" s="624" t="s">
        <v>836</v>
      </c>
      <c r="E73" s="624"/>
      <c r="F73" s="159">
        <v>0</v>
      </c>
      <c r="G73" s="343">
        <v>0</v>
      </c>
      <c r="H73" s="313">
        <v>0</v>
      </c>
      <c r="I73" s="513">
        <v>0</v>
      </c>
      <c r="J73" s="232">
        <f>SUM(M73:X73)</f>
        <v>0</v>
      </c>
      <c r="K73" s="141"/>
      <c r="L73" s="159">
        <f t="shared" si="18"/>
        <v>0</v>
      </c>
      <c r="M73" s="72"/>
      <c r="N73" s="1"/>
      <c r="O73" s="78"/>
      <c r="P73" s="78"/>
      <c r="Q73" s="1"/>
      <c r="R73" s="78"/>
      <c r="S73" s="78"/>
      <c r="T73" s="44"/>
      <c r="U73" s="343"/>
      <c r="V73" s="78"/>
      <c r="W73" s="78"/>
      <c r="X73" s="44"/>
    </row>
    <row r="74" spans="1:25" ht="15.75" hidden="1" customHeight="1" thickBot="1" x14ac:dyDescent="0.3">
      <c r="B74" s="54"/>
      <c r="C74" s="2"/>
      <c r="D74" s="624" t="s">
        <v>834</v>
      </c>
      <c r="E74" s="624"/>
      <c r="F74" s="159">
        <v>0</v>
      </c>
      <c r="G74" s="343">
        <v>0</v>
      </c>
      <c r="H74" s="313">
        <v>0</v>
      </c>
      <c r="I74" s="513">
        <v>0</v>
      </c>
      <c r="J74" s="232">
        <f>SUM(M74:X74)</f>
        <v>0</v>
      </c>
      <c r="K74" s="141"/>
      <c r="L74" s="159">
        <f t="shared" si="18"/>
        <v>0</v>
      </c>
      <c r="M74" s="72"/>
      <c r="N74" s="1"/>
      <c r="O74" s="78"/>
      <c r="P74" s="78"/>
      <c r="Q74" s="1"/>
      <c r="R74" s="78"/>
      <c r="S74" s="78"/>
      <c r="T74" s="44"/>
      <c r="U74" s="343"/>
      <c r="V74" s="78"/>
      <c r="W74" s="78"/>
      <c r="X74" s="44"/>
    </row>
    <row r="75" spans="1:25" ht="15.75" thickBot="1" x14ac:dyDescent="0.3">
      <c r="B75" s="96" t="s">
        <v>220</v>
      </c>
      <c r="C75" s="632" t="s">
        <v>221</v>
      </c>
      <c r="D75" s="633"/>
      <c r="E75" s="633"/>
      <c r="F75" s="156">
        <v>0</v>
      </c>
      <c r="G75" s="338">
        <v>0</v>
      </c>
      <c r="H75" s="308">
        <v>0</v>
      </c>
      <c r="I75" s="506">
        <v>0</v>
      </c>
      <c r="J75" s="235">
        <f>J76+J79+J83+J84+J95+J106+J117+J120+J132+J133+J134+J135+J146</f>
        <v>0</v>
      </c>
      <c r="K75" s="144">
        <f t="shared" ref="K75:X75" si="19">K76+K79+K83+K84+K95+K106+K117+K120+K132+K133+K134+K135+K146</f>
        <v>0</v>
      </c>
      <c r="L75" s="156">
        <f t="shared" si="18"/>
        <v>0</v>
      </c>
      <c r="M75" s="82">
        <f t="shared" si="19"/>
        <v>0</v>
      </c>
      <c r="N75" s="83">
        <f t="shared" si="19"/>
        <v>0</v>
      </c>
      <c r="O75" s="86">
        <f t="shared" si="19"/>
        <v>0</v>
      </c>
      <c r="P75" s="86">
        <f t="shared" si="19"/>
        <v>0</v>
      </c>
      <c r="Q75" s="83">
        <f t="shared" si="19"/>
        <v>0</v>
      </c>
      <c r="R75" s="86">
        <f t="shared" si="19"/>
        <v>0</v>
      </c>
      <c r="S75" s="86">
        <f t="shared" si="19"/>
        <v>0</v>
      </c>
      <c r="T75" s="87">
        <f t="shared" si="19"/>
        <v>0</v>
      </c>
      <c r="U75" s="338">
        <f t="shared" si="19"/>
        <v>0</v>
      </c>
      <c r="V75" s="86">
        <f t="shared" si="19"/>
        <v>0</v>
      </c>
      <c r="W75" s="86">
        <f t="shared" si="19"/>
        <v>0</v>
      </c>
      <c r="X75" s="87">
        <f t="shared" si="19"/>
        <v>0</v>
      </c>
    </row>
    <row r="76" spans="1:25" s="41" customFormat="1" ht="15" hidden="1" customHeight="1" x14ac:dyDescent="0.25">
      <c r="A76" s="118" t="s">
        <v>222</v>
      </c>
      <c r="B76" s="116" t="s">
        <v>657</v>
      </c>
      <c r="C76" s="657" t="s">
        <v>223</v>
      </c>
      <c r="D76" s="658"/>
      <c r="E76" s="658"/>
      <c r="F76" s="161">
        <v>0</v>
      </c>
      <c r="G76" s="344">
        <v>0</v>
      </c>
      <c r="H76" s="314">
        <v>0</v>
      </c>
      <c r="I76" s="515">
        <v>0</v>
      </c>
      <c r="J76" s="240">
        <f>J77+J78</f>
        <v>0</v>
      </c>
      <c r="K76" s="149">
        <f t="shared" ref="K76:X76" si="20">K77+K78</f>
        <v>0</v>
      </c>
      <c r="L76" s="161">
        <f t="shared" si="18"/>
        <v>0</v>
      </c>
      <c r="M76" s="163">
        <f t="shared" si="20"/>
        <v>0</v>
      </c>
      <c r="N76" s="124">
        <f t="shared" si="20"/>
        <v>0</v>
      </c>
      <c r="O76" s="125">
        <f t="shared" si="20"/>
        <v>0</v>
      </c>
      <c r="P76" s="125">
        <f t="shared" si="20"/>
        <v>0</v>
      </c>
      <c r="Q76" s="124">
        <f t="shared" si="20"/>
        <v>0</v>
      </c>
      <c r="R76" s="125">
        <f t="shared" si="20"/>
        <v>0</v>
      </c>
      <c r="S76" s="125">
        <f t="shared" si="20"/>
        <v>0</v>
      </c>
      <c r="T76" s="126">
        <f t="shared" si="20"/>
        <v>0</v>
      </c>
      <c r="U76" s="344">
        <f t="shared" si="20"/>
        <v>0</v>
      </c>
      <c r="V76" s="125">
        <f t="shared" si="20"/>
        <v>0</v>
      </c>
      <c r="W76" s="125">
        <f t="shared" si="20"/>
        <v>0</v>
      </c>
      <c r="X76" s="126">
        <f t="shared" si="20"/>
        <v>0</v>
      </c>
    </row>
    <row r="77" spans="1:25" ht="15" hidden="1" customHeight="1" x14ac:dyDescent="0.25">
      <c r="B77" s="54"/>
      <c r="C77" s="2"/>
      <c r="D77" s="624" t="s">
        <v>347</v>
      </c>
      <c r="E77" s="624"/>
      <c r="F77" s="159">
        <v>0</v>
      </c>
      <c r="G77" s="343">
        <v>0</v>
      </c>
      <c r="H77" s="313">
        <v>0</v>
      </c>
      <c r="I77" s="513">
        <v>0</v>
      </c>
      <c r="J77" s="232">
        <f>SUM(M77:X77)</f>
        <v>0</v>
      </c>
      <c r="K77" s="141"/>
      <c r="L77" s="159">
        <f t="shared" si="18"/>
        <v>0</v>
      </c>
      <c r="M77" s="72"/>
      <c r="N77" s="1"/>
      <c r="O77" s="78"/>
      <c r="P77" s="78"/>
      <c r="Q77" s="1"/>
      <c r="R77" s="78"/>
      <c r="S77" s="78"/>
      <c r="T77" s="44"/>
      <c r="U77" s="343"/>
      <c r="V77" s="78"/>
      <c r="W77" s="78"/>
      <c r="X77" s="44"/>
    </row>
    <row r="78" spans="1:25" ht="15" hidden="1" customHeight="1" x14ac:dyDescent="0.25">
      <c r="B78" s="54"/>
      <c r="C78" s="2"/>
      <c r="D78" s="624" t="s">
        <v>348</v>
      </c>
      <c r="E78" s="624"/>
      <c r="F78" s="159">
        <v>0</v>
      </c>
      <c r="G78" s="343">
        <v>0</v>
      </c>
      <c r="H78" s="313">
        <v>0</v>
      </c>
      <c r="I78" s="513">
        <v>0</v>
      </c>
      <c r="J78" s="232">
        <f>SUM(M78:X78)</f>
        <v>0</v>
      </c>
      <c r="K78" s="141"/>
      <c r="L78" s="159">
        <f t="shared" si="18"/>
        <v>0</v>
      </c>
      <c r="M78" s="72"/>
      <c r="N78" s="1"/>
      <c r="O78" s="78"/>
      <c r="P78" s="78"/>
      <c r="Q78" s="1"/>
      <c r="R78" s="78"/>
      <c r="S78" s="78"/>
      <c r="T78" s="44"/>
      <c r="U78" s="343"/>
      <c r="V78" s="78"/>
      <c r="W78" s="78"/>
      <c r="X78" s="44"/>
    </row>
    <row r="79" spans="1:25" ht="15" hidden="1" customHeight="1" x14ac:dyDescent="0.25">
      <c r="B79" s="116" t="s">
        <v>837</v>
      </c>
      <c r="C79" s="657" t="s">
        <v>838</v>
      </c>
      <c r="D79" s="658"/>
      <c r="E79" s="658"/>
      <c r="F79" s="161">
        <v>0</v>
      </c>
      <c r="G79" s="344">
        <v>0</v>
      </c>
      <c r="H79" s="314">
        <v>0</v>
      </c>
      <c r="I79" s="515">
        <v>0</v>
      </c>
      <c r="J79" s="240">
        <f>J80+J81+J82</f>
        <v>0</v>
      </c>
      <c r="K79" s="149">
        <f t="shared" ref="K79:X79" si="21">K80+K81+K82</f>
        <v>0</v>
      </c>
      <c r="L79" s="161">
        <f t="shared" si="18"/>
        <v>0</v>
      </c>
      <c r="M79" s="163">
        <f t="shared" si="21"/>
        <v>0</v>
      </c>
      <c r="N79" s="124">
        <f t="shared" si="21"/>
        <v>0</v>
      </c>
      <c r="O79" s="125">
        <f t="shared" si="21"/>
        <v>0</v>
      </c>
      <c r="P79" s="125">
        <f t="shared" si="21"/>
        <v>0</v>
      </c>
      <c r="Q79" s="124">
        <f t="shared" si="21"/>
        <v>0</v>
      </c>
      <c r="R79" s="125">
        <f t="shared" si="21"/>
        <v>0</v>
      </c>
      <c r="S79" s="125">
        <f t="shared" si="21"/>
        <v>0</v>
      </c>
      <c r="T79" s="126">
        <f t="shared" si="21"/>
        <v>0</v>
      </c>
      <c r="U79" s="344">
        <f t="shared" si="21"/>
        <v>0</v>
      </c>
      <c r="V79" s="125">
        <f t="shared" si="21"/>
        <v>0</v>
      </c>
      <c r="W79" s="125">
        <f t="shared" si="21"/>
        <v>0</v>
      </c>
      <c r="X79" s="126">
        <f t="shared" si="21"/>
        <v>0</v>
      </c>
    </row>
    <row r="80" spans="1:25" s="199" customFormat="1" ht="15" hidden="1" customHeight="1" x14ac:dyDescent="0.25">
      <c r="A80" s="118" t="s">
        <v>882</v>
      </c>
      <c r="B80" s="181" t="s">
        <v>883</v>
      </c>
      <c r="C80" s="194"/>
      <c r="D80" s="247" t="s">
        <v>969</v>
      </c>
      <c r="E80" s="247"/>
      <c r="F80" s="183">
        <v>0</v>
      </c>
      <c r="G80" s="340">
        <v>0</v>
      </c>
      <c r="H80" s="310">
        <v>0</v>
      </c>
      <c r="I80" s="508">
        <v>0</v>
      </c>
      <c r="J80" s="251">
        <f>SUM(M80:X80)</f>
        <v>0</v>
      </c>
      <c r="K80" s="182"/>
      <c r="L80" s="183">
        <f t="shared" si="18"/>
        <v>0</v>
      </c>
      <c r="M80" s="191"/>
      <c r="N80" s="185"/>
      <c r="O80" s="186"/>
      <c r="P80" s="186"/>
      <c r="Q80" s="185"/>
      <c r="R80" s="186"/>
      <c r="S80" s="186"/>
      <c r="T80" s="187"/>
      <c r="U80" s="340"/>
      <c r="V80" s="186"/>
      <c r="W80" s="186"/>
      <c r="X80" s="187"/>
    </row>
    <row r="81" spans="1:24" s="199" customFormat="1" ht="15" hidden="1" customHeight="1" x14ac:dyDescent="0.25">
      <c r="A81" s="118" t="s">
        <v>224</v>
      </c>
      <c r="B81" s="181" t="s">
        <v>658</v>
      </c>
      <c r="C81" s="194"/>
      <c r="D81" s="247" t="s">
        <v>225</v>
      </c>
      <c r="E81" s="247"/>
      <c r="F81" s="183">
        <v>0</v>
      </c>
      <c r="G81" s="340">
        <v>0</v>
      </c>
      <c r="H81" s="310">
        <v>0</v>
      </c>
      <c r="I81" s="508">
        <v>0</v>
      </c>
      <c r="J81" s="251">
        <f>SUM(M81:X81)</f>
        <v>0</v>
      </c>
      <c r="K81" s="182"/>
      <c r="L81" s="183">
        <f t="shared" si="18"/>
        <v>0</v>
      </c>
      <c r="M81" s="191"/>
      <c r="N81" s="185"/>
      <c r="O81" s="186"/>
      <c r="P81" s="186"/>
      <c r="Q81" s="185"/>
      <c r="R81" s="186"/>
      <c r="S81" s="186"/>
      <c r="T81" s="187"/>
      <c r="U81" s="340"/>
      <c r="V81" s="186"/>
      <c r="W81" s="186"/>
      <c r="X81" s="187"/>
    </row>
    <row r="82" spans="1:24" s="199" customFormat="1" ht="15" hidden="1" customHeight="1" x14ac:dyDescent="0.25">
      <c r="A82" s="118" t="s">
        <v>226</v>
      </c>
      <c r="B82" s="181" t="s">
        <v>659</v>
      </c>
      <c r="C82" s="194"/>
      <c r="D82" s="247" t="s">
        <v>227</v>
      </c>
      <c r="E82" s="247"/>
      <c r="F82" s="183">
        <v>0</v>
      </c>
      <c r="G82" s="340">
        <v>0</v>
      </c>
      <c r="H82" s="310">
        <v>0</v>
      </c>
      <c r="I82" s="508">
        <v>0</v>
      </c>
      <c r="J82" s="251">
        <f>SUM(M82:X82)</f>
        <v>0</v>
      </c>
      <c r="K82" s="182"/>
      <c r="L82" s="183">
        <f t="shared" si="18"/>
        <v>0</v>
      </c>
      <c r="M82" s="191"/>
      <c r="N82" s="185"/>
      <c r="O82" s="186"/>
      <c r="P82" s="186"/>
      <c r="Q82" s="185"/>
      <c r="R82" s="186"/>
      <c r="S82" s="186"/>
      <c r="T82" s="187"/>
      <c r="U82" s="340"/>
      <c r="V82" s="186"/>
      <c r="W82" s="186"/>
      <c r="X82" s="187"/>
    </row>
    <row r="83" spans="1:24" s="41" customFormat="1" ht="27.75" hidden="1" customHeight="1" x14ac:dyDescent="0.25">
      <c r="A83" s="118" t="s">
        <v>228</v>
      </c>
      <c r="B83" s="101" t="s">
        <v>660</v>
      </c>
      <c r="C83" s="708" t="s">
        <v>353</v>
      </c>
      <c r="D83" s="709"/>
      <c r="E83" s="709"/>
      <c r="F83" s="162">
        <v>0</v>
      </c>
      <c r="G83" s="345">
        <v>0</v>
      </c>
      <c r="H83" s="315">
        <v>0</v>
      </c>
      <c r="I83" s="516">
        <v>0</v>
      </c>
      <c r="J83" s="241">
        <f>SUM(M83:X83)</f>
        <v>0</v>
      </c>
      <c r="K83" s="150"/>
      <c r="L83" s="162">
        <f t="shared" si="18"/>
        <v>0</v>
      </c>
      <c r="M83" s="102"/>
      <c r="N83" s="103"/>
      <c r="O83" s="106"/>
      <c r="P83" s="106"/>
      <c r="Q83" s="103"/>
      <c r="R83" s="106"/>
      <c r="S83" s="106"/>
      <c r="T83" s="107"/>
      <c r="U83" s="345"/>
      <c r="V83" s="106"/>
      <c r="W83" s="106"/>
      <c r="X83" s="107"/>
    </row>
    <row r="84" spans="1:24" s="41" customFormat="1" ht="15" hidden="1" customHeight="1" x14ac:dyDescent="0.25">
      <c r="A84" s="118" t="s">
        <v>229</v>
      </c>
      <c r="B84" s="101" t="s">
        <v>661</v>
      </c>
      <c r="C84" s="708" t="s">
        <v>803</v>
      </c>
      <c r="D84" s="709"/>
      <c r="E84" s="709"/>
      <c r="F84" s="162">
        <v>0</v>
      </c>
      <c r="G84" s="345">
        <v>0</v>
      </c>
      <c r="H84" s="315">
        <v>0</v>
      </c>
      <c r="I84" s="516">
        <v>0</v>
      </c>
      <c r="J84" s="241">
        <f>J85+J86+J87+J88+J89+J90+J91+J92+J93+J94</f>
        <v>0</v>
      </c>
      <c r="K84" s="150">
        <f t="shared" ref="K84:X84" si="22">K85+K86+K87+K88+K89+K90+K91+K92+K93+K94</f>
        <v>0</v>
      </c>
      <c r="L84" s="162">
        <f t="shared" si="18"/>
        <v>0</v>
      </c>
      <c r="M84" s="102">
        <f t="shared" si="22"/>
        <v>0</v>
      </c>
      <c r="N84" s="103">
        <f t="shared" si="22"/>
        <v>0</v>
      </c>
      <c r="O84" s="106">
        <f t="shared" si="22"/>
        <v>0</v>
      </c>
      <c r="P84" s="106">
        <f t="shared" si="22"/>
        <v>0</v>
      </c>
      <c r="Q84" s="103">
        <f t="shared" si="22"/>
        <v>0</v>
      </c>
      <c r="R84" s="106">
        <f t="shared" si="22"/>
        <v>0</v>
      </c>
      <c r="S84" s="106">
        <f t="shared" si="22"/>
        <v>0</v>
      </c>
      <c r="T84" s="107">
        <f t="shared" si="22"/>
        <v>0</v>
      </c>
      <c r="U84" s="345">
        <f t="shared" si="22"/>
        <v>0</v>
      </c>
      <c r="V84" s="106">
        <f t="shared" si="22"/>
        <v>0</v>
      </c>
      <c r="W84" s="106">
        <f t="shared" si="22"/>
        <v>0</v>
      </c>
      <c r="X84" s="107">
        <f t="shared" si="22"/>
        <v>0</v>
      </c>
    </row>
    <row r="85" spans="1:24" ht="15" hidden="1" customHeight="1" x14ac:dyDescent="0.25">
      <c r="B85" s="54"/>
      <c r="C85" s="2"/>
      <c r="D85" s="624" t="s">
        <v>370</v>
      </c>
      <c r="E85" s="624"/>
      <c r="F85" s="159">
        <v>0</v>
      </c>
      <c r="G85" s="343">
        <v>0</v>
      </c>
      <c r="H85" s="313">
        <v>0</v>
      </c>
      <c r="I85" s="513">
        <v>0</v>
      </c>
      <c r="J85" s="232">
        <f t="shared" ref="J85:J94" si="23">SUM(M85:X85)</f>
        <v>0</v>
      </c>
      <c r="K85" s="141"/>
      <c r="L85" s="159">
        <f t="shared" si="18"/>
        <v>0</v>
      </c>
      <c r="M85" s="72"/>
      <c r="N85" s="1"/>
      <c r="O85" s="78"/>
      <c r="P85" s="78"/>
      <c r="Q85" s="1"/>
      <c r="R85" s="78"/>
      <c r="S85" s="78"/>
      <c r="T85" s="44"/>
      <c r="U85" s="343"/>
      <c r="V85" s="78"/>
      <c r="W85" s="78"/>
      <c r="X85" s="44"/>
    </row>
    <row r="86" spans="1:24" ht="15" hidden="1" customHeight="1" x14ac:dyDescent="0.25">
      <c r="B86" s="54"/>
      <c r="C86" s="2"/>
      <c r="D86" s="624" t="s">
        <v>506</v>
      </c>
      <c r="E86" s="624"/>
      <c r="F86" s="159">
        <v>0</v>
      </c>
      <c r="G86" s="343">
        <v>0</v>
      </c>
      <c r="H86" s="313">
        <v>0</v>
      </c>
      <c r="I86" s="513">
        <v>0</v>
      </c>
      <c r="J86" s="232">
        <f t="shared" si="23"/>
        <v>0</v>
      </c>
      <c r="K86" s="141"/>
      <c r="L86" s="159">
        <f t="shared" si="18"/>
        <v>0</v>
      </c>
      <c r="M86" s="72"/>
      <c r="N86" s="1"/>
      <c r="O86" s="78"/>
      <c r="P86" s="78"/>
      <c r="Q86" s="1"/>
      <c r="R86" s="78"/>
      <c r="S86" s="78"/>
      <c r="T86" s="44"/>
      <c r="U86" s="343"/>
      <c r="V86" s="78"/>
      <c r="W86" s="78"/>
      <c r="X86" s="44"/>
    </row>
    <row r="87" spans="1:24" ht="15" hidden="1" customHeight="1" x14ac:dyDescent="0.25">
      <c r="B87" s="54"/>
      <c r="C87" s="2"/>
      <c r="D87" s="624" t="s">
        <v>507</v>
      </c>
      <c r="E87" s="624"/>
      <c r="F87" s="159">
        <v>0</v>
      </c>
      <c r="G87" s="343">
        <v>0</v>
      </c>
      <c r="H87" s="313">
        <v>0</v>
      </c>
      <c r="I87" s="513">
        <v>0</v>
      </c>
      <c r="J87" s="232">
        <f t="shared" si="23"/>
        <v>0</v>
      </c>
      <c r="K87" s="141"/>
      <c r="L87" s="159">
        <f t="shared" si="18"/>
        <v>0</v>
      </c>
      <c r="M87" s="72"/>
      <c r="N87" s="1"/>
      <c r="O87" s="78"/>
      <c r="P87" s="78"/>
      <c r="Q87" s="1"/>
      <c r="R87" s="78"/>
      <c r="S87" s="78"/>
      <c r="T87" s="44"/>
      <c r="U87" s="343"/>
      <c r="V87" s="78"/>
      <c r="W87" s="78"/>
      <c r="X87" s="44"/>
    </row>
    <row r="88" spans="1:24" ht="15" hidden="1" customHeight="1" x14ac:dyDescent="0.25">
      <c r="B88" s="54"/>
      <c r="C88" s="2"/>
      <c r="D88" s="624" t="s">
        <v>508</v>
      </c>
      <c r="E88" s="624"/>
      <c r="F88" s="159">
        <v>0</v>
      </c>
      <c r="G88" s="343">
        <v>0</v>
      </c>
      <c r="H88" s="313">
        <v>0</v>
      </c>
      <c r="I88" s="513">
        <v>0</v>
      </c>
      <c r="J88" s="232">
        <f t="shared" si="23"/>
        <v>0</v>
      </c>
      <c r="K88" s="141"/>
      <c r="L88" s="159">
        <f t="shared" si="18"/>
        <v>0</v>
      </c>
      <c r="M88" s="72"/>
      <c r="N88" s="1"/>
      <c r="O88" s="78"/>
      <c r="P88" s="78"/>
      <c r="Q88" s="1"/>
      <c r="R88" s="78"/>
      <c r="S88" s="78"/>
      <c r="T88" s="44"/>
      <c r="U88" s="343"/>
      <c r="V88" s="78"/>
      <c r="W88" s="78"/>
      <c r="X88" s="44"/>
    </row>
    <row r="89" spans="1:24" ht="15" hidden="1" customHeight="1" x14ac:dyDescent="0.25">
      <c r="B89" s="54"/>
      <c r="C89" s="2"/>
      <c r="D89" s="624" t="s">
        <v>509</v>
      </c>
      <c r="E89" s="624"/>
      <c r="F89" s="159">
        <v>0</v>
      </c>
      <c r="G89" s="343">
        <v>0</v>
      </c>
      <c r="H89" s="313">
        <v>0</v>
      </c>
      <c r="I89" s="513">
        <v>0</v>
      </c>
      <c r="J89" s="232">
        <f t="shared" si="23"/>
        <v>0</v>
      </c>
      <c r="K89" s="141"/>
      <c r="L89" s="159">
        <f t="shared" si="18"/>
        <v>0</v>
      </c>
      <c r="M89" s="72"/>
      <c r="N89" s="1"/>
      <c r="O89" s="78"/>
      <c r="P89" s="78"/>
      <c r="Q89" s="1"/>
      <c r="R89" s="78"/>
      <c r="S89" s="78"/>
      <c r="T89" s="44"/>
      <c r="U89" s="343"/>
      <c r="V89" s="78"/>
      <c r="W89" s="78"/>
      <c r="X89" s="44"/>
    </row>
    <row r="90" spans="1:24" ht="15" hidden="1" customHeight="1" x14ac:dyDescent="0.25">
      <c r="B90" s="54"/>
      <c r="C90" s="2"/>
      <c r="D90" s="624" t="s">
        <v>510</v>
      </c>
      <c r="E90" s="624"/>
      <c r="F90" s="159">
        <v>0</v>
      </c>
      <c r="G90" s="343">
        <v>0</v>
      </c>
      <c r="H90" s="313">
        <v>0</v>
      </c>
      <c r="I90" s="513">
        <v>0</v>
      </c>
      <c r="J90" s="232">
        <f t="shared" si="23"/>
        <v>0</v>
      </c>
      <c r="K90" s="141"/>
      <c r="L90" s="159">
        <f t="shared" si="18"/>
        <v>0</v>
      </c>
      <c r="M90" s="72"/>
      <c r="N90" s="1"/>
      <c r="O90" s="78"/>
      <c r="P90" s="78"/>
      <c r="Q90" s="1"/>
      <c r="R90" s="78"/>
      <c r="S90" s="78"/>
      <c r="T90" s="44"/>
      <c r="U90" s="343"/>
      <c r="V90" s="78"/>
      <c r="W90" s="78"/>
      <c r="X90" s="44"/>
    </row>
    <row r="91" spans="1:24" ht="25.5" hidden="1" customHeight="1" x14ac:dyDescent="0.25">
      <c r="B91" s="54"/>
      <c r="C91" s="2"/>
      <c r="D91" s="625" t="s">
        <v>511</v>
      </c>
      <c r="E91" s="625"/>
      <c r="F91" s="159">
        <v>0</v>
      </c>
      <c r="G91" s="343">
        <v>0</v>
      </c>
      <c r="H91" s="313">
        <v>0</v>
      </c>
      <c r="I91" s="513">
        <v>0</v>
      </c>
      <c r="J91" s="242">
        <f t="shared" si="23"/>
        <v>0</v>
      </c>
      <c r="K91" s="151"/>
      <c r="L91" s="159">
        <f t="shared" si="18"/>
        <v>0</v>
      </c>
      <c r="M91" s="72"/>
      <c r="N91" s="1"/>
      <c r="O91" s="78"/>
      <c r="P91" s="78"/>
      <c r="Q91" s="1"/>
      <c r="R91" s="78"/>
      <c r="S91" s="78"/>
      <c r="T91" s="44"/>
      <c r="U91" s="343"/>
      <c r="V91" s="78"/>
      <c r="W91" s="78"/>
      <c r="X91" s="44"/>
    </row>
    <row r="92" spans="1:24" ht="15" hidden="1" customHeight="1" x14ac:dyDescent="0.25">
      <c r="B92" s="54"/>
      <c r="C92" s="2"/>
      <c r="D92" s="624" t="s">
        <v>804</v>
      </c>
      <c r="E92" s="624"/>
      <c r="F92" s="159">
        <v>0</v>
      </c>
      <c r="G92" s="343">
        <v>0</v>
      </c>
      <c r="H92" s="313">
        <v>0</v>
      </c>
      <c r="I92" s="513">
        <v>0</v>
      </c>
      <c r="J92" s="232">
        <f t="shared" si="23"/>
        <v>0</v>
      </c>
      <c r="K92" s="141"/>
      <c r="L92" s="159">
        <f t="shared" si="18"/>
        <v>0</v>
      </c>
      <c r="M92" s="72"/>
      <c r="N92" s="1"/>
      <c r="O92" s="78"/>
      <c r="P92" s="78"/>
      <c r="Q92" s="1"/>
      <c r="R92" s="78"/>
      <c r="S92" s="78"/>
      <c r="T92" s="44"/>
      <c r="U92" s="343"/>
      <c r="V92" s="78"/>
      <c r="W92" s="78"/>
      <c r="X92" s="44"/>
    </row>
    <row r="93" spans="1:24" ht="25.5" hidden="1" customHeight="1" x14ac:dyDescent="0.25">
      <c r="B93" s="54"/>
      <c r="C93" s="2"/>
      <c r="D93" s="625" t="s">
        <v>512</v>
      </c>
      <c r="E93" s="625"/>
      <c r="F93" s="159">
        <v>0</v>
      </c>
      <c r="G93" s="343">
        <v>0</v>
      </c>
      <c r="H93" s="313">
        <v>0</v>
      </c>
      <c r="I93" s="513">
        <v>0</v>
      </c>
      <c r="J93" s="242">
        <f t="shared" si="23"/>
        <v>0</v>
      </c>
      <c r="K93" s="151"/>
      <c r="L93" s="159">
        <f t="shared" si="18"/>
        <v>0</v>
      </c>
      <c r="M93" s="72"/>
      <c r="N93" s="1"/>
      <c r="O93" s="78"/>
      <c r="P93" s="78"/>
      <c r="Q93" s="1"/>
      <c r="R93" s="78"/>
      <c r="S93" s="78"/>
      <c r="T93" s="44"/>
      <c r="U93" s="343"/>
      <c r="V93" s="78"/>
      <c r="W93" s="78"/>
      <c r="X93" s="44"/>
    </row>
    <row r="94" spans="1:24" ht="25.5" hidden="1" customHeight="1" x14ac:dyDescent="0.25">
      <c r="B94" s="54"/>
      <c r="C94" s="2"/>
      <c r="D94" s="625" t="s">
        <v>513</v>
      </c>
      <c r="E94" s="625"/>
      <c r="F94" s="159">
        <v>0</v>
      </c>
      <c r="G94" s="343">
        <v>0</v>
      </c>
      <c r="H94" s="313">
        <v>0</v>
      </c>
      <c r="I94" s="513">
        <v>0</v>
      </c>
      <c r="J94" s="242">
        <f t="shared" si="23"/>
        <v>0</v>
      </c>
      <c r="K94" s="151"/>
      <c r="L94" s="159">
        <f t="shared" si="18"/>
        <v>0</v>
      </c>
      <c r="M94" s="72"/>
      <c r="N94" s="1"/>
      <c r="O94" s="78"/>
      <c r="P94" s="78"/>
      <c r="Q94" s="1"/>
      <c r="R94" s="78"/>
      <c r="S94" s="78"/>
      <c r="T94" s="44"/>
      <c r="U94" s="343"/>
      <c r="V94" s="78"/>
      <c r="W94" s="78"/>
      <c r="X94" s="44"/>
    </row>
    <row r="95" spans="1:24" s="41" customFormat="1" ht="15" hidden="1" customHeight="1" x14ac:dyDescent="0.25">
      <c r="A95" s="118" t="s">
        <v>230</v>
      </c>
      <c r="B95" s="101" t="s">
        <v>662</v>
      </c>
      <c r="C95" s="708" t="s">
        <v>805</v>
      </c>
      <c r="D95" s="709"/>
      <c r="E95" s="709"/>
      <c r="F95" s="162">
        <v>0</v>
      </c>
      <c r="G95" s="345">
        <v>0</v>
      </c>
      <c r="H95" s="315">
        <v>0</v>
      </c>
      <c r="I95" s="516">
        <v>0</v>
      </c>
      <c r="J95" s="241">
        <f>J96+J97+J98+J99+J100+J101+J102+J103+J104+J105</f>
        <v>0</v>
      </c>
      <c r="K95" s="150">
        <f t="shared" ref="K95:X95" si="24">K96+K97+K98+K99+K100+K101+K102+K103+K104+K105</f>
        <v>0</v>
      </c>
      <c r="L95" s="162">
        <f t="shared" si="18"/>
        <v>0</v>
      </c>
      <c r="M95" s="102">
        <f t="shared" si="24"/>
        <v>0</v>
      </c>
      <c r="N95" s="103">
        <f t="shared" si="24"/>
        <v>0</v>
      </c>
      <c r="O95" s="106">
        <f t="shared" si="24"/>
        <v>0</v>
      </c>
      <c r="P95" s="106">
        <f t="shared" si="24"/>
        <v>0</v>
      </c>
      <c r="Q95" s="103">
        <f t="shared" si="24"/>
        <v>0</v>
      </c>
      <c r="R95" s="106">
        <f t="shared" si="24"/>
        <v>0</v>
      </c>
      <c r="S95" s="106">
        <f t="shared" si="24"/>
        <v>0</v>
      </c>
      <c r="T95" s="107">
        <f t="shared" si="24"/>
        <v>0</v>
      </c>
      <c r="U95" s="345">
        <f t="shared" si="24"/>
        <v>0</v>
      </c>
      <c r="V95" s="106">
        <f t="shared" si="24"/>
        <v>0</v>
      </c>
      <c r="W95" s="106">
        <f t="shared" si="24"/>
        <v>0</v>
      </c>
      <c r="X95" s="107">
        <f t="shared" si="24"/>
        <v>0</v>
      </c>
    </row>
    <row r="96" spans="1:24" ht="15" hidden="1" customHeight="1" x14ac:dyDescent="0.25">
      <c r="B96" s="54"/>
      <c r="C96" s="2"/>
      <c r="D96" s="624" t="s">
        <v>369</v>
      </c>
      <c r="E96" s="624"/>
      <c r="F96" s="159">
        <v>0</v>
      </c>
      <c r="G96" s="343">
        <v>0</v>
      </c>
      <c r="H96" s="313">
        <v>0</v>
      </c>
      <c r="I96" s="513">
        <v>0</v>
      </c>
      <c r="J96" s="232">
        <f t="shared" ref="J96:J105" si="25">SUM(M96:X96)</f>
        <v>0</v>
      </c>
      <c r="K96" s="141"/>
      <c r="L96" s="159">
        <f t="shared" si="18"/>
        <v>0</v>
      </c>
      <c r="M96" s="72"/>
      <c r="N96" s="1"/>
      <c r="O96" s="78"/>
      <c r="P96" s="78"/>
      <c r="Q96" s="1"/>
      <c r="R96" s="78"/>
      <c r="S96" s="78"/>
      <c r="T96" s="44"/>
      <c r="U96" s="343"/>
      <c r="V96" s="78"/>
      <c r="W96" s="78"/>
      <c r="X96" s="44"/>
    </row>
    <row r="97" spans="1:24" ht="15" hidden="1" customHeight="1" x14ac:dyDescent="0.25">
      <c r="B97" s="54"/>
      <c r="C97" s="2"/>
      <c r="D97" s="624" t="s">
        <v>514</v>
      </c>
      <c r="E97" s="624"/>
      <c r="F97" s="159">
        <v>0</v>
      </c>
      <c r="G97" s="343">
        <v>0</v>
      </c>
      <c r="H97" s="313">
        <v>0</v>
      </c>
      <c r="I97" s="513">
        <v>0</v>
      </c>
      <c r="J97" s="232">
        <f t="shared" si="25"/>
        <v>0</v>
      </c>
      <c r="K97" s="141"/>
      <c r="L97" s="159">
        <f t="shared" si="18"/>
        <v>0</v>
      </c>
      <c r="M97" s="72"/>
      <c r="N97" s="1"/>
      <c r="O97" s="78"/>
      <c r="P97" s="78"/>
      <c r="Q97" s="1"/>
      <c r="R97" s="78"/>
      <c r="S97" s="78"/>
      <c r="T97" s="44"/>
      <c r="U97" s="343"/>
      <c r="V97" s="78"/>
      <c r="W97" s="78"/>
      <c r="X97" s="44"/>
    </row>
    <row r="98" spans="1:24" ht="15" hidden="1" customHeight="1" x14ac:dyDescent="0.25">
      <c r="B98" s="54"/>
      <c r="C98" s="2"/>
      <c r="D98" s="624" t="s">
        <v>516</v>
      </c>
      <c r="E98" s="624"/>
      <c r="F98" s="159">
        <v>0</v>
      </c>
      <c r="G98" s="343">
        <v>0</v>
      </c>
      <c r="H98" s="313">
        <v>0</v>
      </c>
      <c r="I98" s="513">
        <v>0</v>
      </c>
      <c r="J98" s="232">
        <f t="shared" si="25"/>
        <v>0</v>
      </c>
      <c r="K98" s="141"/>
      <c r="L98" s="159">
        <f t="shared" si="18"/>
        <v>0</v>
      </c>
      <c r="M98" s="72"/>
      <c r="N98" s="1"/>
      <c r="O98" s="78"/>
      <c r="P98" s="78"/>
      <c r="Q98" s="1"/>
      <c r="R98" s="78"/>
      <c r="S98" s="78"/>
      <c r="T98" s="44"/>
      <c r="U98" s="343"/>
      <c r="V98" s="78"/>
      <c r="W98" s="78"/>
      <c r="X98" s="44"/>
    </row>
    <row r="99" spans="1:24" ht="15" hidden="1" customHeight="1" x14ac:dyDescent="0.25">
      <c r="B99" s="54"/>
      <c r="C99" s="2"/>
      <c r="D99" s="624" t="s">
        <v>807</v>
      </c>
      <c r="E99" s="624"/>
      <c r="F99" s="159">
        <v>0</v>
      </c>
      <c r="G99" s="343">
        <v>0</v>
      </c>
      <c r="H99" s="313">
        <v>0</v>
      </c>
      <c r="I99" s="513">
        <v>0</v>
      </c>
      <c r="J99" s="232">
        <f t="shared" si="25"/>
        <v>0</v>
      </c>
      <c r="K99" s="141"/>
      <c r="L99" s="159">
        <f t="shared" si="18"/>
        <v>0</v>
      </c>
      <c r="M99" s="72"/>
      <c r="N99" s="1"/>
      <c r="O99" s="78"/>
      <c r="P99" s="78"/>
      <c r="Q99" s="1"/>
      <c r="R99" s="78"/>
      <c r="S99" s="78"/>
      <c r="T99" s="44"/>
      <c r="U99" s="343"/>
      <c r="V99" s="78"/>
      <c r="W99" s="78"/>
      <c r="X99" s="44"/>
    </row>
    <row r="100" spans="1:24" ht="15" hidden="1" customHeight="1" x14ac:dyDescent="0.25">
      <c r="B100" s="54"/>
      <c r="C100" s="2"/>
      <c r="D100" s="624" t="s">
        <v>521</v>
      </c>
      <c r="E100" s="624"/>
      <c r="F100" s="159">
        <v>0</v>
      </c>
      <c r="G100" s="343">
        <v>0</v>
      </c>
      <c r="H100" s="313">
        <v>0</v>
      </c>
      <c r="I100" s="513">
        <v>0</v>
      </c>
      <c r="J100" s="232">
        <f t="shared" si="25"/>
        <v>0</v>
      </c>
      <c r="K100" s="141"/>
      <c r="L100" s="159">
        <f t="shared" si="18"/>
        <v>0</v>
      </c>
      <c r="M100" s="72"/>
      <c r="N100" s="1"/>
      <c r="O100" s="78"/>
      <c r="P100" s="78"/>
      <c r="Q100" s="1"/>
      <c r="R100" s="78"/>
      <c r="S100" s="78"/>
      <c r="T100" s="44"/>
      <c r="U100" s="343"/>
      <c r="V100" s="78"/>
      <c r="W100" s="78"/>
      <c r="X100" s="44"/>
    </row>
    <row r="101" spans="1:24" ht="15" hidden="1" customHeight="1" x14ac:dyDescent="0.25">
      <c r="B101" s="54"/>
      <c r="C101" s="2"/>
      <c r="D101" s="624" t="s">
        <v>519</v>
      </c>
      <c r="E101" s="624"/>
      <c r="F101" s="159">
        <v>0</v>
      </c>
      <c r="G101" s="343">
        <v>0</v>
      </c>
      <c r="H101" s="313">
        <v>0</v>
      </c>
      <c r="I101" s="513">
        <v>0</v>
      </c>
      <c r="J101" s="232">
        <f t="shared" si="25"/>
        <v>0</v>
      </c>
      <c r="K101" s="141"/>
      <c r="L101" s="159">
        <f t="shared" si="18"/>
        <v>0</v>
      </c>
      <c r="M101" s="72"/>
      <c r="N101" s="1"/>
      <c r="O101" s="78"/>
      <c r="P101" s="78"/>
      <c r="Q101" s="1"/>
      <c r="R101" s="78"/>
      <c r="S101" s="78"/>
      <c r="T101" s="44"/>
      <c r="U101" s="343"/>
      <c r="V101" s="78"/>
      <c r="W101" s="78"/>
      <c r="X101" s="44"/>
    </row>
    <row r="102" spans="1:24" ht="25.5" hidden="1" customHeight="1" x14ac:dyDescent="0.25">
      <c r="B102" s="54"/>
      <c r="C102" s="2"/>
      <c r="D102" s="625" t="s">
        <v>523</v>
      </c>
      <c r="E102" s="625"/>
      <c r="F102" s="159">
        <v>0</v>
      </c>
      <c r="G102" s="343">
        <v>0</v>
      </c>
      <c r="H102" s="313">
        <v>0</v>
      </c>
      <c r="I102" s="513">
        <v>0</v>
      </c>
      <c r="J102" s="242">
        <f t="shared" si="25"/>
        <v>0</v>
      </c>
      <c r="K102" s="151"/>
      <c r="L102" s="159">
        <f t="shared" si="18"/>
        <v>0</v>
      </c>
      <c r="M102" s="72"/>
      <c r="N102" s="1"/>
      <c r="O102" s="78"/>
      <c r="P102" s="78"/>
      <c r="Q102" s="1"/>
      <c r="R102" s="78"/>
      <c r="S102" s="78"/>
      <c r="T102" s="44"/>
      <c r="U102" s="343"/>
      <c r="V102" s="78"/>
      <c r="W102" s="78"/>
      <c r="X102" s="44"/>
    </row>
    <row r="103" spans="1:24" ht="15" hidden="1" customHeight="1" x14ac:dyDescent="0.25">
      <c r="B103" s="54"/>
      <c r="C103" s="2"/>
      <c r="D103" s="624" t="s">
        <v>806</v>
      </c>
      <c r="E103" s="624"/>
      <c r="F103" s="159">
        <v>0</v>
      </c>
      <c r="G103" s="343">
        <v>0</v>
      </c>
      <c r="H103" s="313">
        <v>0</v>
      </c>
      <c r="I103" s="513">
        <v>0</v>
      </c>
      <c r="J103" s="232">
        <f t="shared" si="25"/>
        <v>0</v>
      </c>
      <c r="K103" s="141"/>
      <c r="L103" s="159">
        <f t="shared" si="18"/>
        <v>0</v>
      </c>
      <c r="M103" s="72"/>
      <c r="N103" s="1"/>
      <c r="O103" s="78"/>
      <c r="P103" s="78"/>
      <c r="Q103" s="1"/>
      <c r="R103" s="78"/>
      <c r="S103" s="78"/>
      <c r="T103" s="44"/>
      <c r="U103" s="343"/>
      <c r="V103" s="78"/>
      <c r="W103" s="78"/>
      <c r="X103" s="44"/>
    </row>
    <row r="104" spans="1:24" ht="25.5" hidden="1" customHeight="1" x14ac:dyDescent="0.25">
      <c r="B104" s="54"/>
      <c r="C104" s="2"/>
      <c r="D104" s="625" t="s">
        <v>526</v>
      </c>
      <c r="E104" s="625"/>
      <c r="F104" s="159">
        <v>0</v>
      </c>
      <c r="G104" s="343">
        <v>0</v>
      </c>
      <c r="H104" s="313">
        <v>0</v>
      </c>
      <c r="I104" s="513">
        <v>0</v>
      </c>
      <c r="J104" s="242">
        <f t="shared" si="25"/>
        <v>0</v>
      </c>
      <c r="K104" s="151"/>
      <c r="L104" s="159">
        <f t="shared" si="18"/>
        <v>0</v>
      </c>
      <c r="M104" s="72"/>
      <c r="N104" s="1"/>
      <c r="O104" s="78"/>
      <c r="P104" s="78"/>
      <c r="Q104" s="1"/>
      <c r="R104" s="78"/>
      <c r="S104" s="78"/>
      <c r="T104" s="44"/>
      <c r="U104" s="343"/>
      <c r="V104" s="78"/>
      <c r="W104" s="78"/>
      <c r="X104" s="44"/>
    </row>
    <row r="105" spans="1:24" ht="25.5" hidden="1" customHeight="1" x14ac:dyDescent="0.25">
      <c r="B105" s="54"/>
      <c r="C105" s="2"/>
      <c r="D105" s="625" t="s">
        <v>528</v>
      </c>
      <c r="E105" s="625"/>
      <c r="F105" s="159">
        <v>0</v>
      </c>
      <c r="G105" s="343">
        <v>0</v>
      </c>
      <c r="H105" s="313">
        <v>0</v>
      </c>
      <c r="I105" s="513">
        <v>0</v>
      </c>
      <c r="J105" s="242">
        <f t="shared" si="25"/>
        <v>0</v>
      </c>
      <c r="K105" s="151"/>
      <c r="L105" s="159">
        <f t="shared" si="18"/>
        <v>0</v>
      </c>
      <c r="M105" s="72"/>
      <c r="N105" s="1"/>
      <c r="O105" s="78"/>
      <c r="P105" s="78"/>
      <c r="Q105" s="1"/>
      <c r="R105" s="78"/>
      <c r="S105" s="78"/>
      <c r="T105" s="44"/>
      <c r="U105" s="343"/>
      <c r="V105" s="78"/>
      <c r="W105" s="78"/>
      <c r="X105" s="44"/>
    </row>
    <row r="106" spans="1:24" s="41" customFormat="1" ht="15" hidden="1" customHeight="1" x14ac:dyDescent="0.25">
      <c r="A106" s="118" t="s">
        <v>231</v>
      </c>
      <c r="B106" s="101" t="s">
        <v>663</v>
      </c>
      <c r="C106" s="655" t="s">
        <v>232</v>
      </c>
      <c r="D106" s="656"/>
      <c r="E106" s="656"/>
      <c r="F106" s="162">
        <v>0</v>
      </c>
      <c r="G106" s="345">
        <v>0</v>
      </c>
      <c r="H106" s="315">
        <v>0</v>
      </c>
      <c r="I106" s="516">
        <v>0</v>
      </c>
      <c r="J106" s="243">
        <f>J107+J108+J109+J110+J111+J112+J113+J114+J115+J116</f>
        <v>0</v>
      </c>
      <c r="K106" s="152">
        <f t="shared" ref="K106:X106" si="26">K107+K108+K109+K110+K111+K112+K113+K114+K115+K116</f>
        <v>0</v>
      </c>
      <c r="L106" s="162">
        <f t="shared" si="18"/>
        <v>0</v>
      </c>
      <c r="M106" s="102">
        <f t="shared" si="26"/>
        <v>0</v>
      </c>
      <c r="N106" s="103">
        <f t="shared" si="26"/>
        <v>0</v>
      </c>
      <c r="O106" s="106">
        <f t="shared" si="26"/>
        <v>0</v>
      </c>
      <c r="P106" s="106">
        <f t="shared" si="26"/>
        <v>0</v>
      </c>
      <c r="Q106" s="103">
        <f t="shared" si="26"/>
        <v>0</v>
      </c>
      <c r="R106" s="106">
        <f t="shared" si="26"/>
        <v>0</v>
      </c>
      <c r="S106" s="106">
        <f t="shared" si="26"/>
        <v>0</v>
      </c>
      <c r="T106" s="107">
        <f t="shared" si="26"/>
        <v>0</v>
      </c>
      <c r="U106" s="345">
        <f t="shared" si="26"/>
        <v>0</v>
      </c>
      <c r="V106" s="106">
        <f t="shared" si="26"/>
        <v>0</v>
      </c>
      <c r="W106" s="106">
        <f t="shared" si="26"/>
        <v>0</v>
      </c>
      <c r="X106" s="107">
        <f t="shared" si="26"/>
        <v>0</v>
      </c>
    </row>
    <row r="107" spans="1:24" ht="15" hidden="1" customHeight="1" x14ac:dyDescent="0.25">
      <c r="B107" s="54"/>
      <c r="C107" s="2"/>
      <c r="D107" s="624" t="s">
        <v>368</v>
      </c>
      <c r="E107" s="624"/>
      <c r="F107" s="159">
        <v>0</v>
      </c>
      <c r="G107" s="343">
        <v>0</v>
      </c>
      <c r="H107" s="313">
        <v>0</v>
      </c>
      <c r="I107" s="513">
        <v>0</v>
      </c>
      <c r="J107" s="232">
        <f t="shared" ref="J107:J116" si="27">SUM(M107:X107)</f>
        <v>0</v>
      </c>
      <c r="K107" s="141"/>
      <c r="L107" s="159">
        <f t="shared" si="18"/>
        <v>0</v>
      </c>
      <c r="M107" s="72"/>
      <c r="N107" s="1"/>
      <c r="O107" s="78"/>
      <c r="P107" s="78"/>
      <c r="Q107" s="1"/>
      <c r="R107" s="78"/>
      <c r="S107" s="78"/>
      <c r="T107" s="44"/>
      <c r="U107" s="343"/>
      <c r="V107" s="78"/>
      <c r="W107" s="78"/>
      <c r="X107" s="44"/>
    </row>
    <row r="108" spans="1:24" ht="15" hidden="1" customHeight="1" x14ac:dyDescent="0.25">
      <c r="B108" s="54"/>
      <c r="C108" s="2"/>
      <c r="D108" s="624" t="s">
        <v>515</v>
      </c>
      <c r="E108" s="624"/>
      <c r="F108" s="159">
        <v>0</v>
      </c>
      <c r="G108" s="343">
        <v>0</v>
      </c>
      <c r="H108" s="313">
        <v>0</v>
      </c>
      <c r="I108" s="513">
        <v>0</v>
      </c>
      <c r="J108" s="232">
        <f t="shared" si="27"/>
        <v>0</v>
      </c>
      <c r="K108" s="141"/>
      <c r="L108" s="159">
        <f t="shared" si="18"/>
        <v>0</v>
      </c>
      <c r="M108" s="72"/>
      <c r="N108" s="1"/>
      <c r="O108" s="78"/>
      <c r="P108" s="78"/>
      <c r="Q108" s="1"/>
      <c r="R108" s="78"/>
      <c r="S108" s="78"/>
      <c r="T108" s="44"/>
      <c r="U108" s="343"/>
      <c r="V108" s="78"/>
      <c r="W108" s="78"/>
      <c r="X108" s="44"/>
    </row>
    <row r="109" spans="1:24" ht="15" hidden="1" customHeight="1" x14ac:dyDescent="0.25">
      <c r="B109" s="54"/>
      <c r="C109" s="2"/>
      <c r="D109" s="624" t="s">
        <v>517</v>
      </c>
      <c r="E109" s="624"/>
      <c r="F109" s="159">
        <v>0</v>
      </c>
      <c r="G109" s="343">
        <v>0</v>
      </c>
      <c r="H109" s="313">
        <v>0</v>
      </c>
      <c r="I109" s="513">
        <v>0</v>
      </c>
      <c r="J109" s="232">
        <f t="shared" si="27"/>
        <v>0</v>
      </c>
      <c r="K109" s="141"/>
      <c r="L109" s="159">
        <f t="shared" si="18"/>
        <v>0</v>
      </c>
      <c r="M109" s="72"/>
      <c r="N109" s="1"/>
      <c r="O109" s="78"/>
      <c r="P109" s="78"/>
      <c r="Q109" s="1"/>
      <c r="R109" s="78"/>
      <c r="S109" s="78"/>
      <c r="T109" s="44"/>
      <c r="U109" s="343"/>
      <c r="V109" s="78"/>
      <c r="W109" s="78"/>
      <c r="X109" s="44"/>
    </row>
    <row r="110" spans="1:24" ht="15" hidden="1" customHeight="1" x14ac:dyDescent="0.25">
      <c r="B110" s="54"/>
      <c r="C110" s="2"/>
      <c r="D110" s="624" t="s">
        <v>518</v>
      </c>
      <c r="E110" s="624"/>
      <c r="F110" s="159">
        <v>0</v>
      </c>
      <c r="G110" s="343">
        <v>0</v>
      </c>
      <c r="H110" s="313">
        <v>0</v>
      </c>
      <c r="I110" s="513">
        <v>0</v>
      </c>
      <c r="J110" s="232">
        <f t="shared" si="27"/>
        <v>0</v>
      </c>
      <c r="K110" s="141"/>
      <c r="L110" s="159">
        <f t="shared" si="18"/>
        <v>0</v>
      </c>
      <c r="M110" s="72"/>
      <c r="N110" s="1"/>
      <c r="O110" s="78"/>
      <c r="P110" s="78"/>
      <c r="Q110" s="1"/>
      <c r="R110" s="78"/>
      <c r="S110" s="78"/>
      <c r="T110" s="44"/>
      <c r="U110" s="343"/>
      <c r="V110" s="78"/>
      <c r="W110" s="78"/>
      <c r="X110" s="44"/>
    </row>
    <row r="111" spans="1:24" ht="15" hidden="1" customHeight="1" x14ac:dyDescent="0.25">
      <c r="B111" s="54"/>
      <c r="C111" s="2"/>
      <c r="D111" s="624" t="s">
        <v>522</v>
      </c>
      <c r="E111" s="624"/>
      <c r="F111" s="159">
        <v>0</v>
      </c>
      <c r="G111" s="343">
        <v>0</v>
      </c>
      <c r="H111" s="313">
        <v>0</v>
      </c>
      <c r="I111" s="513">
        <v>0</v>
      </c>
      <c r="J111" s="232">
        <f t="shared" si="27"/>
        <v>0</v>
      </c>
      <c r="K111" s="141"/>
      <c r="L111" s="159">
        <f t="shared" si="18"/>
        <v>0</v>
      </c>
      <c r="M111" s="72"/>
      <c r="N111" s="1"/>
      <c r="O111" s="78"/>
      <c r="P111" s="78"/>
      <c r="Q111" s="1"/>
      <c r="R111" s="78"/>
      <c r="S111" s="78"/>
      <c r="T111" s="44"/>
      <c r="U111" s="343"/>
      <c r="V111" s="78"/>
      <c r="W111" s="78"/>
      <c r="X111" s="44"/>
    </row>
    <row r="112" spans="1:24" ht="15" hidden="1" customHeight="1" x14ac:dyDescent="0.25">
      <c r="B112" s="54"/>
      <c r="C112" s="2"/>
      <c r="D112" s="624" t="s">
        <v>520</v>
      </c>
      <c r="E112" s="624"/>
      <c r="F112" s="159">
        <v>0</v>
      </c>
      <c r="G112" s="343">
        <v>0</v>
      </c>
      <c r="H112" s="313">
        <v>0</v>
      </c>
      <c r="I112" s="513">
        <v>0</v>
      </c>
      <c r="J112" s="232">
        <f t="shared" si="27"/>
        <v>0</v>
      </c>
      <c r="K112" s="141"/>
      <c r="L112" s="159">
        <f t="shared" si="18"/>
        <v>0</v>
      </c>
      <c r="M112" s="72"/>
      <c r="N112" s="1"/>
      <c r="O112" s="78"/>
      <c r="P112" s="78"/>
      <c r="Q112" s="1"/>
      <c r="R112" s="78"/>
      <c r="S112" s="78"/>
      <c r="T112" s="44"/>
      <c r="U112" s="343"/>
      <c r="V112" s="78"/>
      <c r="W112" s="78"/>
      <c r="X112" s="44"/>
    </row>
    <row r="113" spans="1:24" ht="25.5" hidden="1" customHeight="1" x14ac:dyDescent="0.25">
      <c r="B113" s="54"/>
      <c r="C113" s="2"/>
      <c r="D113" s="625" t="s">
        <v>524</v>
      </c>
      <c r="E113" s="625"/>
      <c r="F113" s="159">
        <v>0</v>
      </c>
      <c r="G113" s="343">
        <v>0</v>
      </c>
      <c r="H113" s="313">
        <v>0</v>
      </c>
      <c r="I113" s="513">
        <v>0</v>
      </c>
      <c r="J113" s="242">
        <f t="shared" si="27"/>
        <v>0</v>
      </c>
      <c r="K113" s="151"/>
      <c r="L113" s="159">
        <f t="shared" si="18"/>
        <v>0</v>
      </c>
      <c r="M113" s="72"/>
      <c r="N113" s="1"/>
      <c r="O113" s="78"/>
      <c r="P113" s="78"/>
      <c r="Q113" s="1"/>
      <c r="R113" s="78"/>
      <c r="S113" s="78"/>
      <c r="T113" s="44"/>
      <c r="U113" s="343"/>
      <c r="V113" s="78"/>
      <c r="W113" s="78"/>
      <c r="X113" s="44"/>
    </row>
    <row r="114" spans="1:24" ht="15" hidden="1" customHeight="1" x14ac:dyDescent="0.25">
      <c r="B114" s="54"/>
      <c r="C114" s="2"/>
      <c r="D114" s="624" t="s">
        <v>525</v>
      </c>
      <c r="E114" s="624"/>
      <c r="F114" s="159">
        <v>0</v>
      </c>
      <c r="G114" s="343">
        <v>0</v>
      </c>
      <c r="H114" s="313">
        <v>0</v>
      </c>
      <c r="I114" s="513">
        <v>0</v>
      </c>
      <c r="J114" s="232">
        <f t="shared" si="27"/>
        <v>0</v>
      </c>
      <c r="K114" s="141"/>
      <c r="L114" s="159">
        <f t="shared" si="18"/>
        <v>0</v>
      </c>
      <c r="M114" s="72"/>
      <c r="N114" s="1"/>
      <c r="O114" s="78"/>
      <c r="P114" s="78"/>
      <c r="Q114" s="1"/>
      <c r="R114" s="78"/>
      <c r="S114" s="78"/>
      <c r="T114" s="44"/>
      <c r="U114" s="343"/>
      <c r="V114" s="78"/>
      <c r="W114" s="78"/>
      <c r="X114" s="44"/>
    </row>
    <row r="115" spans="1:24" ht="25.5" hidden="1" customHeight="1" x14ac:dyDescent="0.25">
      <c r="B115" s="54"/>
      <c r="C115" s="2"/>
      <c r="D115" s="625" t="s">
        <v>527</v>
      </c>
      <c r="E115" s="625"/>
      <c r="F115" s="159">
        <v>0</v>
      </c>
      <c r="G115" s="343">
        <v>0</v>
      </c>
      <c r="H115" s="313">
        <v>0</v>
      </c>
      <c r="I115" s="513">
        <v>0</v>
      </c>
      <c r="J115" s="242">
        <f t="shared" si="27"/>
        <v>0</v>
      </c>
      <c r="K115" s="151"/>
      <c r="L115" s="159">
        <f t="shared" si="18"/>
        <v>0</v>
      </c>
      <c r="M115" s="72"/>
      <c r="N115" s="1"/>
      <c r="O115" s="78"/>
      <c r="P115" s="78"/>
      <c r="Q115" s="1"/>
      <c r="R115" s="78"/>
      <c r="S115" s="78"/>
      <c r="T115" s="44"/>
      <c r="U115" s="343"/>
      <c r="V115" s="78"/>
      <c r="W115" s="78"/>
      <c r="X115" s="44"/>
    </row>
    <row r="116" spans="1:24" ht="25.5" hidden="1" customHeight="1" x14ac:dyDescent="0.25">
      <c r="B116" s="54"/>
      <c r="C116" s="2"/>
      <c r="D116" s="625" t="s">
        <v>529</v>
      </c>
      <c r="E116" s="625"/>
      <c r="F116" s="159">
        <v>0</v>
      </c>
      <c r="G116" s="343">
        <v>0</v>
      </c>
      <c r="H116" s="313">
        <v>0</v>
      </c>
      <c r="I116" s="513">
        <v>0</v>
      </c>
      <c r="J116" s="242">
        <f t="shared" si="27"/>
        <v>0</v>
      </c>
      <c r="K116" s="151"/>
      <c r="L116" s="159">
        <f t="shared" si="18"/>
        <v>0</v>
      </c>
      <c r="M116" s="72"/>
      <c r="N116" s="1"/>
      <c r="O116" s="78"/>
      <c r="P116" s="78"/>
      <c r="Q116" s="1"/>
      <c r="R116" s="78"/>
      <c r="S116" s="78"/>
      <c r="T116" s="44"/>
      <c r="U116" s="343"/>
      <c r="V116" s="78"/>
      <c r="W116" s="78"/>
      <c r="X116" s="44"/>
    </row>
    <row r="117" spans="1:24" s="41" customFormat="1" ht="27.75" hidden="1" customHeight="1" x14ac:dyDescent="0.25">
      <c r="A117" s="118" t="s">
        <v>233</v>
      </c>
      <c r="B117" s="101" t="s">
        <v>664</v>
      </c>
      <c r="C117" s="708" t="s">
        <v>808</v>
      </c>
      <c r="D117" s="709"/>
      <c r="E117" s="709"/>
      <c r="F117" s="162">
        <v>0</v>
      </c>
      <c r="G117" s="345">
        <v>0</v>
      </c>
      <c r="H117" s="315">
        <v>0</v>
      </c>
      <c r="I117" s="516">
        <v>0</v>
      </c>
      <c r="J117" s="241">
        <f>J118+J119</f>
        <v>0</v>
      </c>
      <c r="K117" s="150">
        <f t="shared" ref="K117:X117" si="28">K118+K119</f>
        <v>0</v>
      </c>
      <c r="L117" s="162">
        <f t="shared" si="18"/>
        <v>0</v>
      </c>
      <c r="M117" s="102">
        <f t="shared" si="28"/>
        <v>0</v>
      </c>
      <c r="N117" s="103">
        <f t="shared" si="28"/>
        <v>0</v>
      </c>
      <c r="O117" s="106">
        <f t="shared" si="28"/>
        <v>0</v>
      </c>
      <c r="P117" s="106">
        <f t="shared" si="28"/>
        <v>0</v>
      </c>
      <c r="Q117" s="103">
        <f t="shared" si="28"/>
        <v>0</v>
      </c>
      <c r="R117" s="106">
        <f t="shared" si="28"/>
        <v>0</v>
      </c>
      <c r="S117" s="106">
        <f t="shared" si="28"/>
        <v>0</v>
      </c>
      <c r="T117" s="107">
        <f t="shared" si="28"/>
        <v>0</v>
      </c>
      <c r="U117" s="345">
        <f t="shared" si="28"/>
        <v>0</v>
      </c>
      <c r="V117" s="106">
        <f t="shared" si="28"/>
        <v>0</v>
      </c>
      <c r="W117" s="106">
        <f t="shared" si="28"/>
        <v>0</v>
      </c>
      <c r="X117" s="107">
        <f t="shared" si="28"/>
        <v>0</v>
      </c>
    </row>
    <row r="118" spans="1:24" ht="15" hidden="1" customHeight="1" x14ac:dyDescent="0.25">
      <c r="B118" s="54"/>
      <c r="C118" s="2"/>
      <c r="D118" s="624" t="s">
        <v>531</v>
      </c>
      <c r="E118" s="624"/>
      <c r="F118" s="159">
        <v>0</v>
      </c>
      <c r="G118" s="343">
        <v>0</v>
      </c>
      <c r="H118" s="313">
        <v>0</v>
      </c>
      <c r="I118" s="513">
        <v>0</v>
      </c>
      <c r="J118" s="232">
        <f>SUM(M118:X118)</f>
        <v>0</v>
      </c>
      <c r="K118" s="141"/>
      <c r="L118" s="159">
        <f t="shared" si="18"/>
        <v>0</v>
      </c>
      <c r="M118" s="72"/>
      <c r="N118" s="1"/>
      <c r="O118" s="78"/>
      <c r="P118" s="78"/>
      <c r="Q118" s="1"/>
      <c r="R118" s="78"/>
      <c r="S118" s="78"/>
      <c r="T118" s="44"/>
      <c r="U118" s="343"/>
      <c r="V118" s="78"/>
      <c r="W118" s="78"/>
      <c r="X118" s="44"/>
    </row>
    <row r="119" spans="1:24" ht="25.5" hidden="1" customHeight="1" x14ac:dyDescent="0.25">
      <c r="B119" s="54"/>
      <c r="C119" s="2"/>
      <c r="D119" s="625" t="s">
        <v>530</v>
      </c>
      <c r="E119" s="625"/>
      <c r="F119" s="159">
        <v>0</v>
      </c>
      <c r="G119" s="343">
        <v>0</v>
      </c>
      <c r="H119" s="313">
        <v>0</v>
      </c>
      <c r="I119" s="513">
        <v>0</v>
      </c>
      <c r="J119" s="242">
        <f>SUM(M119:X119)</f>
        <v>0</v>
      </c>
      <c r="K119" s="151"/>
      <c r="L119" s="159">
        <f t="shared" si="18"/>
        <v>0</v>
      </c>
      <c r="M119" s="72"/>
      <c r="N119" s="1"/>
      <c r="O119" s="78"/>
      <c r="P119" s="78"/>
      <c r="Q119" s="1"/>
      <c r="R119" s="78"/>
      <c r="S119" s="78"/>
      <c r="T119" s="44"/>
      <c r="U119" s="343"/>
      <c r="V119" s="78"/>
      <c r="W119" s="78"/>
      <c r="X119" s="44"/>
    </row>
    <row r="120" spans="1:24" s="41" customFormat="1" ht="15" hidden="1" customHeight="1" x14ac:dyDescent="0.25">
      <c r="A120" s="118" t="s">
        <v>234</v>
      </c>
      <c r="B120" s="101" t="s">
        <v>666</v>
      </c>
      <c r="C120" s="708" t="s">
        <v>809</v>
      </c>
      <c r="D120" s="709"/>
      <c r="E120" s="709"/>
      <c r="F120" s="162">
        <v>0</v>
      </c>
      <c r="G120" s="345">
        <v>0</v>
      </c>
      <c r="H120" s="315">
        <v>0</v>
      </c>
      <c r="I120" s="516">
        <v>0</v>
      </c>
      <c r="J120" s="241">
        <f>J121+J122+J123+J124+J125+J126+J127+J128+J129+J130+J131</f>
        <v>0</v>
      </c>
      <c r="K120" s="150">
        <f t="shared" ref="K120:X120" si="29">K121+K122+K123+K124+K125+K126+K127+K128+K129+K130+K131</f>
        <v>0</v>
      </c>
      <c r="L120" s="162">
        <f t="shared" si="18"/>
        <v>0</v>
      </c>
      <c r="M120" s="102">
        <f t="shared" si="29"/>
        <v>0</v>
      </c>
      <c r="N120" s="103">
        <f t="shared" si="29"/>
        <v>0</v>
      </c>
      <c r="O120" s="106">
        <f t="shared" si="29"/>
        <v>0</v>
      </c>
      <c r="P120" s="106">
        <f t="shared" si="29"/>
        <v>0</v>
      </c>
      <c r="Q120" s="103">
        <f t="shared" si="29"/>
        <v>0</v>
      </c>
      <c r="R120" s="106">
        <f t="shared" si="29"/>
        <v>0</v>
      </c>
      <c r="S120" s="106">
        <f t="shared" si="29"/>
        <v>0</v>
      </c>
      <c r="T120" s="107">
        <f t="shared" si="29"/>
        <v>0</v>
      </c>
      <c r="U120" s="345">
        <f t="shared" si="29"/>
        <v>0</v>
      </c>
      <c r="V120" s="106">
        <f t="shared" si="29"/>
        <v>0</v>
      </c>
      <c r="W120" s="106">
        <f t="shared" si="29"/>
        <v>0</v>
      </c>
      <c r="X120" s="107">
        <f t="shared" si="29"/>
        <v>0</v>
      </c>
    </row>
    <row r="121" spans="1:24" ht="15" hidden="1" customHeight="1" x14ac:dyDescent="0.25">
      <c r="B121" s="54"/>
      <c r="C121" s="2"/>
      <c r="D121" s="624" t="s">
        <v>354</v>
      </c>
      <c r="E121" s="624"/>
      <c r="F121" s="159">
        <v>0</v>
      </c>
      <c r="G121" s="343">
        <v>0</v>
      </c>
      <c r="H121" s="313">
        <v>0</v>
      </c>
      <c r="I121" s="513">
        <v>0</v>
      </c>
      <c r="J121" s="232">
        <f t="shared" ref="J121:J134" si="30">SUM(M121:X121)</f>
        <v>0</v>
      </c>
      <c r="K121" s="141"/>
      <c r="L121" s="159">
        <f t="shared" si="18"/>
        <v>0</v>
      </c>
      <c r="M121" s="72"/>
      <c r="N121" s="1"/>
      <c r="O121" s="78"/>
      <c r="P121" s="78"/>
      <c r="Q121" s="1"/>
      <c r="R121" s="78"/>
      <c r="S121" s="78"/>
      <c r="T121" s="44"/>
      <c r="U121" s="343"/>
      <c r="V121" s="78"/>
      <c r="W121" s="78"/>
      <c r="X121" s="44"/>
    </row>
    <row r="122" spans="1:24" ht="15" hidden="1" customHeight="1" x14ac:dyDescent="0.25">
      <c r="B122" s="54"/>
      <c r="C122" s="2"/>
      <c r="D122" s="624" t="s">
        <v>357</v>
      </c>
      <c r="E122" s="624"/>
      <c r="F122" s="159">
        <v>0</v>
      </c>
      <c r="G122" s="343">
        <v>0</v>
      </c>
      <c r="H122" s="313">
        <v>0</v>
      </c>
      <c r="I122" s="513">
        <v>0</v>
      </c>
      <c r="J122" s="232">
        <f t="shared" si="30"/>
        <v>0</v>
      </c>
      <c r="K122" s="141"/>
      <c r="L122" s="159">
        <f t="shared" si="18"/>
        <v>0</v>
      </c>
      <c r="M122" s="72"/>
      <c r="N122" s="1"/>
      <c r="O122" s="78"/>
      <c r="P122" s="78"/>
      <c r="Q122" s="1"/>
      <c r="R122" s="78"/>
      <c r="S122" s="78"/>
      <c r="T122" s="44"/>
      <c r="U122" s="343"/>
      <c r="V122" s="78"/>
      <c r="W122" s="78"/>
      <c r="X122" s="44"/>
    </row>
    <row r="123" spans="1:24" ht="15" hidden="1" customHeight="1" x14ac:dyDescent="0.25">
      <c r="B123" s="54"/>
      <c r="C123" s="2"/>
      <c r="D123" s="624" t="s">
        <v>358</v>
      </c>
      <c r="E123" s="624"/>
      <c r="F123" s="159">
        <v>0</v>
      </c>
      <c r="G123" s="343">
        <v>0</v>
      </c>
      <c r="H123" s="313">
        <v>0</v>
      </c>
      <c r="I123" s="513">
        <v>0</v>
      </c>
      <c r="J123" s="232">
        <f t="shared" si="30"/>
        <v>0</v>
      </c>
      <c r="K123" s="141"/>
      <c r="L123" s="159">
        <f t="shared" si="18"/>
        <v>0</v>
      </c>
      <c r="M123" s="72"/>
      <c r="N123" s="1"/>
      <c r="O123" s="78"/>
      <c r="P123" s="78"/>
      <c r="Q123" s="1"/>
      <c r="R123" s="78"/>
      <c r="S123" s="78"/>
      <c r="T123" s="44"/>
      <c r="U123" s="343"/>
      <c r="V123" s="78"/>
      <c r="W123" s="78"/>
      <c r="X123" s="44"/>
    </row>
    <row r="124" spans="1:24" ht="15" hidden="1" customHeight="1" x14ac:dyDescent="0.25">
      <c r="B124" s="54"/>
      <c r="C124" s="2"/>
      <c r="D124" s="624" t="s">
        <v>355</v>
      </c>
      <c r="E124" s="624"/>
      <c r="F124" s="159">
        <v>0</v>
      </c>
      <c r="G124" s="343">
        <v>0</v>
      </c>
      <c r="H124" s="313">
        <v>0</v>
      </c>
      <c r="I124" s="513">
        <v>0</v>
      </c>
      <c r="J124" s="232">
        <f t="shared" si="30"/>
        <v>0</v>
      </c>
      <c r="K124" s="141"/>
      <c r="L124" s="159">
        <f t="shared" si="18"/>
        <v>0</v>
      </c>
      <c r="M124" s="72"/>
      <c r="N124" s="1"/>
      <c r="O124" s="78"/>
      <c r="P124" s="78"/>
      <c r="Q124" s="1"/>
      <c r="R124" s="78"/>
      <c r="S124" s="78"/>
      <c r="T124" s="44"/>
      <c r="U124" s="343"/>
      <c r="V124" s="78"/>
      <c r="W124" s="78"/>
      <c r="X124" s="44"/>
    </row>
    <row r="125" spans="1:24" ht="15" hidden="1" customHeight="1" x14ac:dyDescent="0.25">
      <c r="B125" s="54"/>
      <c r="C125" s="2"/>
      <c r="D125" s="624" t="s">
        <v>810</v>
      </c>
      <c r="E125" s="624"/>
      <c r="F125" s="159">
        <v>0</v>
      </c>
      <c r="G125" s="343">
        <v>0</v>
      </c>
      <c r="H125" s="313">
        <v>0</v>
      </c>
      <c r="I125" s="513">
        <v>0</v>
      </c>
      <c r="J125" s="232">
        <f t="shared" si="30"/>
        <v>0</v>
      </c>
      <c r="K125" s="141"/>
      <c r="L125" s="159">
        <f t="shared" si="18"/>
        <v>0</v>
      </c>
      <c r="M125" s="72"/>
      <c r="N125" s="1"/>
      <c r="O125" s="78"/>
      <c r="P125" s="78"/>
      <c r="Q125" s="1"/>
      <c r="R125" s="78"/>
      <c r="S125" s="78"/>
      <c r="T125" s="44"/>
      <c r="U125" s="343"/>
      <c r="V125" s="78"/>
      <c r="W125" s="78"/>
      <c r="X125" s="44"/>
    </row>
    <row r="126" spans="1:24" ht="25.5" hidden="1" customHeight="1" x14ac:dyDescent="0.25">
      <c r="B126" s="54"/>
      <c r="C126" s="2"/>
      <c r="D126" s="625" t="s">
        <v>532</v>
      </c>
      <c r="E126" s="625"/>
      <c r="F126" s="159">
        <v>0</v>
      </c>
      <c r="G126" s="343">
        <v>0</v>
      </c>
      <c r="H126" s="313">
        <v>0</v>
      </c>
      <c r="I126" s="513">
        <v>0</v>
      </c>
      <c r="J126" s="242">
        <f t="shared" si="30"/>
        <v>0</v>
      </c>
      <c r="K126" s="151"/>
      <c r="L126" s="159">
        <f t="shared" si="18"/>
        <v>0</v>
      </c>
      <c r="M126" s="72"/>
      <c r="N126" s="1"/>
      <c r="O126" s="78"/>
      <c r="P126" s="78"/>
      <c r="Q126" s="1"/>
      <c r="R126" s="78"/>
      <c r="S126" s="78"/>
      <c r="T126" s="44"/>
      <c r="U126" s="343"/>
      <c r="V126" s="78"/>
      <c r="W126" s="78"/>
      <c r="X126" s="44"/>
    </row>
    <row r="127" spans="1:24" ht="25.5" hidden="1" customHeight="1" x14ac:dyDescent="0.25">
      <c r="B127" s="54"/>
      <c r="C127" s="2"/>
      <c r="D127" s="625" t="s">
        <v>533</v>
      </c>
      <c r="E127" s="625"/>
      <c r="F127" s="159">
        <v>0</v>
      </c>
      <c r="G127" s="343">
        <v>0</v>
      </c>
      <c r="H127" s="313">
        <v>0</v>
      </c>
      <c r="I127" s="513">
        <v>0</v>
      </c>
      <c r="J127" s="242">
        <f t="shared" si="30"/>
        <v>0</v>
      </c>
      <c r="K127" s="151"/>
      <c r="L127" s="159">
        <f t="shared" si="18"/>
        <v>0</v>
      </c>
      <c r="M127" s="72"/>
      <c r="N127" s="1"/>
      <c r="O127" s="78"/>
      <c r="P127" s="78"/>
      <c r="Q127" s="1"/>
      <c r="R127" s="78"/>
      <c r="S127" s="78"/>
      <c r="T127" s="44"/>
      <c r="U127" s="343"/>
      <c r="V127" s="78"/>
      <c r="W127" s="78"/>
      <c r="X127" s="44"/>
    </row>
    <row r="128" spans="1:24" ht="15" hidden="1" customHeight="1" x14ac:dyDescent="0.25">
      <c r="B128" s="54"/>
      <c r="C128" s="2"/>
      <c r="D128" s="624" t="s">
        <v>364</v>
      </c>
      <c r="E128" s="624"/>
      <c r="F128" s="159">
        <v>0</v>
      </c>
      <c r="G128" s="343">
        <v>0</v>
      </c>
      <c r="H128" s="313">
        <v>0</v>
      </c>
      <c r="I128" s="513">
        <v>0</v>
      </c>
      <c r="J128" s="232">
        <f t="shared" si="30"/>
        <v>0</v>
      </c>
      <c r="K128" s="141"/>
      <c r="L128" s="159">
        <f t="shared" si="18"/>
        <v>0</v>
      </c>
      <c r="M128" s="72"/>
      <c r="N128" s="1"/>
      <c r="O128" s="78"/>
      <c r="P128" s="78"/>
      <c r="Q128" s="1"/>
      <c r="R128" s="78"/>
      <c r="S128" s="78"/>
      <c r="T128" s="44"/>
      <c r="U128" s="343"/>
      <c r="V128" s="78"/>
      <c r="W128" s="78"/>
      <c r="X128" s="44"/>
    </row>
    <row r="129" spans="1:24" ht="15" hidden="1" customHeight="1" x14ac:dyDescent="0.25">
      <c r="B129" s="54"/>
      <c r="C129" s="2"/>
      <c r="D129" s="624" t="s">
        <v>356</v>
      </c>
      <c r="E129" s="624"/>
      <c r="F129" s="159">
        <v>0</v>
      </c>
      <c r="G129" s="343">
        <v>0</v>
      </c>
      <c r="H129" s="313">
        <v>0</v>
      </c>
      <c r="I129" s="513">
        <v>0</v>
      </c>
      <c r="J129" s="232">
        <f t="shared" si="30"/>
        <v>0</v>
      </c>
      <c r="K129" s="141"/>
      <c r="L129" s="159">
        <f t="shared" si="18"/>
        <v>0</v>
      </c>
      <c r="M129" s="72"/>
      <c r="N129" s="1"/>
      <c r="O129" s="78"/>
      <c r="P129" s="78"/>
      <c r="Q129" s="1"/>
      <c r="R129" s="78"/>
      <c r="S129" s="78"/>
      <c r="T129" s="44"/>
      <c r="U129" s="343"/>
      <c r="V129" s="78"/>
      <c r="W129" s="78"/>
      <c r="X129" s="44"/>
    </row>
    <row r="130" spans="1:24" ht="25.5" hidden="1" customHeight="1" x14ac:dyDescent="0.25">
      <c r="B130" s="54"/>
      <c r="C130" s="2"/>
      <c r="D130" s="625" t="s">
        <v>534</v>
      </c>
      <c r="E130" s="625"/>
      <c r="F130" s="159">
        <v>0</v>
      </c>
      <c r="G130" s="343">
        <v>0</v>
      </c>
      <c r="H130" s="313">
        <v>0</v>
      </c>
      <c r="I130" s="513">
        <v>0</v>
      </c>
      <c r="J130" s="242">
        <f t="shared" si="30"/>
        <v>0</v>
      </c>
      <c r="K130" s="151"/>
      <c r="L130" s="159">
        <f t="shared" si="18"/>
        <v>0</v>
      </c>
      <c r="M130" s="72"/>
      <c r="N130" s="1"/>
      <c r="O130" s="78"/>
      <c r="P130" s="78"/>
      <c r="Q130" s="1"/>
      <c r="R130" s="78"/>
      <c r="S130" s="78"/>
      <c r="T130" s="44"/>
      <c r="U130" s="343"/>
      <c r="V130" s="78"/>
      <c r="W130" s="78"/>
      <c r="X130" s="44"/>
    </row>
    <row r="131" spans="1:24" ht="15" hidden="1" customHeight="1" x14ac:dyDescent="0.25">
      <c r="B131" s="54"/>
      <c r="C131" s="2"/>
      <c r="D131" s="624" t="s">
        <v>535</v>
      </c>
      <c r="E131" s="624"/>
      <c r="F131" s="159">
        <v>0</v>
      </c>
      <c r="G131" s="343">
        <v>0</v>
      </c>
      <c r="H131" s="313">
        <v>0</v>
      </c>
      <c r="I131" s="513">
        <v>0</v>
      </c>
      <c r="J131" s="232">
        <f t="shared" si="30"/>
        <v>0</v>
      </c>
      <c r="K131" s="141"/>
      <c r="L131" s="159">
        <f t="shared" si="18"/>
        <v>0</v>
      </c>
      <c r="M131" s="72"/>
      <c r="N131" s="1"/>
      <c r="O131" s="78"/>
      <c r="P131" s="78"/>
      <c r="Q131" s="1"/>
      <c r="R131" s="78"/>
      <c r="S131" s="78"/>
      <c r="T131" s="44"/>
      <c r="U131" s="343"/>
      <c r="V131" s="78"/>
      <c r="W131" s="78"/>
      <c r="X131" s="44"/>
    </row>
    <row r="132" spans="1:24" s="41" customFormat="1" ht="15" hidden="1" customHeight="1" x14ac:dyDescent="0.25">
      <c r="A132" s="118" t="s">
        <v>235</v>
      </c>
      <c r="B132" s="101" t="s">
        <v>665</v>
      </c>
      <c r="C132" s="655" t="s">
        <v>236</v>
      </c>
      <c r="D132" s="656"/>
      <c r="E132" s="656"/>
      <c r="F132" s="162">
        <v>0</v>
      </c>
      <c r="G132" s="345">
        <v>0</v>
      </c>
      <c r="H132" s="315">
        <v>0</v>
      </c>
      <c r="I132" s="516">
        <v>0</v>
      </c>
      <c r="J132" s="243">
        <f t="shared" si="30"/>
        <v>0</v>
      </c>
      <c r="K132" s="152"/>
      <c r="L132" s="162">
        <f t="shared" si="18"/>
        <v>0</v>
      </c>
      <c r="M132" s="102"/>
      <c r="N132" s="103"/>
      <c r="O132" s="106"/>
      <c r="P132" s="106"/>
      <c r="Q132" s="103"/>
      <c r="R132" s="106"/>
      <c r="S132" s="106"/>
      <c r="T132" s="107"/>
      <c r="U132" s="345"/>
      <c r="V132" s="106"/>
      <c r="W132" s="106"/>
      <c r="X132" s="107"/>
    </row>
    <row r="133" spans="1:24" s="41" customFormat="1" ht="15" hidden="1" customHeight="1" x14ac:dyDescent="0.25">
      <c r="A133" s="118" t="s">
        <v>237</v>
      </c>
      <c r="B133" s="101" t="s">
        <v>667</v>
      </c>
      <c r="C133" s="655" t="s">
        <v>238</v>
      </c>
      <c r="D133" s="656"/>
      <c r="E133" s="656"/>
      <c r="F133" s="162">
        <v>0</v>
      </c>
      <c r="G133" s="345">
        <v>0</v>
      </c>
      <c r="H133" s="315">
        <v>0</v>
      </c>
      <c r="I133" s="516">
        <v>0</v>
      </c>
      <c r="J133" s="243">
        <f t="shared" si="30"/>
        <v>0</v>
      </c>
      <c r="K133" s="152"/>
      <c r="L133" s="162">
        <f t="shared" si="18"/>
        <v>0</v>
      </c>
      <c r="M133" s="102"/>
      <c r="N133" s="103"/>
      <c r="O133" s="106"/>
      <c r="P133" s="106"/>
      <c r="Q133" s="103"/>
      <c r="R133" s="106"/>
      <c r="S133" s="106"/>
      <c r="T133" s="107"/>
      <c r="U133" s="345"/>
      <c r="V133" s="106"/>
      <c r="W133" s="106"/>
      <c r="X133" s="107"/>
    </row>
    <row r="134" spans="1:24" s="41" customFormat="1" ht="15" hidden="1" customHeight="1" x14ac:dyDescent="0.25">
      <c r="A134" s="118" t="s">
        <v>239</v>
      </c>
      <c r="B134" s="101" t="s">
        <v>668</v>
      </c>
      <c r="C134" s="655" t="s">
        <v>240</v>
      </c>
      <c r="D134" s="656"/>
      <c r="E134" s="656"/>
      <c r="F134" s="162">
        <v>0</v>
      </c>
      <c r="G134" s="345">
        <v>0</v>
      </c>
      <c r="H134" s="315">
        <v>0</v>
      </c>
      <c r="I134" s="516">
        <v>0</v>
      </c>
      <c r="J134" s="243">
        <f t="shared" si="30"/>
        <v>0</v>
      </c>
      <c r="K134" s="152"/>
      <c r="L134" s="162">
        <f t="shared" ref="L134:L201" si="31">SUM(J134:K134)</f>
        <v>0</v>
      </c>
      <c r="M134" s="102"/>
      <c r="N134" s="103"/>
      <c r="O134" s="106"/>
      <c r="P134" s="106"/>
      <c r="Q134" s="103"/>
      <c r="R134" s="106"/>
      <c r="S134" s="106"/>
      <c r="T134" s="107"/>
      <c r="U134" s="345"/>
      <c r="V134" s="106"/>
      <c r="W134" s="106"/>
      <c r="X134" s="107"/>
    </row>
    <row r="135" spans="1:24" s="41" customFormat="1" ht="15" hidden="1" customHeight="1" x14ac:dyDescent="0.25">
      <c r="A135" s="118" t="s">
        <v>241</v>
      </c>
      <c r="B135" s="101" t="s">
        <v>669</v>
      </c>
      <c r="C135" s="655" t="s">
        <v>242</v>
      </c>
      <c r="D135" s="656"/>
      <c r="E135" s="656"/>
      <c r="F135" s="162">
        <v>0</v>
      </c>
      <c r="G135" s="345">
        <v>0</v>
      </c>
      <c r="H135" s="315">
        <v>0</v>
      </c>
      <c r="I135" s="516">
        <v>0</v>
      </c>
      <c r="J135" s="243">
        <f>J136+J137+J138+J139+J140+J141+J142+J143+J144+J145</f>
        <v>0</v>
      </c>
      <c r="K135" s="152">
        <f t="shared" ref="K135:X135" si="32">K136+K137+K138+K139+K140+K141+K142+K143+K144+K145</f>
        <v>0</v>
      </c>
      <c r="L135" s="162">
        <f t="shared" si="31"/>
        <v>0</v>
      </c>
      <c r="M135" s="102">
        <f t="shared" si="32"/>
        <v>0</v>
      </c>
      <c r="N135" s="103">
        <f t="shared" si="32"/>
        <v>0</v>
      </c>
      <c r="O135" s="106">
        <f t="shared" si="32"/>
        <v>0</v>
      </c>
      <c r="P135" s="106">
        <f t="shared" si="32"/>
        <v>0</v>
      </c>
      <c r="Q135" s="103">
        <f t="shared" si="32"/>
        <v>0</v>
      </c>
      <c r="R135" s="106">
        <f t="shared" si="32"/>
        <v>0</v>
      </c>
      <c r="S135" s="106">
        <f t="shared" si="32"/>
        <v>0</v>
      </c>
      <c r="T135" s="107">
        <f t="shared" si="32"/>
        <v>0</v>
      </c>
      <c r="U135" s="345">
        <f t="shared" si="32"/>
        <v>0</v>
      </c>
      <c r="V135" s="106">
        <f t="shared" si="32"/>
        <v>0</v>
      </c>
      <c r="W135" s="106">
        <f t="shared" si="32"/>
        <v>0</v>
      </c>
      <c r="X135" s="107">
        <f t="shared" si="32"/>
        <v>0</v>
      </c>
    </row>
    <row r="136" spans="1:24" ht="15" hidden="1" customHeight="1" x14ac:dyDescent="0.25">
      <c r="B136" s="54"/>
      <c r="C136" s="2"/>
      <c r="D136" s="624" t="s">
        <v>359</v>
      </c>
      <c r="E136" s="624"/>
      <c r="F136" s="159">
        <v>0</v>
      </c>
      <c r="G136" s="343">
        <v>0</v>
      </c>
      <c r="H136" s="313">
        <v>0</v>
      </c>
      <c r="I136" s="513">
        <v>0</v>
      </c>
      <c r="J136" s="232">
        <f t="shared" ref="J136:J146" si="33">SUM(M136:X136)</f>
        <v>0</v>
      </c>
      <c r="K136" s="141"/>
      <c r="L136" s="159">
        <f t="shared" si="31"/>
        <v>0</v>
      </c>
      <c r="M136" s="72"/>
      <c r="N136" s="1"/>
      <c r="O136" s="78"/>
      <c r="P136" s="78"/>
      <c r="Q136" s="1"/>
      <c r="R136" s="78"/>
      <c r="S136" s="78"/>
      <c r="T136" s="44"/>
      <c r="U136" s="343"/>
      <c r="V136" s="78"/>
      <c r="W136" s="78"/>
      <c r="X136" s="44"/>
    </row>
    <row r="137" spans="1:24" ht="15" hidden="1" customHeight="1" x14ac:dyDescent="0.25">
      <c r="B137" s="54"/>
      <c r="C137" s="2"/>
      <c r="D137" s="624" t="s">
        <v>360</v>
      </c>
      <c r="E137" s="624"/>
      <c r="F137" s="159">
        <v>0</v>
      </c>
      <c r="G137" s="343">
        <v>0</v>
      </c>
      <c r="H137" s="313">
        <v>0</v>
      </c>
      <c r="I137" s="513">
        <v>0</v>
      </c>
      <c r="J137" s="232">
        <f t="shared" si="33"/>
        <v>0</v>
      </c>
      <c r="K137" s="141"/>
      <c r="L137" s="159">
        <f t="shared" si="31"/>
        <v>0</v>
      </c>
      <c r="M137" s="72"/>
      <c r="N137" s="1"/>
      <c r="O137" s="78"/>
      <c r="P137" s="78"/>
      <c r="Q137" s="1"/>
      <c r="R137" s="78"/>
      <c r="S137" s="78"/>
      <c r="T137" s="44"/>
      <c r="U137" s="343"/>
      <c r="V137" s="78"/>
      <c r="W137" s="78"/>
      <c r="X137" s="44"/>
    </row>
    <row r="138" spans="1:24" ht="15" hidden="1" customHeight="1" x14ac:dyDescent="0.25">
      <c r="B138" s="54"/>
      <c r="C138" s="2"/>
      <c r="D138" s="624" t="s">
        <v>361</v>
      </c>
      <c r="E138" s="624"/>
      <c r="F138" s="159">
        <v>0</v>
      </c>
      <c r="G138" s="343">
        <v>0</v>
      </c>
      <c r="H138" s="313">
        <v>0</v>
      </c>
      <c r="I138" s="513">
        <v>0</v>
      </c>
      <c r="J138" s="232">
        <f t="shared" si="33"/>
        <v>0</v>
      </c>
      <c r="K138" s="141"/>
      <c r="L138" s="159">
        <f t="shared" si="31"/>
        <v>0</v>
      </c>
      <c r="M138" s="72"/>
      <c r="N138" s="1"/>
      <c r="O138" s="78"/>
      <c r="P138" s="78"/>
      <c r="Q138" s="1"/>
      <c r="R138" s="78"/>
      <c r="S138" s="78"/>
      <c r="T138" s="44"/>
      <c r="U138" s="343"/>
      <c r="V138" s="78"/>
      <c r="W138" s="78"/>
      <c r="X138" s="44"/>
    </row>
    <row r="139" spans="1:24" ht="15" hidden="1" customHeight="1" x14ac:dyDescent="0.25">
      <c r="B139" s="54"/>
      <c r="C139" s="2"/>
      <c r="D139" s="624" t="s">
        <v>362</v>
      </c>
      <c r="E139" s="624"/>
      <c r="F139" s="159">
        <v>0</v>
      </c>
      <c r="G139" s="343">
        <v>0</v>
      </c>
      <c r="H139" s="313">
        <v>0</v>
      </c>
      <c r="I139" s="513">
        <v>0</v>
      </c>
      <c r="J139" s="232">
        <f t="shared" si="33"/>
        <v>0</v>
      </c>
      <c r="K139" s="141"/>
      <c r="L139" s="159">
        <f t="shared" si="31"/>
        <v>0</v>
      </c>
      <c r="M139" s="72"/>
      <c r="N139" s="1"/>
      <c r="O139" s="78"/>
      <c r="P139" s="78"/>
      <c r="Q139" s="1"/>
      <c r="R139" s="78"/>
      <c r="S139" s="78"/>
      <c r="T139" s="44"/>
      <c r="U139" s="343"/>
      <c r="V139" s="78"/>
      <c r="W139" s="78"/>
      <c r="X139" s="44"/>
    </row>
    <row r="140" spans="1:24" ht="15" hidden="1" customHeight="1" x14ac:dyDescent="0.25">
      <c r="B140" s="54"/>
      <c r="C140" s="2"/>
      <c r="D140" s="624" t="s">
        <v>363</v>
      </c>
      <c r="E140" s="624"/>
      <c r="F140" s="159">
        <v>0</v>
      </c>
      <c r="G140" s="343">
        <v>0</v>
      </c>
      <c r="H140" s="313">
        <v>0</v>
      </c>
      <c r="I140" s="513">
        <v>0</v>
      </c>
      <c r="J140" s="232">
        <f t="shared" si="33"/>
        <v>0</v>
      </c>
      <c r="K140" s="141"/>
      <c r="L140" s="159">
        <f t="shared" si="31"/>
        <v>0</v>
      </c>
      <c r="M140" s="72"/>
      <c r="N140" s="1"/>
      <c r="O140" s="78"/>
      <c r="P140" s="78"/>
      <c r="Q140" s="1"/>
      <c r="R140" s="78"/>
      <c r="S140" s="78"/>
      <c r="T140" s="44"/>
      <c r="U140" s="343"/>
      <c r="V140" s="78"/>
      <c r="W140" s="78"/>
      <c r="X140" s="44"/>
    </row>
    <row r="141" spans="1:24" ht="25.5" hidden="1" customHeight="1" x14ac:dyDescent="0.25">
      <c r="B141" s="54"/>
      <c r="C141" s="2"/>
      <c r="D141" s="625" t="s">
        <v>536</v>
      </c>
      <c r="E141" s="625"/>
      <c r="F141" s="159">
        <v>0</v>
      </c>
      <c r="G141" s="343">
        <v>0</v>
      </c>
      <c r="H141" s="313">
        <v>0</v>
      </c>
      <c r="I141" s="513">
        <v>0</v>
      </c>
      <c r="J141" s="242">
        <f t="shared" si="33"/>
        <v>0</v>
      </c>
      <c r="K141" s="151"/>
      <c r="L141" s="159">
        <f t="shared" si="31"/>
        <v>0</v>
      </c>
      <c r="M141" s="72"/>
      <c r="N141" s="1"/>
      <c r="O141" s="78"/>
      <c r="P141" s="78"/>
      <c r="Q141" s="1"/>
      <c r="R141" s="78"/>
      <c r="S141" s="78"/>
      <c r="T141" s="44"/>
      <c r="U141" s="343"/>
      <c r="V141" s="78"/>
      <c r="W141" s="78"/>
      <c r="X141" s="44"/>
    </row>
    <row r="142" spans="1:24" ht="25.5" hidden="1" customHeight="1" x14ac:dyDescent="0.25">
      <c r="B142" s="54"/>
      <c r="C142" s="2"/>
      <c r="D142" s="625" t="s">
        <v>539</v>
      </c>
      <c r="E142" s="625"/>
      <c r="F142" s="159">
        <v>0</v>
      </c>
      <c r="G142" s="343">
        <v>0</v>
      </c>
      <c r="H142" s="313">
        <v>0</v>
      </c>
      <c r="I142" s="513">
        <v>0</v>
      </c>
      <c r="J142" s="242">
        <f t="shared" si="33"/>
        <v>0</v>
      </c>
      <c r="K142" s="151"/>
      <c r="L142" s="159">
        <f t="shared" si="31"/>
        <v>0</v>
      </c>
      <c r="M142" s="72"/>
      <c r="N142" s="1"/>
      <c r="O142" s="78"/>
      <c r="P142" s="78"/>
      <c r="Q142" s="1"/>
      <c r="R142" s="78"/>
      <c r="S142" s="78"/>
      <c r="T142" s="44"/>
      <c r="U142" s="343"/>
      <c r="V142" s="78"/>
      <c r="W142" s="78"/>
      <c r="X142" s="44"/>
    </row>
    <row r="143" spans="1:24" ht="15" hidden="1" customHeight="1" x14ac:dyDescent="0.25">
      <c r="B143" s="54"/>
      <c r="C143" s="2"/>
      <c r="D143" s="624" t="s">
        <v>365</v>
      </c>
      <c r="E143" s="624"/>
      <c r="F143" s="159">
        <v>0</v>
      </c>
      <c r="G143" s="343">
        <v>0</v>
      </c>
      <c r="H143" s="313">
        <v>0</v>
      </c>
      <c r="I143" s="513">
        <v>0</v>
      </c>
      <c r="J143" s="232">
        <f t="shared" si="33"/>
        <v>0</v>
      </c>
      <c r="K143" s="141"/>
      <c r="L143" s="159">
        <f t="shared" si="31"/>
        <v>0</v>
      </c>
      <c r="M143" s="72"/>
      <c r="N143" s="1"/>
      <c r="O143" s="78"/>
      <c r="P143" s="78"/>
      <c r="Q143" s="1"/>
      <c r="R143" s="78"/>
      <c r="S143" s="78"/>
      <c r="T143" s="44"/>
      <c r="U143" s="343"/>
      <c r="V143" s="78"/>
      <c r="W143" s="78"/>
      <c r="X143" s="44"/>
    </row>
    <row r="144" spans="1:24" ht="25.5" hidden="1" customHeight="1" x14ac:dyDescent="0.25">
      <c r="B144" s="54"/>
      <c r="C144" s="2"/>
      <c r="D144" s="625" t="s">
        <v>542</v>
      </c>
      <c r="E144" s="625"/>
      <c r="F144" s="159">
        <v>0</v>
      </c>
      <c r="G144" s="343">
        <v>0</v>
      </c>
      <c r="H144" s="313">
        <v>0</v>
      </c>
      <c r="I144" s="513">
        <v>0</v>
      </c>
      <c r="J144" s="242">
        <f t="shared" si="33"/>
        <v>0</v>
      </c>
      <c r="K144" s="151"/>
      <c r="L144" s="159">
        <f t="shared" si="31"/>
        <v>0</v>
      </c>
      <c r="M144" s="72"/>
      <c r="N144" s="1"/>
      <c r="O144" s="78"/>
      <c r="P144" s="78"/>
      <c r="Q144" s="1"/>
      <c r="R144" s="78"/>
      <c r="S144" s="78"/>
      <c r="T144" s="44"/>
      <c r="U144" s="343"/>
      <c r="V144" s="78"/>
      <c r="W144" s="78"/>
      <c r="X144" s="44"/>
    </row>
    <row r="145" spans="1:24" ht="15" hidden="1" customHeight="1" x14ac:dyDescent="0.25">
      <c r="B145" s="54"/>
      <c r="C145" s="2"/>
      <c r="D145" s="624" t="s">
        <v>543</v>
      </c>
      <c r="E145" s="624"/>
      <c r="F145" s="159">
        <v>0</v>
      </c>
      <c r="G145" s="343">
        <v>0</v>
      </c>
      <c r="H145" s="313">
        <v>0</v>
      </c>
      <c r="I145" s="513">
        <v>0</v>
      </c>
      <c r="J145" s="232">
        <f t="shared" si="33"/>
        <v>0</v>
      </c>
      <c r="K145" s="141"/>
      <c r="L145" s="159">
        <f t="shared" si="31"/>
        <v>0</v>
      </c>
      <c r="M145" s="72"/>
      <c r="N145" s="1"/>
      <c r="O145" s="78"/>
      <c r="P145" s="78"/>
      <c r="Q145" s="1"/>
      <c r="R145" s="78"/>
      <c r="S145" s="78"/>
      <c r="T145" s="44"/>
      <c r="U145" s="343"/>
      <c r="V145" s="78"/>
      <c r="W145" s="78"/>
      <c r="X145" s="44"/>
    </row>
    <row r="146" spans="1:24" s="41" customFormat="1" ht="15.75" hidden="1" customHeight="1" thickBot="1" x14ac:dyDescent="0.3">
      <c r="A146" s="118" t="s">
        <v>243</v>
      </c>
      <c r="B146" s="127" t="s">
        <v>670</v>
      </c>
      <c r="C146" s="710" t="s">
        <v>244</v>
      </c>
      <c r="D146" s="711"/>
      <c r="E146" s="711"/>
      <c r="F146" s="162">
        <v>0</v>
      </c>
      <c r="G146" s="471">
        <v>0</v>
      </c>
      <c r="H146" s="491">
        <v>0</v>
      </c>
      <c r="I146" s="521">
        <v>0</v>
      </c>
      <c r="J146" s="244">
        <f t="shared" si="33"/>
        <v>0</v>
      </c>
      <c r="K146" s="153"/>
      <c r="L146" s="162">
        <f t="shared" si="31"/>
        <v>0</v>
      </c>
      <c r="M146" s="102"/>
      <c r="N146" s="103"/>
      <c r="O146" s="106"/>
      <c r="P146" s="106"/>
      <c r="Q146" s="103"/>
      <c r="R146" s="106"/>
      <c r="S146" s="106"/>
      <c r="T146" s="107"/>
      <c r="U146" s="345"/>
      <c r="V146" s="106"/>
      <c r="W146" s="106"/>
      <c r="X146" s="107"/>
    </row>
    <row r="147" spans="1:24" ht="15.75" thickBot="1" x14ac:dyDescent="0.3">
      <c r="B147" s="96" t="s">
        <v>245</v>
      </c>
      <c r="C147" s="632" t="s">
        <v>246</v>
      </c>
      <c r="D147" s="633"/>
      <c r="E147" s="633"/>
      <c r="F147" s="156">
        <v>0</v>
      </c>
      <c r="G147" s="338">
        <v>0</v>
      </c>
      <c r="H147" s="308">
        <v>0</v>
      </c>
      <c r="I147" s="506">
        <v>0</v>
      </c>
      <c r="J147" s="235">
        <f>J148+J149+J152+J153+J154+J155+J156</f>
        <v>0</v>
      </c>
      <c r="K147" s="144">
        <f t="shared" ref="K147:X147" si="34">K148+K149+K152+K153+K154+K155+K156</f>
        <v>0</v>
      </c>
      <c r="L147" s="156">
        <f t="shared" si="31"/>
        <v>0</v>
      </c>
      <c r="M147" s="82">
        <f t="shared" si="34"/>
        <v>0</v>
      </c>
      <c r="N147" s="83">
        <f t="shared" si="34"/>
        <v>0</v>
      </c>
      <c r="O147" s="86">
        <f t="shared" si="34"/>
        <v>0</v>
      </c>
      <c r="P147" s="86">
        <f t="shared" si="34"/>
        <v>0</v>
      </c>
      <c r="Q147" s="83">
        <f t="shared" si="34"/>
        <v>0</v>
      </c>
      <c r="R147" s="86">
        <f t="shared" si="34"/>
        <v>0</v>
      </c>
      <c r="S147" s="86">
        <f t="shared" si="34"/>
        <v>0</v>
      </c>
      <c r="T147" s="87">
        <f t="shared" si="34"/>
        <v>0</v>
      </c>
      <c r="U147" s="338">
        <f t="shared" si="34"/>
        <v>0</v>
      </c>
      <c r="V147" s="86">
        <f t="shared" si="34"/>
        <v>0</v>
      </c>
      <c r="W147" s="86">
        <f t="shared" si="34"/>
        <v>0</v>
      </c>
      <c r="X147" s="87">
        <f t="shared" si="34"/>
        <v>0</v>
      </c>
    </row>
    <row r="148" spans="1:24" s="18" customFormat="1" ht="15" hidden="1" customHeight="1" x14ac:dyDescent="0.25">
      <c r="A148" s="118" t="s">
        <v>247</v>
      </c>
      <c r="B148" s="108" t="s">
        <v>671</v>
      </c>
      <c r="C148" s="634" t="s">
        <v>248</v>
      </c>
      <c r="D148" s="635"/>
      <c r="E148" s="635"/>
      <c r="F148" s="158">
        <v>0</v>
      </c>
      <c r="G148" s="339">
        <v>0</v>
      </c>
      <c r="H148" s="309">
        <v>0</v>
      </c>
      <c r="I148" s="507">
        <v>0</v>
      </c>
      <c r="J148" s="231">
        <f>SUM(M148:X148)</f>
        <v>0</v>
      </c>
      <c r="K148" s="140"/>
      <c r="L148" s="158">
        <f t="shared" si="31"/>
        <v>0</v>
      </c>
      <c r="M148" s="90"/>
      <c r="N148" s="91"/>
      <c r="O148" s="94"/>
      <c r="P148" s="94"/>
      <c r="Q148" s="91"/>
      <c r="R148" s="94"/>
      <c r="S148" s="94"/>
      <c r="T148" s="95"/>
      <c r="U148" s="341"/>
      <c r="V148" s="94"/>
      <c r="W148" s="94"/>
      <c r="X148" s="95"/>
    </row>
    <row r="149" spans="1:24" s="18" customFormat="1" ht="15" hidden="1" customHeight="1" x14ac:dyDescent="0.25">
      <c r="A149" s="118" t="s">
        <v>249</v>
      </c>
      <c r="B149" s="88" t="s">
        <v>672</v>
      </c>
      <c r="C149" s="626" t="s">
        <v>250</v>
      </c>
      <c r="D149" s="627"/>
      <c r="E149" s="627"/>
      <c r="F149" s="158">
        <v>0</v>
      </c>
      <c r="G149" s="341">
        <v>0</v>
      </c>
      <c r="H149" s="311">
        <v>0</v>
      </c>
      <c r="I149" s="509">
        <v>0</v>
      </c>
      <c r="J149" s="233">
        <f>J150+J151</f>
        <v>0</v>
      </c>
      <c r="K149" s="142">
        <f t="shared" ref="K149:X149" si="35">K150+K151</f>
        <v>0</v>
      </c>
      <c r="L149" s="158">
        <f t="shared" si="31"/>
        <v>0</v>
      </c>
      <c r="M149" s="90">
        <f t="shared" si="35"/>
        <v>0</v>
      </c>
      <c r="N149" s="91">
        <f t="shared" si="35"/>
        <v>0</v>
      </c>
      <c r="O149" s="94">
        <f t="shared" si="35"/>
        <v>0</v>
      </c>
      <c r="P149" s="94">
        <f t="shared" si="35"/>
        <v>0</v>
      </c>
      <c r="Q149" s="91">
        <f t="shared" si="35"/>
        <v>0</v>
      </c>
      <c r="R149" s="94">
        <f t="shared" si="35"/>
        <v>0</v>
      </c>
      <c r="S149" s="94">
        <f t="shared" si="35"/>
        <v>0</v>
      </c>
      <c r="T149" s="95">
        <f t="shared" si="35"/>
        <v>0</v>
      </c>
      <c r="U149" s="341">
        <f t="shared" si="35"/>
        <v>0</v>
      </c>
      <c r="V149" s="94">
        <f t="shared" si="35"/>
        <v>0</v>
      </c>
      <c r="W149" s="94">
        <f t="shared" si="35"/>
        <v>0</v>
      </c>
      <c r="X149" s="95">
        <f t="shared" si="35"/>
        <v>0</v>
      </c>
    </row>
    <row r="150" spans="1:24" ht="15" hidden="1" customHeight="1" x14ac:dyDescent="0.25">
      <c r="B150" s="54"/>
      <c r="C150" s="2"/>
      <c r="D150" s="624" t="s">
        <v>250</v>
      </c>
      <c r="E150" s="624"/>
      <c r="F150" s="159">
        <v>0</v>
      </c>
      <c r="G150" s="343">
        <v>0</v>
      </c>
      <c r="H150" s="313">
        <v>0</v>
      </c>
      <c r="I150" s="513">
        <v>0</v>
      </c>
      <c r="J150" s="232">
        <f t="shared" ref="J150:J156" si="36">SUM(M150:X150)</f>
        <v>0</v>
      </c>
      <c r="K150" s="141"/>
      <c r="L150" s="159">
        <f t="shared" si="31"/>
        <v>0</v>
      </c>
      <c r="M150" s="72"/>
      <c r="N150" s="1"/>
      <c r="O150" s="78"/>
      <c r="P150" s="78"/>
      <c r="Q150" s="1"/>
      <c r="R150" s="78"/>
      <c r="S150" s="78"/>
      <c r="T150" s="44"/>
      <c r="U150" s="343"/>
      <c r="V150" s="78"/>
      <c r="W150" s="78"/>
      <c r="X150" s="44"/>
    </row>
    <row r="151" spans="1:24" ht="15" hidden="1" customHeight="1" x14ac:dyDescent="0.25">
      <c r="B151" s="54"/>
      <c r="C151" s="2"/>
      <c r="D151" s="624" t="s">
        <v>349</v>
      </c>
      <c r="E151" s="624"/>
      <c r="F151" s="159">
        <v>0</v>
      </c>
      <c r="G151" s="343">
        <v>0</v>
      </c>
      <c r="H151" s="313">
        <v>0</v>
      </c>
      <c r="I151" s="513">
        <v>0</v>
      </c>
      <c r="J151" s="232">
        <f t="shared" si="36"/>
        <v>0</v>
      </c>
      <c r="K151" s="141"/>
      <c r="L151" s="159">
        <f t="shared" si="31"/>
        <v>0</v>
      </c>
      <c r="M151" s="72"/>
      <c r="N151" s="1"/>
      <c r="O151" s="78"/>
      <c r="P151" s="78"/>
      <c r="Q151" s="1"/>
      <c r="R151" s="78"/>
      <c r="S151" s="78"/>
      <c r="T151" s="44"/>
      <c r="U151" s="343"/>
      <c r="V151" s="78"/>
      <c r="W151" s="78"/>
      <c r="X151" s="44"/>
    </row>
    <row r="152" spans="1:24" s="18" customFormat="1" ht="15" hidden="1" customHeight="1" x14ac:dyDescent="0.25">
      <c r="A152" s="118" t="s">
        <v>251</v>
      </c>
      <c r="B152" s="88" t="s">
        <v>673</v>
      </c>
      <c r="C152" s="626" t="s">
        <v>252</v>
      </c>
      <c r="D152" s="627"/>
      <c r="E152" s="627"/>
      <c r="F152" s="158">
        <v>0</v>
      </c>
      <c r="G152" s="341">
        <v>0</v>
      </c>
      <c r="H152" s="311">
        <v>0</v>
      </c>
      <c r="I152" s="509">
        <v>0</v>
      </c>
      <c r="J152" s="233">
        <f t="shared" si="36"/>
        <v>0</v>
      </c>
      <c r="K152" s="142"/>
      <c r="L152" s="158">
        <f t="shared" si="31"/>
        <v>0</v>
      </c>
      <c r="M152" s="90"/>
      <c r="N152" s="91"/>
      <c r="O152" s="94"/>
      <c r="P152" s="94"/>
      <c r="Q152" s="91"/>
      <c r="R152" s="94"/>
      <c r="S152" s="94"/>
      <c r="T152" s="95"/>
      <c r="U152" s="341"/>
      <c r="V152" s="94"/>
      <c r="W152" s="94"/>
      <c r="X152" s="95"/>
    </row>
    <row r="153" spans="1:24" s="18" customFormat="1" ht="15" hidden="1" customHeight="1" x14ac:dyDescent="0.25">
      <c r="A153" s="118" t="s">
        <v>253</v>
      </c>
      <c r="B153" s="88" t="s">
        <v>674</v>
      </c>
      <c r="C153" s="626" t="s">
        <v>254</v>
      </c>
      <c r="D153" s="627"/>
      <c r="E153" s="627"/>
      <c r="F153" s="158">
        <v>0</v>
      </c>
      <c r="G153" s="341">
        <v>0</v>
      </c>
      <c r="H153" s="311">
        <v>0</v>
      </c>
      <c r="I153" s="509">
        <v>0</v>
      </c>
      <c r="J153" s="233">
        <f t="shared" si="36"/>
        <v>0</v>
      </c>
      <c r="K153" s="142"/>
      <c r="L153" s="158">
        <f t="shared" si="31"/>
        <v>0</v>
      </c>
      <c r="M153" s="90"/>
      <c r="N153" s="91"/>
      <c r="O153" s="94"/>
      <c r="P153" s="94"/>
      <c r="Q153" s="91"/>
      <c r="R153" s="94"/>
      <c r="S153" s="94"/>
      <c r="T153" s="95"/>
      <c r="U153" s="341"/>
      <c r="V153" s="94"/>
      <c r="W153" s="94"/>
      <c r="X153" s="95"/>
    </row>
    <row r="154" spans="1:24" s="18" customFormat="1" ht="15" hidden="1" customHeight="1" x14ac:dyDescent="0.25">
      <c r="A154" s="118" t="s">
        <v>255</v>
      </c>
      <c r="B154" s="88" t="s">
        <v>675</v>
      </c>
      <c r="C154" s="626" t="s">
        <v>256</v>
      </c>
      <c r="D154" s="627"/>
      <c r="E154" s="627"/>
      <c r="F154" s="158">
        <v>0</v>
      </c>
      <c r="G154" s="341">
        <v>0</v>
      </c>
      <c r="H154" s="311">
        <v>0</v>
      </c>
      <c r="I154" s="509">
        <v>0</v>
      </c>
      <c r="J154" s="233">
        <f t="shared" si="36"/>
        <v>0</v>
      </c>
      <c r="K154" s="142"/>
      <c r="L154" s="158">
        <f t="shared" si="31"/>
        <v>0</v>
      </c>
      <c r="M154" s="90"/>
      <c r="N154" s="91"/>
      <c r="O154" s="94"/>
      <c r="P154" s="94"/>
      <c r="Q154" s="91"/>
      <c r="R154" s="94"/>
      <c r="S154" s="94"/>
      <c r="T154" s="95"/>
      <c r="U154" s="341"/>
      <c r="V154" s="94"/>
      <c r="W154" s="94"/>
      <c r="X154" s="95"/>
    </row>
    <row r="155" spans="1:24" s="18" customFormat="1" ht="15" hidden="1" customHeight="1" x14ac:dyDescent="0.25">
      <c r="A155" s="118" t="s">
        <v>257</v>
      </c>
      <c r="B155" s="88" t="s">
        <v>676</v>
      </c>
      <c r="C155" s="626" t="s">
        <v>258</v>
      </c>
      <c r="D155" s="627"/>
      <c r="E155" s="627"/>
      <c r="F155" s="158">
        <v>0</v>
      </c>
      <c r="G155" s="341">
        <v>0</v>
      </c>
      <c r="H155" s="311">
        <v>0</v>
      </c>
      <c r="I155" s="509">
        <v>0</v>
      </c>
      <c r="J155" s="233">
        <f t="shared" si="36"/>
        <v>0</v>
      </c>
      <c r="K155" s="142"/>
      <c r="L155" s="158">
        <f t="shared" si="31"/>
        <v>0</v>
      </c>
      <c r="M155" s="90"/>
      <c r="N155" s="91"/>
      <c r="O155" s="94"/>
      <c r="P155" s="94"/>
      <c r="Q155" s="91"/>
      <c r="R155" s="94"/>
      <c r="S155" s="94"/>
      <c r="T155" s="95"/>
      <c r="U155" s="341"/>
      <c r="V155" s="94"/>
      <c r="W155" s="94"/>
      <c r="X155" s="95"/>
    </row>
    <row r="156" spans="1:24" s="18" customFormat="1" ht="15.75" hidden="1" customHeight="1" thickBot="1" x14ac:dyDescent="0.3">
      <c r="A156" s="118" t="s">
        <v>259</v>
      </c>
      <c r="B156" s="117" t="s">
        <v>677</v>
      </c>
      <c r="C156" s="718" t="s">
        <v>260</v>
      </c>
      <c r="D156" s="719"/>
      <c r="E156" s="719"/>
      <c r="F156" s="158">
        <v>0</v>
      </c>
      <c r="G156" s="469">
        <v>0</v>
      </c>
      <c r="H156" s="488">
        <v>0</v>
      </c>
      <c r="I156" s="518">
        <v>0</v>
      </c>
      <c r="J156" s="245">
        <f t="shared" si="36"/>
        <v>0</v>
      </c>
      <c r="K156" s="154"/>
      <c r="L156" s="158">
        <f t="shared" si="31"/>
        <v>0</v>
      </c>
      <c r="M156" s="90"/>
      <c r="N156" s="91"/>
      <c r="O156" s="94"/>
      <c r="P156" s="94"/>
      <c r="Q156" s="91"/>
      <c r="R156" s="94"/>
      <c r="S156" s="94"/>
      <c r="T156" s="95"/>
      <c r="U156" s="341"/>
      <c r="V156" s="94"/>
      <c r="W156" s="94"/>
      <c r="X156" s="95"/>
    </row>
    <row r="157" spans="1:24" ht="15.75" thickBot="1" x14ac:dyDescent="0.3">
      <c r="B157" s="96" t="s">
        <v>261</v>
      </c>
      <c r="C157" s="632" t="s">
        <v>262</v>
      </c>
      <c r="D157" s="633"/>
      <c r="E157" s="633"/>
      <c r="F157" s="156">
        <v>14481909</v>
      </c>
      <c r="G157" s="338">
        <v>14481909</v>
      </c>
      <c r="H157" s="308">
        <v>14481909</v>
      </c>
      <c r="I157" s="506">
        <v>17037540</v>
      </c>
      <c r="J157" s="235">
        <f>J158+J161+J162+J163</f>
        <v>17037540</v>
      </c>
      <c r="K157" s="144">
        <f t="shared" ref="K157:X157" si="37">K158+K161+K162+K163</f>
        <v>0</v>
      </c>
      <c r="L157" s="156">
        <f t="shared" si="31"/>
        <v>17037540</v>
      </c>
      <c r="M157" s="82">
        <f t="shared" si="37"/>
        <v>0</v>
      </c>
      <c r="N157" s="83">
        <f t="shared" si="37"/>
        <v>0</v>
      </c>
      <c r="O157" s="86">
        <f t="shared" si="37"/>
        <v>0</v>
      </c>
      <c r="P157" s="86">
        <f t="shared" si="37"/>
        <v>0</v>
      </c>
      <c r="Q157" s="83">
        <f t="shared" si="37"/>
        <v>0</v>
      </c>
      <c r="R157" s="86">
        <f t="shared" si="37"/>
        <v>0</v>
      </c>
      <c r="S157" s="86">
        <f t="shared" si="37"/>
        <v>0</v>
      </c>
      <c r="T157" s="87">
        <f t="shared" si="37"/>
        <v>0</v>
      </c>
      <c r="U157" s="338">
        <f t="shared" si="37"/>
        <v>11244773</v>
      </c>
      <c r="V157" s="86">
        <f t="shared" si="37"/>
        <v>0</v>
      </c>
      <c r="W157" s="86">
        <f t="shared" si="37"/>
        <v>0</v>
      </c>
      <c r="X157" s="87">
        <f t="shared" si="37"/>
        <v>5792767</v>
      </c>
    </row>
    <row r="158" spans="1:24" s="18" customFormat="1" ht="15" customHeight="1" x14ac:dyDescent="0.25">
      <c r="A158" s="118" t="s">
        <v>263</v>
      </c>
      <c r="B158" s="253" t="s">
        <v>678</v>
      </c>
      <c r="C158" s="720" t="s">
        <v>264</v>
      </c>
      <c r="D158" s="721"/>
      <c r="E158" s="721"/>
      <c r="F158" s="160">
        <v>10571794</v>
      </c>
      <c r="G158" s="472">
        <v>10571794</v>
      </c>
      <c r="H158" s="492">
        <v>10571794</v>
      </c>
      <c r="I158" s="522">
        <v>12437405</v>
      </c>
      <c r="J158" s="440">
        <f t="shared" ref="J158:J165" si="38">SUM(M158:X158)</f>
        <v>12437405</v>
      </c>
      <c r="K158" s="255"/>
      <c r="L158" s="160">
        <f t="shared" si="31"/>
        <v>12437405</v>
      </c>
      <c r="M158" s="257"/>
      <c r="N158" s="258"/>
      <c r="O158" s="259"/>
      <c r="P158" s="259"/>
      <c r="Q158" s="258"/>
      <c r="R158" s="259"/>
      <c r="S158" s="259"/>
      <c r="T158" s="261"/>
      <c r="U158" s="346">
        <f>U159</f>
        <v>8854152</v>
      </c>
      <c r="V158" s="259"/>
      <c r="W158" s="259"/>
      <c r="X158" s="45">
        <f>X159+X160</f>
        <v>3583253</v>
      </c>
    </row>
    <row r="159" spans="1:24" s="18" customFormat="1" ht="15" customHeight="1" x14ac:dyDescent="0.25">
      <c r="A159" s="118"/>
      <c r="B159" s="253"/>
      <c r="C159" s="430"/>
      <c r="D159" s="431" t="s">
        <v>1036</v>
      </c>
      <c r="E159" s="431"/>
      <c r="F159" s="159">
        <v>10571794</v>
      </c>
      <c r="G159" s="468">
        <v>10571794</v>
      </c>
      <c r="H159" s="316">
        <v>10571794</v>
      </c>
      <c r="I159" s="512">
        <v>10571794</v>
      </c>
      <c r="J159" s="296">
        <f t="shared" si="38"/>
        <v>10571794</v>
      </c>
      <c r="K159" s="255"/>
      <c r="L159" s="159">
        <f t="shared" si="31"/>
        <v>10571794</v>
      </c>
      <c r="M159" s="257"/>
      <c r="N159" s="258"/>
      <c r="O159" s="259"/>
      <c r="P159" s="259"/>
      <c r="Q159" s="258"/>
      <c r="R159" s="259"/>
      <c r="S159" s="259"/>
      <c r="T159" s="261"/>
      <c r="U159" s="343">
        <v>8854152</v>
      </c>
      <c r="V159" s="259"/>
      <c r="W159" s="259"/>
      <c r="X159" s="44">
        <f>10571794-8854152</f>
        <v>1717642</v>
      </c>
    </row>
    <row r="160" spans="1:24" s="18" customFormat="1" ht="15" customHeight="1" x14ac:dyDescent="0.25">
      <c r="A160" s="118"/>
      <c r="B160" s="253"/>
      <c r="C160" s="430"/>
      <c r="D160" s="431" t="s">
        <v>1037</v>
      </c>
      <c r="E160" s="431"/>
      <c r="F160" s="159">
        <v>0</v>
      </c>
      <c r="G160" s="468">
        <v>0</v>
      </c>
      <c r="H160" s="316">
        <v>0</v>
      </c>
      <c r="I160" s="512">
        <v>1865611</v>
      </c>
      <c r="J160" s="296">
        <f>SUM(M160:X160)</f>
        <v>1865611</v>
      </c>
      <c r="K160" s="255"/>
      <c r="L160" s="159">
        <f t="shared" si="31"/>
        <v>1865611</v>
      </c>
      <c r="M160" s="260"/>
      <c r="N160" s="258"/>
      <c r="O160" s="259"/>
      <c r="P160" s="259"/>
      <c r="Q160" s="258"/>
      <c r="R160" s="259"/>
      <c r="S160" s="259"/>
      <c r="T160" s="261"/>
      <c r="U160" s="343"/>
      <c r="V160" s="259"/>
      <c r="W160" s="259"/>
      <c r="X160" s="44">
        <v>1865611</v>
      </c>
    </row>
    <row r="161" spans="1:24" s="18" customFormat="1" ht="15" hidden="1" customHeight="1" x14ac:dyDescent="0.25">
      <c r="A161" s="118" t="s">
        <v>265</v>
      </c>
      <c r="B161" s="262" t="s">
        <v>679</v>
      </c>
      <c r="C161" s="712" t="s">
        <v>884</v>
      </c>
      <c r="D161" s="713"/>
      <c r="E161" s="713"/>
      <c r="F161" s="256">
        <v>0</v>
      </c>
      <c r="G161" s="346">
        <v>0</v>
      </c>
      <c r="H161" s="318">
        <v>0</v>
      </c>
      <c r="I161" s="517">
        <v>0</v>
      </c>
      <c r="J161" s="263">
        <f t="shared" si="38"/>
        <v>0</v>
      </c>
      <c r="K161" s="264"/>
      <c r="L161" s="256">
        <f t="shared" si="31"/>
        <v>0</v>
      </c>
      <c r="M161" s="260"/>
      <c r="N161" s="258"/>
      <c r="O161" s="259"/>
      <c r="P161" s="259"/>
      <c r="Q161" s="258"/>
      <c r="R161" s="259"/>
      <c r="S161" s="259"/>
      <c r="T161" s="261"/>
      <c r="U161" s="343"/>
      <c r="V161" s="259"/>
      <c r="W161" s="259"/>
      <c r="X161" s="261"/>
    </row>
    <row r="162" spans="1:24" s="18" customFormat="1" ht="15" hidden="1" customHeight="1" x14ac:dyDescent="0.25">
      <c r="A162" s="118" t="s">
        <v>266</v>
      </c>
      <c r="B162" s="262" t="s">
        <v>680</v>
      </c>
      <c r="C162" s="712" t="s">
        <v>267</v>
      </c>
      <c r="D162" s="713"/>
      <c r="E162" s="713"/>
      <c r="F162" s="256">
        <v>0</v>
      </c>
      <c r="G162" s="346">
        <v>0</v>
      </c>
      <c r="H162" s="318">
        <v>0</v>
      </c>
      <c r="I162" s="517">
        <v>0</v>
      </c>
      <c r="J162" s="263">
        <f t="shared" si="38"/>
        <v>0</v>
      </c>
      <c r="K162" s="264"/>
      <c r="L162" s="256">
        <f t="shared" si="31"/>
        <v>0</v>
      </c>
      <c r="M162" s="260"/>
      <c r="N162" s="258"/>
      <c r="O162" s="259"/>
      <c r="P162" s="259"/>
      <c r="Q162" s="258"/>
      <c r="R162" s="259"/>
      <c r="S162" s="259"/>
      <c r="T162" s="261"/>
      <c r="U162" s="343"/>
      <c r="V162" s="259"/>
      <c r="W162" s="259"/>
      <c r="X162" s="261"/>
    </row>
    <row r="163" spans="1:24" s="18" customFormat="1" ht="15.75" customHeight="1" x14ac:dyDescent="0.25">
      <c r="A163" s="118" t="s">
        <v>268</v>
      </c>
      <c r="B163" s="262" t="s">
        <v>681</v>
      </c>
      <c r="C163" s="735" t="s">
        <v>366</v>
      </c>
      <c r="D163" s="735"/>
      <c r="E163" s="712"/>
      <c r="F163" s="160">
        <v>3910115</v>
      </c>
      <c r="G163" s="342">
        <v>3910115</v>
      </c>
      <c r="H163" s="312">
        <v>3910115</v>
      </c>
      <c r="I163" s="510">
        <v>4600135</v>
      </c>
      <c r="J163" s="239">
        <f t="shared" si="38"/>
        <v>4600135</v>
      </c>
      <c r="K163" s="264"/>
      <c r="L163" s="160">
        <f t="shared" si="31"/>
        <v>4600135</v>
      </c>
      <c r="M163" s="260"/>
      <c r="N163" s="258"/>
      <c r="O163" s="259"/>
      <c r="P163" s="259"/>
      <c r="Q163" s="258"/>
      <c r="R163" s="259"/>
      <c r="S163" s="259"/>
      <c r="T163" s="261"/>
      <c r="U163" s="260">
        <f>U164</f>
        <v>2390621</v>
      </c>
      <c r="V163" s="258"/>
      <c r="W163" s="258"/>
      <c r="X163" s="45">
        <f>X164+X165</f>
        <v>2209514</v>
      </c>
    </row>
    <row r="164" spans="1:24" s="18" customFormat="1" ht="15.75" customHeight="1" x14ac:dyDescent="0.25">
      <c r="A164" s="118"/>
      <c r="B164" s="262"/>
      <c r="C164" s="432"/>
      <c r="D164" s="433" t="s">
        <v>1036</v>
      </c>
      <c r="E164" s="228"/>
      <c r="F164" s="159">
        <v>3910115</v>
      </c>
      <c r="G164" s="343">
        <v>3910115</v>
      </c>
      <c r="H164" s="313">
        <v>3910115</v>
      </c>
      <c r="I164" s="513">
        <v>3910115</v>
      </c>
      <c r="J164" s="232">
        <f t="shared" si="38"/>
        <v>3910115</v>
      </c>
      <c r="K164" s="264"/>
      <c r="L164" s="159">
        <f t="shared" si="31"/>
        <v>3910115</v>
      </c>
      <c r="M164" s="260"/>
      <c r="N164" s="258"/>
      <c r="O164" s="259"/>
      <c r="P164" s="259"/>
      <c r="Q164" s="258"/>
      <c r="R164" s="259"/>
      <c r="S164" s="259"/>
      <c r="T164" s="261"/>
      <c r="U164" s="42">
        <v>2390621</v>
      </c>
      <c r="V164" s="258"/>
      <c r="W164" s="258"/>
      <c r="X164" s="44">
        <f>3910115-2390621</f>
        <v>1519494</v>
      </c>
    </row>
    <row r="165" spans="1:24" s="18" customFormat="1" ht="15.75" customHeight="1" thickBot="1" x14ac:dyDescent="0.3">
      <c r="A165" s="118"/>
      <c r="B165" s="371"/>
      <c r="C165" s="434"/>
      <c r="D165" s="435" t="s">
        <v>1037</v>
      </c>
      <c r="E165" s="439"/>
      <c r="F165" s="159">
        <v>0</v>
      </c>
      <c r="G165" s="343">
        <v>0</v>
      </c>
      <c r="H165" s="313">
        <v>0</v>
      </c>
      <c r="I165" s="513">
        <v>690020</v>
      </c>
      <c r="J165" s="232">
        <f t="shared" si="38"/>
        <v>690020</v>
      </c>
      <c r="K165" s="437"/>
      <c r="L165" s="159">
        <f t="shared" si="31"/>
        <v>690020</v>
      </c>
      <c r="M165" s="438"/>
      <c r="N165" s="436"/>
      <c r="O165" s="414"/>
      <c r="P165" s="414"/>
      <c r="Q165" s="436"/>
      <c r="R165" s="414"/>
      <c r="S165" s="414"/>
      <c r="T165" s="387"/>
      <c r="U165" s="289"/>
      <c r="V165" s="436"/>
      <c r="W165" s="436"/>
      <c r="X165" s="290">
        <v>690020</v>
      </c>
    </row>
    <row r="166" spans="1:24" ht="15.75" thickBot="1" x14ac:dyDescent="0.3">
      <c r="B166" s="96" t="s">
        <v>269</v>
      </c>
      <c r="C166" s="632" t="s">
        <v>270</v>
      </c>
      <c r="D166" s="633"/>
      <c r="E166" s="633"/>
      <c r="F166" s="156">
        <v>0</v>
      </c>
      <c r="G166" s="338">
        <v>0</v>
      </c>
      <c r="H166" s="308">
        <v>0</v>
      </c>
      <c r="I166" s="506">
        <v>0</v>
      </c>
      <c r="J166" s="235">
        <f>J167+J168+J179+J190+J201+J204+J216+J217+J218</f>
        <v>0</v>
      </c>
      <c r="K166" s="144">
        <f t="shared" ref="K166:X166" si="39">K167+K168+K179+K190+K201+K204+K216+K217+K218</f>
        <v>0</v>
      </c>
      <c r="L166" s="156">
        <f t="shared" si="31"/>
        <v>0</v>
      </c>
      <c r="M166" s="85">
        <f t="shared" si="39"/>
        <v>0</v>
      </c>
      <c r="N166" s="83">
        <f t="shared" si="39"/>
        <v>0</v>
      </c>
      <c r="O166" s="86">
        <f t="shared" si="39"/>
        <v>0</v>
      </c>
      <c r="P166" s="86">
        <f t="shared" si="39"/>
        <v>0</v>
      </c>
      <c r="Q166" s="83">
        <f t="shared" si="39"/>
        <v>0</v>
      </c>
      <c r="R166" s="86">
        <f t="shared" si="39"/>
        <v>0</v>
      </c>
      <c r="S166" s="86">
        <f t="shared" si="39"/>
        <v>0</v>
      </c>
      <c r="T166" s="87">
        <f t="shared" si="39"/>
        <v>0</v>
      </c>
      <c r="U166" s="338">
        <f t="shared" si="39"/>
        <v>0</v>
      </c>
      <c r="V166" s="86">
        <f t="shared" si="39"/>
        <v>0</v>
      </c>
      <c r="W166" s="86">
        <f t="shared" si="39"/>
        <v>0</v>
      </c>
      <c r="X166" s="87">
        <f t="shared" si="39"/>
        <v>0</v>
      </c>
    </row>
    <row r="167" spans="1:24" s="18" customFormat="1" ht="25.5" hidden="1" customHeight="1" x14ac:dyDescent="0.25">
      <c r="A167" s="118" t="s">
        <v>271</v>
      </c>
      <c r="B167" s="88" t="s">
        <v>682</v>
      </c>
      <c r="C167" s="646" t="s">
        <v>367</v>
      </c>
      <c r="D167" s="647"/>
      <c r="E167" s="647"/>
      <c r="F167" s="158">
        <v>0</v>
      </c>
      <c r="G167" s="341">
        <v>0</v>
      </c>
      <c r="H167" s="311">
        <v>0</v>
      </c>
      <c r="I167" s="509">
        <v>0</v>
      </c>
      <c r="J167" s="246">
        <f>SUM(M167:X167)</f>
        <v>0</v>
      </c>
      <c r="K167" s="155"/>
      <c r="L167" s="158">
        <f t="shared" si="31"/>
        <v>0</v>
      </c>
      <c r="M167" s="90"/>
      <c r="N167" s="91"/>
      <c r="O167" s="94"/>
      <c r="P167" s="94"/>
      <c r="Q167" s="91"/>
      <c r="R167" s="94"/>
      <c r="S167" s="94"/>
      <c r="T167" s="95"/>
      <c r="U167" s="341"/>
      <c r="V167" s="94"/>
      <c r="W167" s="94"/>
      <c r="X167" s="95"/>
    </row>
    <row r="168" spans="1:24" s="18" customFormat="1" ht="16.350000000000001" hidden="1" customHeight="1" x14ac:dyDescent="0.25">
      <c r="A168" s="118" t="s">
        <v>272</v>
      </c>
      <c r="B168" s="88" t="s">
        <v>683</v>
      </c>
      <c r="C168" s="716" t="s">
        <v>811</v>
      </c>
      <c r="D168" s="717"/>
      <c r="E168" s="717"/>
      <c r="F168" s="158">
        <v>0</v>
      </c>
      <c r="G168" s="341">
        <v>0</v>
      </c>
      <c r="H168" s="311">
        <v>0</v>
      </c>
      <c r="I168" s="509">
        <v>0</v>
      </c>
      <c r="J168" s="246">
        <f>J169+J170+J171+J172+J173+J174+J175+J176+J177+J178</f>
        <v>0</v>
      </c>
      <c r="K168" s="155">
        <f t="shared" ref="K168:X168" si="40">K169+K170+K171+K172+K173+K174+K175+K176+K177+K178</f>
        <v>0</v>
      </c>
      <c r="L168" s="158">
        <f t="shared" si="31"/>
        <v>0</v>
      </c>
      <c r="M168" s="90">
        <f t="shared" si="40"/>
        <v>0</v>
      </c>
      <c r="N168" s="91">
        <f t="shared" si="40"/>
        <v>0</v>
      </c>
      <c r="O168" s="94">
        <f t="shared" si="40"/>
        <v>0</v>
      </c>
      <c r="P168" s="94">
        <f t="shared" si="40"/>
        <v>0</v>
      </c>
      <c r="Q168" s="91">
        <f t="shared" si="40"/>
        <v>0</v>
      </c>
      <c r="R168" s="94">
        <f t="shared" si="40"/>
        <v>0</v>
      </c>
      <c r="S168" s="94">
        <f t="shared" si="40"/>
        <v>0</v>
      </c>
      <c r="T168" s="95">
        <f t="shared" si="40"/>
        <v>0</v>
      </c>
      <c r="U168" s="341">
        <f t="shared" si="40"/>
        <v>0</v>
      </c>
      <c r="V168" s="94">
        <f t="shared" si="40"/>
        <v>0</v>
      </c>
      <c r="W168" s="94">
        <f t="shared" si="40"/>
        <v>0</v>
      </c>
      <c r="X168" s="95">
        <f t="shared" si="40"/>
        <v>0</v>
      </c>
    </row>
    <row r="169" spans="1:24" ht="15" hidden="1" customHeight="1" x14ac:dyDescent="0.25">
      <c r="B169" s="54"/>
      <c r="C169" s="2"/>
      <c r="D169" s="624" t="s">
        <v>812</v>
      </c>
      <c r="E169" s="624"/>
      <c r="F169" s="159">
        <v>0</v>
      </c>
      <c r="G169" s="343">
        <v>0</v>
      </c>
      <c r="H169" s="313">
        <v>0</v>
      </c>
      <c r="I169" s="513">
        <v>0</v>
      </c>
      <c r="J169" s="232">
        <f t="shared" ref="J169:J178" si="41">SUM(M169:X169)</f>
        <v>0</v>
      </c>
      <c r="K169" s="141"/>
      <c r="L169" s="159">
        <f t="shared" si="31"/>
        <v>0</v>
      </c>
      <c r="M169" s="72"/>
      <c r="N169" s="1"/>
      <c r="O169" s="78"/>
      <c r="P169" s="78"/>
      <c r="Q169" s="1"/>
      <c r="R169" s="78"/>
      <c r="S169" s="78"/>
      <c r="T169" s="44"/>
      <c r="U169" s="343"/>
      <c r="V169" s="78"/>
      <c r="W169" s="78"/>
      <c r="X169" s="44"/>
    </row>
    <row r="170" spans="1:24" ht="15" hidden="1" customHeight="1" x14ac:dyDescent="0.25">
      <c r="B170" s="54"/>
      <c r="C170" s="2"/>
      <c r="D170" s="624" t="s">
        <v>813</v>
      </c>
      <c r="E170" s="624"/>
      <c r="F170" s="159">
        <v>0</v>
      </c>
      <c r="G170" s="343">
        <v>0</v>
      </c>
      <c r="H170" s="313">
        <v>0</v>
      </c>
      <c r="I170" s="513">
        <v>0</v>
      </c>
      <c r="J170" s="232">
        <f t="shared" si="41"/>
        <v>0</v>
      </c>
      <c r="K170" s="141"/>
      <c r="L170" s="159">
        <f t="shared" si="31"/>
        <v>0</v>
      </c>
      <c r="M170" s="72"/>
      <c r="N170" s="1"/>
      <c r="O170" s="78"/>
      <c r="P170" s="78"/>
      <c r="Q170" s="1"/>
      <c r="R170" s="78"/>
      <c r="S170" s="78"/>
      <c r="T170" s="44"/>
      <c r="U170" s="343"/>
      <c r="V170" s="78"/>
      <c r="W170" s="78"/>
      <c r="X170" s="44"/>
    </row>
    <row r="171" spans="1:24" ht="15" hidden="1" customHeight="1" x14ac:dyDescent="0.25">
      <c r="B171" s="54"/>
      <c r="C171" s="2"/>
      <c r="D171" s="624" t="s">
        <v>545</v>
      </c>
      <c r="E171" s="624"/>
      <c r="F171" s="159">
        <v>0</v>
      </c>
      <c r="G171" s="343">
        <v>0</v>
      </c>
      <c r="H171" s="313">
        <v>0</v>
      </c>
      <c r="I171" s="513">
        <v>0</v>
      </c>
      <c r="J171" s="232">
        <f t="shared" si="41"/>
        <v>0</v>
      </c>
      <c r="K171" s="141"/>
      <c r="L171" s="159">
        <f t="shared" si="31"/>
        <v>0</v>
      </c>
      <c r="M171" s="72"/>
      <c r="N171" s="1"/>
      <c r="O171" s="78"/>
      <c r="P171" s="78"/>
      <c r="Q171" s="1"/>
      <c r="R171" s="78"/>
      <c r="S171" s="78"/>
      <c r="T171" s="44"/>
      <c r="U171" s="343"/>
      <c r="V171" s="78"/>
      <c r="W171" s="78"/>
      <c r="X171" s="44"/>
    </row>
    <row r="172" spans="1:24" ht="25.5" hidden="1" customHeight="1" x14ac:dyDescent="0.25">
      <c r="B172" s="54"/>
      <c r="C172" s="2"/>
      <c r="D172" s="625" t="s">
        <v>548</v>
      </c>
      <c r="E172" s="625"/>
      <c r="F172" s="159">
        <v>0</v>
      </c>
      <c r="G172" s="343">
        <v>0</v>
      </c>
      <c r="H172" s="313">
        <v>0</v>
      </c>
      <c r="I172" s="513">
        <v>0</v>
      </c>
      <c r="J172" s="242">
        <f t="shared" si="41"/>
        <v>0</v>
      </c>
      <c r="K172" s="151"/>
      <c r="L172" s="159">
        <f t="shared" si="31"/>
        <v>0</v>
      </c>
      <c r="M172" s="72"/>
      <c r="N172" s="1"/>
      <c r="O172" s="78"/>
      <c r="P172" s="78"/>
      <c r="Q172" s="1"/>
      <c r="R172" s="78"/>
      <c r="S172" s="78"/>
      <c r="T172" s="44"/>
      <c r="U172" s="343"/>
      <c r="V172" s="78"/>
      <c r="W172" s="78"/>
      <c r="X172" s="44"/>
    </row>
    <row r="173" spans="1:24" ht="15" hidden="1" customHeight="1" x14ac:dyDescent="0.25">
      <c r="B173" s="54"/>
      <c r="C173" s="2"/>
      <c r="D173" s="624" t="s">
        <v>550</v>
      </c>
      <c r="E173" s="624"/>
      <c r="F173" s="159">
        <v>0</v>
      </c>
      <c r="G173" s="343">
        <v>0</v>
      </c>
      <c r="H173" s="313">
        <v>0</v>
      </c>
      <c r="I173" s="513">
        <v>0</v>
      </c>
      <c r="J173" s="232">
        <f t="shared" si="41"/>
        <v>0</v>
      </c>
      <c r="K173" s="141"/>
      <c r="L173" s="159">
        <f t="shared" si="31"/>
        <v>0</v>
      </c>
      <c r="M173" s="72"/>
      <c r="N173" s="1"/>
      <c r="O173" s="78"/>
      <c r="P173" s="78"/>
      <c r="Q173" s="1"/>
      <c r="R173" s="78"/>
      <c r="S173" s="78"/>
      <c r="T173" s="44"/>
      <c r="U173" s="343"/>
      <c r="V173" s="78"/>
      <c r="W173" s="78"/>
      <c r="X173" s="44"/>
    </row>
    <row r="174" spans="1:24" ht="15" hidden="1" customHeight="1" x14ac:dyDescent="0.25">
      <c r="B174" s="54"/>
      <c r="C174" s="2"/>
      <c r="D174" s="624" t="s">
        <v>551</v>
      </c>
      <c r="E174" s="624"/>
      <c r="F174" s="159">
        <v>0</v>
      </c>
      <c r="G174" s="343">
        <v>0</v>
      </c>
      <c r="H174" s="313">
        <v>0</v>
      </c>
      <c r="I174" s="513">
        <v>0</v>
      </c>
      <c r="J174" s="232">
        <f t="shared" si="41"/>
        <v>0</v>
      </c>
      <c r="K174" s="141"/>
      <c r="L174" s="159">
        <f t="shared" si="31"/>
        <v>0</v>
      </c>
      <c r="M174" s="72"/>
      <c r="N174" s="1"/>
      <c r="O174" s="78"/>
      <c r="P174" s="78"/>
      <c r="Q174" s="1"/>
      <c r="R174" s="78"/>
      <c r="S174" s="78"/>
      <c r="T174" s="44"/>
      <c r="U174" s="343"/>
      <c r="V174" s="78"/>
      <c r="W174" s="78"/>
      <c r="X174" s="44"/>
    </row>
    <row r="175" spans="1:24" ht="25.5" hidden="1" customHeight="1" x14ac:dyDescent="0.25">
      <c r="B175" s="54"/>
      <c r="C175" s="2"/>
      <c r="D175" s="625" t="s">
        <v>555</v>
      </c>
      <c r="E175" s="625"/>
      <c r="F175" s="159">
        <v>0</v>
      </c>
      <c r="G175" s="343">
        <v>0</v>
      </c>
      <c r="H175" s="313">
        <v>0</v>
      </c>
      <c r="I175" s="513">
        <v>0</v>
      </c>
      <c r="J175" s="242">
        <f t="shared" si="41"/>
        <v>0</v>
      </c>
      <c r="K175" s="151"/>
      <c r="L175" s="159">
        <f t="shared" si="31"/>
        <v>0</v>
      </c>
      <c r="M175" s="72"/>
      <c r="N175" s="1"/>
      <c r="O175" s="78"/>
      <c r="P175" s="78"/>
      <c r="Q175" s="1"/>
      <c r="R175" s="78"/>
      <c r="S175" s="78"/>
      <c r="T175" s="44"/>
      <c r="U175" s="343"/>
      <c r="V175" s="78"/>
      <c r="W175" s="78"/>
      <c r="X175" s="44"/>
    </row>
    <row r="176" spans="1:24" ht="25.5" hidden="1" customHeight="1" x14ac:dyDescent="0.25">
      <c r="B176" s="54"/>
      <c r="C176" s="2"/>
      <c r="D176" s="625" t="s">
        <v>558</v>
      </c>
      <c r="E176" s="625"/>
      <c r="F176" s="159">
        <v>0</v>
      </c>
      <c r="G176" s="343">
        <v>0</v>
      </c>
      <c r="H176" s="313">
        <v>0</v>
      </c>
      <c r="I176" s="513">
        <v>0</v>
      </c>
      <c r="J176" s="242">
        <f t="shared" si="41"/>
        <v>0</v>
      </c>
      <c r="K176" s="151"/>
      <c r="L176" s="159">
        <f t="shared" si="31"/>
        <v>0</v>
      </c>
      <c r="M176" s="72"/>
      <c r="N176" s="1"/>
      <c r="O176" s="78"/>
      <c r="P176" s="78"/>
      <c r="Q176" s="1"/>
      <c r="R176" s="78"/>
      <c r="S176" s="78"/>
      <c r="T176" s="44"/>
      <c r="U176" s="343"/>
      <c r="V176" s="78"/>
      <c r="W176" s="78"/>
      <c r="X176" s="44"/>
    </row>
    <row r="177" spans="1:24" ht="25.5" hidden="1" customHeight="1" x14ac:dyDescent="0.25">
      <c r="B177" s="54"/>
      <c r="C177" s="2"/>
      <c r="D177" s="625" t="s">
        <v>560</v>
      </c>
      <c r="E177" s="625"/>
      <c r="F177" s="159">
        <v>0</v>
      </c>
      <c r="G177" s="343">
        <v>0</v>
      </c>
      <c r="H177" s="313">
        <v>0</v>
      </c>
      <c r="I177" s="513">
        <v>0</v>
      </c>
      <c r="J177" s="242">
        <f t="shared" si="41"/>
        <v>0</v>
      </c>
      <c r="K177" s="151"/>
      <c r="L177" s="159">
        <f t="shared" si="31"/>
        <v>0</v>
      </c>
      <c r="M177" s="72"/>
      <c r="N177" s="1"/>
      <c r="O177" s="78"/>
      <c r="P177" s="78"/>
      <c r="Q177" s="1"/>
      <c r="R177" s="78"/>
      <c r="S177" s="78"/>
      <c r="T177" s="44"/>
      <c r="U177" s="343"/>
      <c r="V177" s="78"/>
      <c r="W177" s="78"/>
      <c r="X177" s="44"/>
    </row>
    <row r="178" spans="1:24" ht="25.5" hidden="1" customHeight="1" x14ac:dyDescent="0.25">
      <c r="B178" s="54"/>
      <c r="C178" s="2"/>
      <c r="D178" s="625" t="s">
        <v>563</v>
      </c>
      <c r="E178" s="625"/>
      <c r="F178" s="159">
        <v>0</v>
      </c>
      <c r="G178" s="343">
        <v>0</v>
      </c>
      <c r="H178" s="313">
        <v>0</v>
      </c>
      <c r="I178" s="513">
        <v>0</v>
      </c>
      <c r="J178" s="242">
        <f t="shared" si="41"/>
        <v>0</v>
      </c>
      <c r="K178" s="151"/>
      <c r="L178" s="159">
        <f t="shared" si="31"/>
        <v>0</v>
      </c>
      <c r="M178" s="72"/>
      <c r="N178" s="1"/>
      <c r="O178" s="78"/>
      <c r="P178" s="78"/>
      <c r="Q178" s="1"/>
      <c r="R178" s="78"/>
      <c r="S178" s="78"/>
      <c r="T178" s="44"/>
      <c r="U178" s="343"/>
      <c r="V178" s="78"/>
      <c r="W178" s="78"/>
      <c r="X178" s="44"/>
    </row>
    <row r="179" spans="1:24" s="18" customFormat="1" ht="25.5" hidden="1" customHeight="1" x14ac:dyDescent="0.25">
      <c r="A179" s="121" t="s">
        <v>273</v>
      </c>
      <c r="B179" s="88" t="s">
        <v>684</v>
      </c>
      <c r="C179" s="716" t="s">
        <v>605</v>
      </c>
      <c r="D179" s="717"/>
      <c r="E179" s="717"/>
      <c r="F179" s="158">
        <v>0</v>
      </c>
      <c r="G179" s="341">
        <v>0</v>
      </c>
      <c r="H179" s="311">
        <v>0</v>
      </c>
      <c r="I179" s="509">
        <v>0</v>
      </c>
      <c r="J179" s="246">
        <f>J180+J181+J182+J183+J184+J185+J186+J187+J188+J189</f>
        <v>0</v>
      </c>
      <c r="K179" s="155">
        <f t="shared" ref="K179:X179" si="42">K180+K181+K182+K183+K184+K185+K186+K187+K188+K189</f>
        <v>0</v>
      </c>
      <c r="L179" s="158">
        <f t="shared" si="31"/>
        <v>0</v>
      </c>
      <c r="M179" s="90">
        <f t="shared" si="42"/>
        <v>0</v>
      </c>
      <c r="N179" s="91">
        <f t="shared" si="42"/>
        <v>0</v>
      </c>
      <c r="O179" s="94">
        <f t="shared" si="42"/>
        <v>0</v>
      </c>
      <c r="P179" s="94">
        <f t="shared" si="42"/>
        <v>0</v>
      </c>
      <c r="Q179" s="91">
        <f t="shared" si="42"/>
        <v>0</v>
      </c>
      <c r="R179" s="94">
        <f t="shared" si="42"/>
        <v>0</v>
      </c>
      <c r="S179" s="94">
        <f t="shared" si="42"/>
        <v>0</v>
      </c>
      <c r="T179" s="95">
        <f t="shared" si="42"/>
        <v>0</v>
      </c>
      <c r="U179" s="341">
        <f t="shared" si="42"/>
        <v>0</v>
      </c>
      <c r="V179" s="94">
        <f t="shared" si="42"/>
        <v>0</v>
      </c>
      <c r="W179" s="94">
        <f t="shared" si="42"/>
        <v>0</v>
      </c>
      <c r="X179" s="95">
        <f t="shared" si="42"/>
        <v>0</v>
      </c>
    </row>
    <row r="180" spans="1:24" ht="15" hidden="1" customHeight="1" x14ac:dyDescent="0.25">
      <c r="B180" s="54"/>
      <c r="C180" s="2"/>
      <c r="D180" s="624" t="s">
        <v>814</v>
      </c>
      <c r="E180" s="624"/>
      <c r="F180" s="159">
        <v>0</v>
      </c>
      <c r="G180" s="343">
        <v>0</v>
      </c>
      <c r="H180" s="313">
        <v>0</v>
      </c>
      <c r="I180" s="513">
        <v>0</v>
      </c>
      <c r="J180" s="232">
        <f t="shared" ref="J180:J189" si="43">SUM(M180:X180)</f>
        <v>0</v>
      </c>
      <c r="K180" s="141"/>
      <c r="L180" s="159">
        <f t="shared" si="31"/>
        <v>0</v>
      </c>
      <c r="M180" s="72"/>
      <c r="N180" s="1"/>
      <c r="O180" s="78"/>
      <c r="P180" s="78"/>
      <c r="Q180" s="1"/>
      <c r="R180" s="78"/>
      <c r="S180" s="78"/>
      <c r="T180" s="44"/>
      <c r="U180" s="343"/>
      <c r="V180" s="78"/>
      <c r="W180" s="78"/>
      <c r="X180" s="44"/>
    </row>
    <row r="181" spans="1:24" ht="15" hidden="1" customHeight="1" x14ac:dyDescent="0.25">
      <c r="B181" s="54"/>
      <c r="C181" s="2"/>
      <c r="D181" s="624" t="s">
        <v>815</v>
      </c>
      <c r="E181" s="624"/>
      <c r="F181" s="159">
        <v>0</v>
      </c>
      <c r="G181" s="343">
        <v>0</v>
      </c>
      <c r="H181" s="313">
        <v>0</v>
      </c>
      <c r="I181" s="513">
        <v>0</v>
      </c>
      <c r="J181" s="232">
        <f t="shared" si="43"/>
        <v>0</v>
      </c>
      <c r="K181" s="141"/>
      <c r="L181" s="159">
        <f t="shared" si="31"/>
        <v>0</v>
      </c>
      <c r="M181" s="72"/>
      <c r="N181" s="1"/>
      <c r="O181" s="78"/>
      <c r="P181" s="78"/>
      <c r="Q181" s="1"/>
      <c r="R181" s="78"/>
      <c r="S181" s="78"/>
      <c r="T181" s="44"/>
      <c r="U181" s="343"/>
      <c r="V181" s="78"/>
      <c r="W181" s="78"/>
      <c r="X181" s="44"/>
    </row>
    <row r="182" spans="1:24" ht="15" hidden="1" customHeight="1" x14ac:dyDescent="0.25">
      <c r="B182" s="54"/>
      <c r="C182" s="2"/>
      <c r="D182" s="624" t="s">
        <v>546</v>
      </c>
      <c r="E182" s="624"/>
      <c r="F182" s="159">
        <v>0</v>
      </c>
      <c r="G182" s="343">
        <v>0</v>
      </c>
      <c r="H182" s="313">
        <v>0</v>
      </c>
      <c r="I182" s="513">
        <v>0</v>
      </c>
      <c r="J182" s="232">
        <f t="shared" si="43"/>
        <v>0</v>
      </c>
      <c r="K182" s="141"/>
      <c r="L182" s="159">
        <f t="shared" si="31"/>
        <v>0</v>
      </c>
      <c r="M182" s="72"/>
      <c r="N182" s="1"/>
      <c r="O182" s="78"/>
      <c r="P182" s="78"/>
      <c r="Q182" s="1"/>
      <c r="R182" s="78"/>
      <c r="S182" s="78"/>
      <c r="T182" s="44"/>
      <c r="U182" s="343"/>
      <c r="V182" s="78"/>
      <c r="W182" s="78"/>
      <c r="X182" s="44"/>
    </row>
    <row r="183" spans="1:24" ht="25.5" hidden="1" customHeight="1" x14ac:dyDescent="0.25">
      <c r="B183" s="54"/>
      <c r="C183" s="2"/>
      <c r="D183" s="625" t="s">
        <v>549</v>
      </c>
      <c r="E183" s="625"/>
      <c r="F183" s="159">
        <v>0</v>
      </c>
      <c r="G183" s="343">
        <v>0</v>
      </c>
      <c r="H183" s="313">
        <v>0</v>
      </c>
      <c r="I183" s="513">
        <v>0</v>
      </c>
      <c r="J183" s="242">
        <f t="shared" si="43"/>
        <v>0</v>
      </c>
      <c r="K183" s="151"/>
      <c r="L183" s="159">
        <f t="shared" si="31"/>
        <v>0</v>
      </c>
      <c r="M183" s="72"/>
      <c r="N183" s="1"/>
      <c r="O183" s="78"/>
      <c r="P183" s="78"/>
      <c r="Q183" s="1"/>
      <c r="R183" s="78"/>
      <c r="S183" s="78"/>
      <c r="T183" s="44"/>
      <c r="U183" s="343"/>
      <c r="V183" s="78"/>
      <c r="W183" s="78"/>
      <c r="X183" s="44"/>
    </row>
    <row r="184" spans="1:24" ht="15" hidden="1" customHeight="1" x14ac:dyDescent="0.25">
      <c r="B184" s="54"/>
      <c r="C184" s="2"/>
      <c r="D184" s="624" t="s">
        <v>552</v>
      </c>
      <c r="E184" s="624"/>
      <c r="F184" s="159">
        <v>0</v>
      </c>
      <c r="G184" s="343">
        <v>0</v>
      </c>
      <c r="H184" s="313">
        <v>0</v>
      </c>
      <c r="I184" s="513">
        <v>0</v>
      </c>
      <c r="J184" s="232">
        <f t="shared" si="43"/>
        <v>0</v>
      </c>
      <c r="K184" s="141"/>
      <c r="L184" s="159">
        <f t="shared" si="31"/>
        <v>0</v>
      </c>
      <c r="M184" s="72"/>
      <c r="N184" s="1"/>
      <c r="O184" s="78"/>
      <c r="P184" s="78"/>
      <c r="Q184" s="1"/>
      <c r="R184" s="78"/>
      <c r="S184" s="78"/>
      <c r="T184" s="44"/>
      <c r="U184" s="343"/>
      <c r="V184" s="78"/>
      <c r="W184" s="78"/>
      <c r="X184" s="44"/>
    </row>
    <row r="185" spans="1:24" ht="15" hidden="1" customHeight="1" x14ac:dyDescent="0.25">
      <c r="B185" s="54"/>
      <c r="C185" s="2"/>
      <c r="D185" s="624" t="s">
        <v>816</v>
      </c>
      <c r="E185" s="624"/>
      <c r="F185" s="159">
        <v>0</v>
      </c>
      <c r="G185" s="343">
        <v>0</v>
      </c>
      <c r="H185" s="313">
        <v>0</v>
      </c>
      <c r="I185" s="513">
        <v>0</v>
      </c>
      <c r="J185" s="232">
        <f t="shared" si="43"/>
        <v>0</v>
      </c>
      <c r="K185" s="141"/>
      <c r="L185" s="159">
        <f t="shared" si="31"/>
        <v>0</v>
      </c>
      <c r="M185" s="72"/>
      <c r="N185" s="1"/>
      <c r="O185" s="78"/>
      <c r="P185" s="78"/>
      <c r="Q185" s="1"/>
      <c r="R185" s="78"/>
      <c r="S185" s="78"/>
      <c r="T185" s="44"/>
      <c r="U185" s="343"/>
      <c r="V185" s="78"/>
      <c r="W185" s="78"/>
      <c r="X185" s="44"/>
    </row>
    <row r="186" spans="1:24" ht="25.5" hidden="1" customHeight="1" x14ac:dyDescent="0.25">
      <c r="B186" s="54"/>
      <c r="C186" s="2"/>
      <c r="D186" s="625" t="s">
        <v>556</v>
      </c>
      <c r="E186" s="625"/>
      <c r="F186" s="159">
        <v>0</v>
      </c>
      <c r="G186" s="343">
        <v>0</v>
      </c>
      <c r="H186" s="313">
        <v>0</v>
      </c>
      <c r="I186" s="513">
        <v>0</v>
      </c>
      <c r="J186" s="242">
        <f t="shared" si="43"/>
        <v>0</v>
      </c>
      <c r="K186" s="151"/>
      <c r="L186" s="159">
        <f t="shared" si="31"/>
        <v>0</v>
      </c>
      <c r="M186" s="72"/>
      <c r="N186" s="1"/>
      <c r="O186" s="78"/>
      <c r="P186" s="78"/>
      <c r="Q186" s="1"/>
      <c r="R186" s="78"/>
      <c r="S186" s="78"/>
      <c r="T186" s="44"/>
      <c r="U186" s="343"/>
      <c r="V186" s="78"/>
      <c r="W186" s="78"/>
      <c r="X186" s="44"/>
    </row>
    <row r="187" spans="1:24" ht="25.5" hidden="1" customHeight="1" x14ac:dyDescent="0.25">
      <c r="B187" s="54"/>
      <c r="C187" s="2"/>
      <c r="D187" s="625" t="s">
        <v>559</v>
      </c>
      <c r="E187" s="625"/>
      <c r="F187" s="159">
        <v>0</v>
      </c>
      <c r="G187" s="343">
        <v>0</v>
      </c>
      <c r="H187" s="313">
        <v>0</v>
      </c>
      <c r="I187" s="513">
        <v>0</v>
      </c>
      <c r="J187" s="242">
        <f t="shared" si="43"/>
        <v>0</v>
      </c>
      <c r="K187" s="151"/>
      <c r="L187" s="159">
        <f t="shared" si="31"/>
        <v>0</v>
      </c>
      <c r="M187" s="72"/>
      <c r="N187" s="1"/>
      <c r="O187" s="78"/>
      <c r="P187" s="78"/>
      <c r="Q187" s="1"/>
      <c r="R187" s="78"/>
      <c r="S187" s="78"/>
      <c r="T187" s="44"/>
      <c r="U187" s="343"/>
      <c r="V187" s="78"/>
      <c r="W187" s="78"/>
      <c r="X187" s="44"/>
    </row>
    <row r="188" spans="1:24" ht="25.5" hidden="1" customHeight="1" x14ac:dyDescent="0.25">
      <c r="B188" s="54"/>
      <c r="C188" s="2"/>
      <c r="D188" s="625" t="s">
        <v>561</v>
      </c>
      <c r="E188" s="625"/>
      <c r="F188" s="159">
        <v>0</v>
      </c>
      <c r="G188" s="343">
        <v>0</v>
      </c>
      <c r="H188" s="313">
        <v>0</v>
      </c>
      <c r="I188" s="513">
        <v>0</v>
      </c>
      <c r="J188" s="242">
        <f t="shared" si="43"/>
        <v>0</v>
      </c>
      <c r="K188" s="151"/>
      <c r="L188" s="159">
        <f t="shared" si="31"/>
        <v>0</v>
      </c>
      <c r="M188" s="72"/>
      <c r="N188" s="1"/>
      <c r="O188" s="78"/>
      <c r="P188" s="78"/>
      <c r="Q188" s="1"/>
      <c r="R188" s="78"/>
      <c r="S188" s="78"/>
      <c r="T188" s="44"/>
      <c r="U188" s="343"/>
      <c r="V188" s="78"/>
      <c r="W188" s="78"/>
      <c r="X188" s="44"/>
    </row>
    <row r="189" spans="1:24" ht="25.5" hidden="1" customHeight="1" x14ac:dyDescent="0.25">
      <c r="B189" s="54"/>
      <c r="C189" s="2"/>
      <c r="D189" s="625" t="s">
        <v>564</v>
      </c>
      <c r="E189" s="625"/>
      <c r="F189" s="159">
        <v>0</v>
      </c>
      <c r="G189" s="343">
        <v>0</v>
      </c>
      <c r="H189" s="313">
        <v>0</v>
      </c>
      <c r="I189" s="513">
        <v>0</v>
      </c>
      <c r="J189" s="242">
        <f t="shared" si="43"/>
        <v>0</v>
      </c>
      <c r="K189" s="151"/>
      <c r="L189" s="159">
        <f t="shared" si="31"/>
        <v>0</v>
      </c>
      <c r="M189" s="72"/>
      <c r="N189" s="1"/>
      <c r="O189" s="78"/>
      <c r="P189" s="78"/>
      <c r="Q189" s="1"/>
      <c r="R189" s="78"/>
      <c r="S189" s="78"/>
      <c r="T189" s="44"/>
      <c r="U189" s="343"/>
      <c r="V189" s="78"/>
      <c r="W189" s="78"/>
      <c r="X189" s="44"/>
    </row>
    <row r="190" spans="1:24" s="18" customFormat="1" ht="15" hidden="1" customHeight="1" x14ac:dyDescent="0.25">
      <c r="A190" s="118" t="s">
        <v>274</v>
      </c>
      <c r="B190" s="88" t="s">
        <v>685</v>
      </c>
      <c r="C190" s="626" t="s">
        <v>275</v>
      </c>
      <c r="D190" s="627"/>
      <c r="E190" s="627"/>
      <c r="F190" s="158">
        <v>0</v>
      </c>
      <c r="G190" s="341">
        <v>0</v>
      </c>
      <c r="H190" s="311">
        <v>0</v>
      </c>
      <c r="I190" s="509">
        <v>0</v>
      </c>
      <c r="J190" s="233">
        <f>J191+J192+J193+J194+J195+J196+J197+J198+J199+J200</f>
        <v>0</v>
      </c>
      <c r="K190" s="142">
        <f t="shared" ref="K190:X190" si="44">K191+K192+K193+K194+K195+K196+K197+K198+K199+K200</f>
        <v>0</v>
      </c>
      <c r="L190" s="158">
        <f t="shared" si="31"/>
        <v>0</v>
      </c>
      <c r="M190" s="90">
        <f t="shared" si="44"/>
        <v>0</v>
      </c>
      <c r="N190" s="91">
        <f t="shared" si="44"/>
        <v>0</v>
      </c>
      <c r="O190" s="94">
        <f t="shared" si="44"/>
        <v>0</v>
      </c>
      <c r="P190" s="94">
        <f t="shared" si="44"/>
        <v>0</v>
      </c>
      <c r="Q190" s="91">
        <f t="shared" si="44"/>
        <v>0</v>
      </c>
      <c r="R190" s="94">
        <f t="shared" si="44"/>
        <v>0</v>
      </c>
      <c r="S190" s="94">
        <f t="shared" si="44"/>
        <v>0</v>
      </c>
      <c r="T190" s="95">
        <f t="shared" si="44"/>
        <v>0</v>
      </c>
      <c r="U190" s="341">
        <f t="shared" si="44"/>
        <v>0</v>
      </c>
      <c r="V190" s="94">
        <f t="shared" si="44"/>
        <v>0</v>
      </c>
      <c r="W190" s="94">
        <f t="shared" si="44"/>
        <v>0</v>
      </c>
      <c r="X190" s="95">
        <f t="shared" si="44"/>
        <v>0</v>
      </c>
    </row>
    <row r="191" spans="1:24" ht="15" hidden="1" customHeight="1" x14ac:dyDescent="0.25">
      <c r="B191" s="54"/>
      <c r="C191" s="2"/>
      <c r="D191" s="624" t="s">
        <v>371</v>
      </c>
      <c r="E191" s="624"/>
      <c r="F191" s="159">
        <v>0</v>
      </c>
      <c r="G191" s="343">
        <v>0</v>
      </c>
      <c r="H191" s="313">
        <v>0</v>
      </c>
      <c r="I191" s="513">
        <v>0</v>
      </c>
      <c r="J191" s="232">
        <f t="shared" ref="J191:J200" si="45">SUM(M191:X191)</f>
        <v>0</v>
      </c>
      <c r="K191" s="141"/>
      <c r="L191" s="159">
        <f t="shared" si="31"/>
        <v>0</v>
      </c>
      <c r="M191" s="72"/>
      <c r="N191" s="1"/>
      <c r="O191" s="78"/>
      <c r="P191" s="78"/>
      <c r="Q191" s="1"/>
      <c r="R191" s="78"/>
      <c r="S191" s="78"/>
      <c r="T191" s="44"/>
      <c r="U191" s="343"/>
      <c r="V191" s="78"/>
      <c r="W191" s="78"/>
      <c r="X191" s="44"/>
    </row>
    <row r="192" spans="1:24" ht="15" hidden="1" customHeight="1" x14ac:dyDescent="0.25">
      <c r="B192" s="54"/>
      <c r="C192" s="2"/>
      <c r="D192" s="624" t="s">
        <v>544</v>
      </c>
      <c r="E192" s="624"/>
      <c r="F192" s="159">
        <v>0</v>
      </c>
      <c r="G192" s="343">
        <v>0</v>
      </c>
      <c r="H192" s="313">
        <v>0</v>
      </c>
      <c r="I192" s="513">
        <v>0</v>
      </c>
      <c r="J192" s="232">
        <f t="shared" si="45"/>
        <v>0</v>
      </c>
      <c r="K192" s="141"/>
      <c r="L192" s="159">
        <f t="shared" si="31"/>
        <v>0</v>
      </c>
      <c r="M192" s="72"/>
      <c r="N192" s="1"/>
      <c r="O192" s="78"/>
      <c r="P192" s="78"/>
      <c r="Q192" s="1"/>
      <c r="R192" s="78"/>
      <c r="S192" s="78"/>
      <c r="T192" s="44"/>
      <c r="U192" s="343"/>
      <c r="V192" s="78"/>
      <c r="W192" s="78"/>
      <c r="X192" s="44"/>
    </row>
    <row r="193" spans="1:24" ht="15" hidden="1" customHeight="1" x14ac:dyDescent="0.25">
      <c r="B193" s="54"/>
      <c r="C193" s="2"/>
      <c r="D193" s="624" t="s">
        <v>547</v>
      </c>
      <c r="E193" s="624"/>
      <c r="F193" s="159">
        <v>0</v>
      </c>
      <c r="G193" s="343">
        <v>0</v>
      </c>
      <c r="H193" s="313">
        <v>0</v>
      </c>
      <c r="I193" s="513">
        <v>0</v>
      </c>
      <c r="J193" s="232">
        <f t="shared" si="45"/>
        <v>0</v>
      </c>
      <c r="K193" s="141"/>
      <c r="L193" s="159">
        <f t="shared" si="31"/>
        <v>0</v>
      </c>
      <c r="M193" s="72"/>
      <c r="N193" s="1"/>
      <c r="O193" s="78"/>
      <c r="P193" s="78"/>
      <c r="Q193" s="1"/>
      <c r="R193" s="78"/>
      <c r="S193" s="78"/>
      <c r="T193" s="44"/>
      <c r="U193" s="343"/>
      <c r="V193" s="78"/>
      <c r="W193" s="78"/>
      <c r="X193" s="44"/>
    </row>
    <row r="194" spans="1:24" ht="15" hidden="1" customHeight="1" x14ac:dyDescent="0.25">
      <c r="B194" s="54"/>
      <c r="C194" s="2"/>
      <c r="D194" s="625" t="s">
        <v>817</v>
      </c>
      <c r="E194" s="625"/>
      <c r="F194" s="159">
        <v>0</v>
      </c>
      <c r="G194" s="343">
        <v>0</v>
      </c>
      <c r="H194" s="313">
        <v>0</v>
      </c>
      <c r="I194" s="513">
        <v>0</v>
      </c>
      <c r="J194" s="242">
        <f t="shared" si="45"/>
        <v>0</v>
      </c>
      <c r="K194" s="151"/>
      <c r="L194" s="159">
        <f t="shared" si="31"/>
        <v>0</v>
      </c>
      <c r="M194" s="72"/>
      <c r="N194" s="1"/>
      <c r="O194" s="78"/>
      <c r="P194" s="78"/>
      <c r="Q194" s="1"/>
      <c r="R194" s="78"/>
      <c r="S194" s="78"/>
      <c r="T194" s="44"/>
      <c r="U194" s="343"/>
      <c r="V194" s="78"/>
      <c r="W194" s="78"/>
      <c r="X194" s="44"/>
    </row>
    <row r="195" spans="1:24" ht="15" hidden="1" customHeight="1" x14ac:dyDescent="0.25">
      <c r="B195" s="54"/>
      <c r="C195" s="2"/>
      <c r="D195" s="624" t="s">
        <v>554</v>
      </c>
      <c r="E195" s="624"/>
      <c r="F195" s="159">
        <v>0</v>
      </c>
      <c r="G195" s="343">
        <v>0</v>
      </c>
      <c r="H195" s="313">
        <v>0</v>
      </c>
      <c r="I195" s="513">
        <v>0</v>
      </c>
      <c r="J195" s="232">
        <f t="shared" si="45"/>
        <v>0</v>
      </c>
      <c r="K195" s="141"/>
      <c r="L195" s="159">
        <f t="shared" si="31"/>
        <v>0</v>
      </c>
      <c r="M195" s="72"/>
      <c r="N195" s="1"/>
      <c r="O195" s="78"/>
      <c r="P195" s="78"/>
      <c r="Q195" s="1"/>
      <c r="R195" s="78"/>
      <c r="S195" s="78"/>
      <c r="T195" s="44"/>
      <c r="U195" s="343"/>
      <c r="V195" s="78"/>
      <c r="W195" s="78"/>
      <c r="X195" s="44"/>
    </row>
    <row r="196" spans="1:24" ht="15" hidden="1" customHeight="1" x14ac:dyDescent="0.25">
      <c r="B196" s="54"/>
      <c r="C196" s="2"/>
      <c r="D196" s="624" t="s">
        <v>553</v>
      </c>
      <c r="E196" s="624"/>
      <c r="F196" s="159">
        <v>0</v>
      </c>
      <c r="G196" s="343">
        <v>0</v>
      </c>
      <c r="H196" s="313">
        <v>0</v>
      </c>
      <c r="I196" s="513">
        <v>0</v>
      </c>
      <c r="J196" s="232">
        <f t="shared" si="45"/>
        <v>0</v>
      </c>
      <c r="K196" s="141"/>
      <c r="L196" s="159">
        <f t="shared" si="31"/>
        <v>0</v>
      </c>
      <c r="M196" s="72"/>
      <c r="N196" s="1"/>
      <c r="O196" s="78"/>
      <c r="P196" s="78"/>
      <c r="Q196" s="1"/>
      <c r="R196" s="78"/>
      <c r="S196" s="78"/>
      <c r="T196" s="44"/>
      <c r="U196" s="343"/>
      <c r="V196" s="78"/>
      <c r="W196" s="78"/>
      <c r="X196" s="44"/>
    </row>
    <row r="197" spans="1:24" ht="25.5" hidden="1" customHeight="1" x14ac:dyDescent="0.25">
      <c r="B197" s="54"/>
      <c r="C197" s="2"/>
      <c r="D197" s="625" t="s">
        <v>557</v>
      </c>
      <c r="E197" s="625"/>
      <c r="F197" s="159">
        <v>0</v>
      </c>
      <c r="G197" s="343">
        <v>0</v>
      </c>
      <c r="H197" s="313">
        <v>0</v>
      </c>
      <c r="I197" s="513">
        <v>0</v>
      </c>
      <c r="J197" s="242">
        <f t="shared" si="45"/>
        <v>0</v>
      </c>
      <c r="K197" s="151"/>
      <c r="L197" s="159">
        <f t="shared" si="31"/>
        <v>0</v>
      </c>
      <c r="M197" s="72"/>
      <c r="N197" s="1"/>
      <c r="O197" s="78"/>
      <c r="P197" s="78"/>
      <c r="Q197" s="1"/>
      <c r="R197" s="78"/>
      <c r="S197" s="78"/>
      <c r="T197" s="44"/>
      <c r="U197" s="343"/>
      <c r="V197" s="78"/>
      <c r="W197" s="78"/>
      <c r="X197" s="44"/>
    </row>
    <row r="198" spans="1:24" ht="15" hidden="1" customHeight="1" x14ac:dyDescent="0.25">
      <c r="B198" s="54"/>
      <c r="C198" s="2"/>
      <c r="D198" s="624" t="s">
        <v>818</v>
      </c>
      <c r="E198" s="624"/>
      <c r="F198" s="159">
        <v>0</v>
      </c>
      <c r="G198" s="343">
        <v>0</v>
      </c>
      <c r="H198" s="313">
        <v>0</v>
      </c>
      <c r="I198" s="513">
        <v>0</v>
      </c>
      <c r="J198" s="232">
        <f t="shared" si="45"/>
        <v>0</v>
      </c>
      <c r="K198" s="141"/>
      <c r="L198" s="159">
        <f t="shared" si="31"/>
        <v>0</v>
      </c>
      <c r="M198" s="72"/>
      <c r="N198" s="1"/>
      <c r="O198" s="78"/>
      <c r="P198" s="78"/>
      <c r="Q198" s="1"/>
      <c r="R198" s="78"/>
      <c r="S198" s="78"/>
      <c r="T198" s="44"/>
      <c r="U198" s="343"/>
      <c r="V198" s="78"/>
      <c r="W198" s="78"/>
      <c r="X198" s="44"/>
    </row>
    <row r="199" spans="1:24" ht="25.5" hidden="1" customHeight="1" x14ac:dyDescent="0.25">
      <c r="B199" s="54"/>
      <c r="C199" s="2"/>
      <c r="D199" s="625" t="s">
        <v>562</v>
      </c>
      <c r="E199" s="625"/>
      <c r="F199" s="159">
        <v>0</v>
      </c>
      <c r="G199" s="343">
        <v>0</v>
      </c>
      <c r="H199" s="313">
        <v>0</v>
      </c>
      <c r="I199" s="513">
        <v>0</v>
      </c>
      <c r="J199" s="242">
        <f t="shared" si="45"/>
        <v>0</v>
      </c>
      <c r="K199" s="151"/>
      <c r="L199" s="159">
        <f t="shared" si="31"/>
        <v>0</v>
      </c>
      <c r="M199" s="72"/>
      <c r="N199" s="1"/>
      <c r="O199" s="78"/>
      <c r="P199" s="78"/>
      <c r="Q199" s="1"/>
      <c r="R199" s="78"/>
      <c r="S199" s="78"/>
      <c r="T199" s="44"/>
      <c r="U199" s="343"/>
      <c r="V199" s="78"/>
      <c r="W199" s="78"/>
      <c r="X199" s="44"/>
    </row>
    <row r="200" spans="1:24" ht="25.5" hidden="1" customHeight="1" x14ac:dyDescent="0.25">
      <c r="B200" s="54"/>
      <c r="C200" s="2"/>
      <c r="D200" s="625" t="s">
        <v>565</v>
      </c>
      <c r="E200" s="625"/>
      <c r="F200" s="159">
        <v>0</v>
      </c>
      <c r="G200" s="343">
        <v>0</v>
      </c>
      <c r="H200" s="313">
        <v>0</v>
      </c>
      <c r="I200" s="513">
        <v>0</v>
      </c>
      <c r="J200" s="242">
        <f t="shared" si="45"/>
        <v>0</v>
      </c>
      <c r="K200" s="151"/>
      <c r="L200" s="159">
        <f t="shared" si="31"/>
        <v>0</v>
      </c>
      <c r="M200" s="72"/>
      <c r="N200" s="1"/>
      <c r="O200" s="78"/>
      <c r="P200" s="78"/>
      <c r="Q200" s="1"/>
      <c r="R200" s="78"/>
      <c r="S200" s="78"/>
      <c r="T200" s="44"/>
      <c r="U200" s="343"/>
      <c r="V200" s="78"/>
      <c r="W200" s="78"/>
      <c r="X200" s="44"/>
    </row>
    <row r="201" spans="1:24" s="18" customFormat="1" ht="25.5" hidden="1" customHeight="1" x14ac:dyDescent="0.25">
      <c r="A201" s="118" t="s">
        <v>276</v>
      </c>
      <c r="B201" s="88" t="s">
        <v>686</v>
      </c>
      <c r="C201" s="716" t="s">
        <v>606</v>
      </c>
      <c r="D201" s="717"/>
      <c r="E201" s="717"/>
      <c r="F201" s="158">
        <v>0</v>
      </c>
      <c r="G201" s="341">
        <v>0</v>
      </c>
      <c r="H201" s="311">
        <v>0</v>
      </c>
      <c r="I201" s="509">
        <v>0</v>
      </c>
      <c r="J201" s="246">
        <f>J202+J203</f>
        <v>0</v>
      </c>
      <c r="K201" s="155">
        <f t="shared" ref="K201:X201" si="46">K202+K203</f>
        <v>0</v>
      </c>
      <c r="L201" s="158">
        <f t="shared" si="31"/>
        <v>0</v>
      </c>
      <c r="M201" s="90">
        <f t="shared" si="46"/>
        <v>0</v>
      </c>
      <c r="N201" s="91">
        <f t="shared" si="46"/>
        <v>0</v>
      </c>
      <c r="O201" s="94">
        <f t="shared" si="46"/>
        <v>0</v>
      </c>
      <c r="P201" s="94">
        <f t="shared" si="46"/>
        <v>0</v>
      </c>
      <c r="Q201" s="91">
        <f t="shared" si="46"/>
        <v>0</v>
      </c>
      <c r="R201" s="94">
        <f t="shared" si="46"/>
        <v>0</v>
      </c>
      <c r="S201" s="94">
        <f t="shared" si="46"/>
        <v>0</v>
      </c>
      <c r="T201" s="95">
        <f t="shared" si="46"/>
        <v>0</v>
      </c>
      <c r="U201" s="341">
        <f t="shared" si="46"/>
        <v>0</v>
      </c>
      <c r="V201" s="94">
        <f t="shared" si="46"/>
        <v>0</v>
      </c>
      <c r="W201" s="94">
        <f t="shared" si="46"/>
        <v>0</v>
      </c>
      <c r="X201" s="95">
        <f t="shared" si="46"/>
        <v>0</v>
      </c>
    </row>
    <row r="202" spans="1:24" ht="25.5" hidden="1" customHeight="1" x14ac:dyDescent="0.25">
      <c r="B202" s="54"/>
      <c r="C202" s="2"/>
      <c r="D202" s="625" t="s">
        <v>568</v>
      </c>
      <c r="E202" s="625"/>
      <c r="F202" s="159">
        <v>0</v>
      </c>
      <c r="G202" s="343">
        <v>0</v>
      </c>
      <c r="H202" s="313">
        <v>0</v>
      </c>
      <c r="I202" s="513">
        <v>0</v>
      </c>
      <c r="J202" s="242">
        <f>SUM(M202:X202)</f>
        <v>0</v>
      </c>
      <c r="K202" s="151"/>
      <c r="L202" s="159">
        <f t="shared" ref="L202:L259" si="47">SUM(J202:K202)</f>
        <v>0</v>
      </c>
      <c r="M202" s="72"/>
      <c r="N202" s="1"/>
      <c r="O202" s="78"/>
      <c r="P202" s="78"/>
      <c r="Q202" s="1"/>
      <c r="R202" s="78"/>
      <c r="S202" s="78"/>
      <c r="T202" s="44"/>
      <c r="U202" s="343"/>
      <c r="V202" s="78"/>
      <c r="W202" s="78"/>
      <c r="X202" s="44"/>
    </row>
    <row r="203" spans="1:24" ht="25.5" hidden="1" customHeight="1" x14ac:dyDescent="0.25">
      <c r="B203" s="54"/>
      <c r="C203" s="2"/>
      <c r="D203" s="625" t="s">
        <v>569</v>
      </c>
      <c r="E203" s="625"/>
      <c r="F203" s="159">
        <v>0</v>
      </c>
      <c r="G203" s="343">
        <v>0</v>
      </c>
      <c r="H203" s="313">
        <v>0</v>
      </c>
      <c r="I203" s="513">
        <v>0</v>
      </c>
      <c r="J203" s="242">
        <f>SUM(M203:X203)</f>
        <v>0</v>
      </c>
      <c r="K203" s="151"/>
      <c r="L203" s="159">
        <f t="shared" si="47"/>
        <v>0</v>
      </c>
      <c r="M203" s="72"/>
      <c r="N203" s="1"/>
      <c r="O203" s="78"/>
      <c r="P203" s="78"/>
      <c r="Q203" s="1"/>
      <c r="R203" s="78"/>
      <c r="S203" s="78"/>
      <c r="T203" s="44"/>
      <c r="U203" s="343"/>
      <c r="V203" s="78"/>
      <c r="W203" s="78"/>
      <c r="X203" s="44"/>
    </row>
    <row r="204" spans="1:24" s="18" customFormat="1" ht="15" hidden="1" customHeight="1" x14ac:dyDescent="0.25">
      <c r="A204" s="118" t="s">
        <v>277</v>
      </c>
      <c r="B204" s="88" t="s">
        <v>687</v>
      </c>
      <c r="C204" s="716" t="s">
        <v>819</v>
      </c>
      <c r="D204" s="717"/>
      <c r="E204" s="717"/>
      <c r="F204" s="158">
        <v>0</v>
      </c>
      <c r="G204" s="341">
        <v>0</v>
      </c>
      <c r="H204" s="311">
        <v>0</v>
      </c>
      <c r="I204" s="509">
        <v>0</v>
      </c>
      <c r="J204" s="246">
        <f>J205+J206+J207+J208+J209+J210+J211+J212+J213+J214+J215</f>
        <v>0</v>
      </c>
      <c r="K204" s="155">
        <f t="shared" ref="K204:X204" si="48">K205+K206+K207+K208+K209+K210+K211+K212+K213+K214+K215</f>
        <v>0</v>
      </c>
      <c r="L204" s="158">
        <f t="shared" si="47"/>
        <v>0</v>
      </c>
      <c r="M204" s="90">
        <f t="shared" si="48"/>
        <v>0</v>
      </c>
      <c r="N204" s="91">
        <f t="shared" si="48"/>
        <v>0</v>
      </c>
      <c r="O204" s="94">
        <f t="shared" si="48"/>
        <v>0</v>
      </c>
      <c r="P204" s="94">
        <f t="shared" si="48"/>
        <v>0</v>
      </c>
      <c r="Q204" s="91">
        <f t="shared" si="48"/>
        <v>0</v>
      </c>
      <c r="R204" s="94">
        <f t="shared" si="48"/>
        <v>0</v>
      </c>
      <c r="S204" s="94">
        <f t="shared" si="48"/>
        <v>0</v>
      </c>
      <c r="T204" s="95">
        <f t="shared" si="48"/>
        <v>0</v>
      </c>
      <c r="U204" s="341">
        <f t="shared" si="48"/>
        <v>0</v>
      </c>
      <c r="V204" s="94">
        <f t="shared" si="48"/>
        <v>0</v>
      </c>
      <c r="W204" s="94">
        <f t="shared" si="48"/>
        <v>0</v>
      </c>
      <c r="X204" s="95">
        <f t="shared" si="48"/>
        <v>0</v>
      </c>
    </row>
    <row r="205" spans="1:24" ht="15" hidden="1" customHeight="1" x14ac:dyDescent="0.25">
      <c r="B205" s="54"/>
      <c r="C205" s="2"/>
      <c r="D205" s="624" t="s">
        <v>372</v>
      </c>
      <c r="E205" s="624"/>
      <c r="F205" s="159">
        <v>0</v>
      </c>
      <c r="G205" s="343">
        <v>0</v>
      </c>
      <c r="H205" s="313">
        <v>0</v>
      </c>
      <c r="I205" s="513">
        <v>0</v>
      </c>
      <c r="J205" s="232">
        <f t="shared" ref="J205:J217" si="49">SUM(M205:X205)</f>
        <v>0</v>
      </c>
      <c r="K205" s="141"/>
      <c r="L205" s="159">
        <f t="shared" si="47"/>
        <v>0</v>
      </c>
      <c r="M205" s="72"/>
      <c r="N205" s="1"/>
      <c r="O205" s="78"/>
      <c r="P205" s="78"/>
      <c r="Q205" s="1"/>
      <c r="R205" s="78"/>
      <c r="S205" s="78"/>
      <c r="T205" s="44"/>
      <c r="U205" s="343"/>
      <c r="V205" s="78"/>
      <c r="W205" s="78"/>
      <c r="X205" s="44"/>
    </row>
    <row r="206" spans="1:24" ht="15" hidden="1" customHeight="1" x14ac:dyDescent="0.25">
      <c r="B206" s="54"/>
      <c r="C206" s="2"/>
      <c r="D206" s="624" t="s">
        <v>820</v>
      </c>
      <c r="E206" s="624"/>
      <c r="F206" s="159">
        <v>0</v>
      </c>
      <c r="G206" s="343">
        <v>0</v>
      </c>
      <c r="H206" s="313">
        <v>0</v>
      </c>
      <c r="I206" s="513">
        <v>0</v>
      </c>
      <c r="J206" s="232">
        <f t="shared" si="49"/>
        <v>0</v>
      </c>
      <c r="K206" s="141"/>
      <c r="L206" s="159">
        <f t="shared" si="47"/>
        <v>0</v>
      </c>
      <c r="M206" s="72"/>
      <c r="N206" s="1"/>
      <c r="O206" s="78"/>
      <c r="P206" s="78"/>
      <c r="Q206" s="1"/>
      <c r="R206" s="78"/>
      <c r="S206" s="78"/>
      <c r="T206" s="44"/>
      <c r="U206" s="343"/>
      <c r="V206" s="78"/>
      <c r="W206" s="78"/>
      <c r="X206" s="44"/>
    </row>
    <row r="207" spans="1:24" ht="15" hidden="1" customHeight="1" x14ac:dyDescent="0.25">
      <c r="B207" s="54"/>
      <c r="C207" s="2"/>
      <c r="D207" s="624" t="s">
        <v>375</v>
      </c>
      <c r="E207" s="624"/>
      <c r="F207" s="159">
        <v>0</v>
      </c>
      <c r="G207" s="343">
        <v>0</v>
      </c>
      <c r="H207" s="313">
        <v>0</v>
      </c>
      <c r="I207" s="513">
        <v>0</v>
      </c>
      <c r="J207" s="232">
        <f t="shared" si="49"/>
        <v>0</v>
      </c>
      <c r="K207" s="141"/>
      <c r="L207" s="159">
        <f t="shared" si="47"/>
        <v>0</v>
      </c>
      <c r="M207" s="72"/>
      <c r="N207" s="1"/>
      <c r="O207" s="78"/>
      <c r="P207" s="78"/>
      <c r="Q207" s="1"/>
      <c r="R207" s="78"/>
      <c r="S207" s="78"/>
      <c r="T207" s="44"/>
      <c r="U207" s="343"/>
      <c r="V207" s="78"/>
      <c r="W207" s="78"/>
      <c r="X207" s="44"/>
    </row>
    <row r="208" spans="1:24" ht="15" hidden="1" customHeight="1" x14ac:dyDescent="0.25">
      <c r="B208" s="54"/>
      <c r="C208" s="2"/>
      <c r="D208" s="624" t="s">
        <v>373</v>
      </c>
      <c r="E208" s="624"/>
      <c r="F208" s="159">
        <v>0</v>
      </c>
      <c r="G208" s="343">
        <v>0</v>
      </c>
      <c r="H208" s="313">
        <v>0</v>
      </c>
      <c r="I208" s="513">
        <v>0</v>
      </c>
      <c r="J208" s="232">
        <f t="shared" si="49"/>
        <v>0</v>
      </c>
      <c r="K208" s="141"/>
      <c r="L208" s="159">
        <f t="shared" si="47"/>
        <v>0</v>
      </c>
      <c r="M208" s="72"/>
      <c r="N208" s="1"/>
      <c r="O208" s="78"/>
      <c r="P208" s="78"/>
      <c r="Q208" s="1"/>
      <c r="R208" s="78"/>
      <c r="S208" s="78"/>
      <c r="T208" s="44"/>
      <c r="U208" s="343"/>
      <c r="V208" s="78"/>
      <c r="W208" s="78"/>
      <c r="X208" s="44"/>
    </row>
    <row r="209" spans="1:24" ht="15" hidden="1" customHeight="1" x14ac:dyDescent="0.25">
      <c r="B209" s="54"/>
      <c r="C209" s="2"/>
      <c r="D209" s="624" t="s">
        <v>821</v>
      </c>
      <c r="E209" s="624"/>
      <c r="F209" s="159">
        <v>0</v>
      </c>
      <c r="G209" s="343">
        <v>0</v>
      </c>
      <c r="H209" s="313">
        <v>0</v>
      </c>
      <c r="I209" s="513">
        <v>0</v>
      </c>
      <c r="J209" s="232">
        <f t="shared" si="49"/>
        <v>0</v>
      </c>
      <c r="K209" s="141"/>
      <c r="L209" s="159">
        <f t="shared" si="47"/>
        <v>0</v>
      </c>
      <c r="M209" s="72"/>
      <c r="N209" s="1"/>
      <c r="O209" s="78"/>
      <c r="P209" s="78"/>
      <c r="Q209" s="1"/>
      <c r="R209" s="78"/>
      <c r="S209" s="78"/>
      <c r="T209" s="44"/>
      <c r="U209" s="343"/>
      <c r="V209" s="78"/>
      <c r="W209" s="78"/>
      <c r="X209" s="44"/>
    </row>
    <row r="210" spans="1:24" ht="25.5" hidden="1" customHeight="1" x14ac:dyDescent="0.25">
      <c r="B210" s="54"/>
      <c r="C210" s="2"/>
      <c r="D210" s="625" t="s">
        <v>537</v>
      </c>
      <c r="E210" s="625"/>
      <c r="F210" s="159">
        <v>0</v>
      </c>
      <c r="G210" s="343">
        <v>0</v>
      </c>
      <c r="H210" s="313">
        <v>0</v>
      </c>
      <c r="I210" s="513">
        <v>0</v>
      </c>
      <c r="J210" s="242">
        <f t="shared" si="49"/>
        <v>0</v>
      </c>
      <c r="K210" s="151"/>
      <c r="L210" s="159">
        <f t="shared" si="47"/>
        <v>0</v>
      </c>
      <c r="M210" s="72"/>
      <c r="N210" s="1"/>
      <c r="O210" s="78"/>
      <c r="P210" s="78"/>
      <c r="Q210" s="1"/>
      <c r="R210" s="78"/>
      <c r="S210" s="78"/>
      <c r="T210" s="44"/>
      <c r="U210" s="343"/>
      <c r="V210" s="78"/>
      <c r="W210" s="78"/>
      <c r="X210" s="44"/>
    </row>
    <row r="211" spans="1:24" ht="25.5" hidden="1" customHeight="1" x14ac:dyDescent="0.25">
      <c r="B211" s="54"/>
      <c r="C211" s="2"/>
      <c r="D211" s="625" t="s">
        <v>540</v>
      </c>
      <c r="E211" s="625"/>
      <c r="F211" s="159">
        <v>0</v>
      </c>
      <c r="G211" s="343">
        <v>0</v>
      </c>
      <c r="H211" s="313">
        <v>0</v>
      </c>
      <c r="I211" s="513">
        <v>0</v>
      </c>
      <c r="J211" s="242">
        <f t="shared" si="49"/>
        <v>0</v>
      </c>
      <c r="K211" s="151"/>
      <c r="L211" s="159">
        <f t="shared" si="47"/>
        <v>0</v>
      </c>
      <c r="M211" s="72"/>
      <c r="N211" s="1"/>
      <c r="O211" s="78"/>
      <c r="P211" s="78"/>
      <c r="Q211" s="1"/>
      <c r="R211" s="78"/>
      <c r="S211" s="78"/>
      <c r="T211" s="44"/>
      <c r="U211" s="343"/>
      <c r="V211" s="78"/>
      <c r="W211" s="78"/>
      <c r="X211" s="44"/>
    </row>
    <row r="212" spans="1:24" ht="15" hidden="1" customHeight="1" x14ac:dyDescent="0.25">
      <c r="B212" s="54"/>
      <c r="C212" s="2"/>
      <c r="D212" s="624" t="s">
        <v>822</v>
      </c>
      <c r="E212" s="624"/>
      <c r="F212" s="159">
        <v>0</v>
      </c>
      <c r="G212" s="343">
        <v>0</v>
      </c>
      <c r="H212" s="313">
        <v>0</v>
      </c>
      <c r="I212" s="513">
        <v>0</v>
      </c>
      <c r="J212" s="232">
        <f t="shared" si="49"/>
        <v>0</v>
      </c>
      <c r="K212" s="141"/>
      <c r="L212" s="159">
        <f t="shared" si="47"/>
        <v>0</v>
      </c>
      <c r="M212" s="72"/>
      <c r="N212" s="1"/>
      <c r="O212" s="78"/>
      <c r="P212" s="78"/>
      <c r="Q212" s="1"/>
      <c r="R212" s="78"/>
      <c r="S212" s="78"/>
      <c r="T212" s="44"/>
      <c r="U212" s="343"/>
      <c r="V212" s="78"/>
      <c r="W212" s="78"/>
      <c r="X212" s="44"/>
    </row>
    <row r="213" spans="1:24" ht="15" hidden="1" customHeight="1" x14ac:dyDescent="0.25">
      <c r="B213" s="54"/>
      <c r="C213" s="2"/>
      <c r="D213" s="624" t="s">
        <v>374</v>
      </c>
      <c r="E213" s="624"/>
      <c r="F213" s="159">
        <v>0</v>
      </c>
      <c r="G213" s="343">
        <v>0</v>
      </c>
      <c r="H213" s="313">
        <v>0</v>
      </c>
      <c r="I213" s="513">
        <v>0</v>
      </c>
      <c r="J213" s="232">
        <f t="shared" si="49"/>
        <v>0</v>
      </c>
      <c r="K213" s="141"/>
      <c r="L213" s="159">
        <f t="shared" si="47"/>
        <v>0</v>
      </c>
      <c r="M213" s="72"/>
      <c r="N213" s="1"/>
      <c r="O213" s="78"/>
      <c r="P213" s="78"/>
      <c r="Q213" s="1"/>
      <c r="R213" s="78"/>
      <c r="S213" s="78"/>
      <c r="T213" s="44"/>
      <c r="U213" s="343"/>
      <c r="V213" s="78"/>
      <c r="W213" s="78"/>
      <c r="X213" s="44"/>
    </row>
    <row r="214" spans="1:24" ht="15" hidden="1" customHeight="1" x14ac:dyDescent="0.25">
      <c r="B214" s="54"/>
      <c r="C214" s="2"/>
      <c r="D214" s="624" t="s">
        <v>823</v>
      </c>
      <c r="E214" s="624"/>
      <c r="F214" s="159">
        <v>0</v>
      </c>
      <c r="G214" s="343">
        <v>0</v>
      </c>
      <c r="H214" s="313">
        <v>0</v>
      </c>
      <c r="I214" s="513">
        <v>0</v>
      </c>
      <c r="J214" s="232">
        <f t="shared" si="49"/>
        <v>0</v>
      </c>
      <c r="K214" s="141"/>
      <c r="L214" s="159">
        <f t="shared" si="47"/>
        <v>0</v>
      </c>
      <c r="M214" s="72"/>
      <c r="N214" s="1"/>
      <c r="O214" s="78"/>
      <c r="P214" s="78"/>
      <c r="Q214" s="1"/>
      <c r="R214" s="78"/>
      <c r="S214" s="78"/>
      <c r="T214" s="44"/>
      <c r="U214" s="343"/>
      <c r="V214" s="78"/>
      <c r="W214" s="78"/>
      <c r="X214" s="44"/>
    </row>
    <row r="215" spans="1:24" ht="15" hidden="1" customHeight="1" x14ac:dyDescent="0.25">
      <c r="B215" s="54"/>
      <c r="C215" s="2"/>
      <c r="D215" s="624" t="s">
        <v>566</v>
      </c>
      <c r="E215" s="624"/>
      <c r="F215" s="159">
        <v>0</v>
      </c>
      <c r="G215" s="343">
        <v>0</v>
      </c>
      <c r="H215" s="313">
        <v>0</v>
      </c>
      <c r="I215" s="513">
        <v>0</v>
      </c>
      <c r="J215" s="232">
        <f t="shared" si="49"/>
        <v>0</v>
      </c>
      <c r="K215" s="141"/>
      <c r="L215" s="159">
        <f t="shared" si="47"/>
        <v>0</v>
      </c>
      <c r="M215" s="72"/>
      <c r="N215" s="1"/>
      <c r="O215" s="78"/>
      <c r="P215" s="78"/>
      <c r="Q215" s="1"/>
      <c r="R215" s="78"/>
      <c r="S215" s="78"/>
      <c r="T215" s="44"/>
      <c r="U215" s="343"/>
      <c r="V215" s="78"/>
      <c r="W215" s="78"/>
      <c r="X215" s="44"/>
    </row>
    <row r="216" spans="1:24" s="18" customFormat="1" ht="15" hidden="1" customHeight="1" x14ac:dyDescent="0.25">
      <c r="A216" s="118" t="s">
        <v>278</v>
      </c>
      <c r="B216" s="88" t="s">
        <v>688</v>
      </c>
      <c r="C216" s="626" t="s">
        <v>279</v>
      </c>
      <c r="D216" s="627"/>
      <c r="E216" s="627"/>
      <c r="F216" s="158">
        <v>0</v>
      </c>
      <c r="G216" s="341">
        <v>0</v>
      </c>
      <c r="H216" s="311">
        <v>0</v>
      </c>
      <c r="I216" s="509">
        <v>0</v>
      </c>
      <c r="J216" s="233">
        <f t="shared" si="49"/>
        <v>0</v>
      </c>
      <c r="K216" s="142"/>
      <c r="L216" s="158">
        <f t="shared" si="47"/>
        <v>0</v>
      </c>
      <c r="M216" s="90"/>
      <c r="N216" s="91"/>
      <c r="O216" s="94"/>
      <c r="P216" s="94"/>
      <c r="Q216" s="91"/>
      <c r="R216" s="94"/>
      <c r="S216" s="94"/>
      <c r="T216" s="95"/>
      <c r="U216" s="341"/>
      <c r="V216" s="94"/>
      <c r="W216" s="94"/>
      <c r="X216" s="95"/>
    </row>
    <row r="217" spans="1:24" s="18" customFormat="1" ht="15" hidden="1" customHeight="1" x14ac:dyDescent="0.25">
      <c r="A217" s="118" t="s">
        <v>280</v>
      </c>
      <c r="B217" s="88" t="s">
        <v>689</v>
      </c>
      <c r="C217" s="626" t="s">
        <v>281</v>
      </c>
      <c r="D217" s="627"/>
      <c r="E217" s="627"/>
      <c r="F217" s="158">
        <v>0</v>
      </c>
      <c r="G217" s="341">
        <v>0</v>
      </c>
      <c r="H217" s="311">
        <v>0</v>
      </c>
      <c r="I217" s="509">
        <v>0</v>
      </c>
      <c r="J217" s="233">
        <f t="shared" si="49"/>
        <v>0</v>
      </c>
      <c r="K217" s="142"/>
      <c r="L217" s="158">
        <f t="shared" si="47"/>
        <v>0</v>
      </c>
      <c r="M217" s="90"/>
      <c r="N217" s="91"/>
      <c r="O217" s="94"/>
      <c r="P217" s="94"/>
      <c r="Q217" s="91"/>
      <c r="R217" s="94"/>
      <c r="S217" s="94"/>
      <c r="T217" s="95"/>
      <c r="U217" s="341"/>
      <c r="V217" s="94"/>
      <c r="W217" s="94"/>
      <c r="X217" s="95"/>
    </row>
    <row r="218" spans="1:24" s="18" customFormat="1" ht="15" hidden="1" customHeight="1" x14ac:dyDescent="0.25">
      <c r="A218" s="118" t="s">
        <v>282</v>
      </c>
      <c r="B218" s="88" t="s">
        <v>690</v>
      </c>
      <c r="C218" s="626" t="s">
        <v>283</v>
      </c>
      <c r="D218" s="627"/>
      <c r="E218" s="627"/>
      <c r="F218" s="158">
        <v>0</v>
      </c>
      <c r="G218" s="341">
        <v>0</v>
      </c>
      <c r="H218" s="311">
        <v>0</v>
      </c>
      <c r="I218" s="509">
        <v>0</v>
      </c>
      <c r="J218" s="233">
        <f>J219+J220+J221+J222+J223+J224+J225+J226+J227+J228</f>
        <v>0</v>
      </c>
      <c r="K218" s="142">
        <f t="shared" ref="K218:X218" si="50">K219+K220+K221+K222+K223+K224+K225+K226+K227+K228</f>
        <v>0</v>
      </c>
      <c r="L218" s="158">
        <f t="shared" si="47"/>
        <v>0</v>
      </c>
      <c r="M218" s="90">
        <f t="shared" si="50"/>
        <v>0</v>
      </c>
      <c r="N218" s="91">
        <f t="shared" si="50"/>
        <v>0</v>
      </c>
      <c r="O218" s="94">
        <f t="shared" si="50"/>
        <v>0</v>
      </c>
      <c r="P218" s="94">
        <f t="shared" si="50"/>
        <v>0</v>
      </c>
      <c r="Q218" s="91">
        <f t="shared" si="50"/>
        <v>0</v>
      </c>
      <c r="R218" s="94">
        <f t="shared" si="50"/>
        <v>0</v>
      </c>
      <c r="S218" s="94">
        <f t="shared" si="50"/>
        <v>0</v>
      </c>
      <c r="T218" s="95">
        <f t="shared" si="50"/>
        <v>0</v>
      </c>
      <c r="U218" s="341">
        <f t="shared" si="50"/>
        <v>0</v>
      </c>
      <c r="V218" s="94">
        <f t="shared" si="50"/>
        <v>0</v>
      </c>
      <c r="W218" s="94">
        <f t="shared" si="50"/>
        <v>0</v>
      </c>
      <c r="X218" s="95">
        <f t="shared" si="50"/>
        <v>0</v>
      </c>
    </row>
    <row r="219" spans="1:24" ht="15" hidden="1" customHeight="1" x14ac:dyDescent="0.25">
      <c r="B219" s="54"/>
      <c r="C219" s="2"/>
      <c r="D219" s="624" t="s">
        <v>376</v>
      </c>
      <c r="E219" s="624"/>
      <c r="F219" s="159">
        <v>0</v>
      </c>
      <c r="G219" s="343">
        <v>0</v>
      </c>
      <c r="H219" s="313">
        <v>0</v>
      </c>
      <c r="I219" s="513">
        <v>0</v>
      </c>
      <c r="J219" s="232">
        <f t="shared" ref="J219:J228" si="51">SUM(M219:X219)</f>
        <v>0</v>
      </c>
      <c r="K219" s="141"/>
      <c r="L219" s="159">
        <f t="shared" si="47"/>
        <v>0</v>
      </c>
      <c r="M219" s="72"/>
      <c r="N219" s="1"/>
      <c r="O219" s="78"/>
      <c r="P219" s="78"/>
      <c r="Q219" s="1"/>
      <c r="R219" s="78"/>
      <c r="S219" s="78"/>
      <c r="T219" s="44"/>
      <c r="U219" s="343"/>
      <c r="V219" s="78"/>
      <c r="W219" s="78"/>
      <c r="X219" s="44"/>
    </row>
    <row r="220" spans="1:24" ht="15" hidden="1" customHeight="1" x14ac:dyDescent="0.25">
      <c r="B220" s="54"/>
      <c r="C220" s="2"/>
      <c r="D220" s="624" t="s">
        <v>377</v>
      </c>
      <c r="E220" s="624"/>
      <c r="F220" s="159">
        <v>0</v>
      </c>
      <c r="G220" s="343">
        <v>0</v>
      </c>
      <c r="H220" s="313">
        <v>0</v>
      </c>
      <c r="I220" s="513">
        <v>0</v>
      </c>
      <c r="J220" s="232">
        <f t="shared" si="51"/>
        <v>0</v>
      </c>
      <c r="K220" s="141"/>
      <c r="L220" s="159">
        <f t="shared" si="47"/>
        <v>0</v>
      </c>
      <c r="M220" s="72"/>
      <c r="N220" s="1"/>
      <c r="O220" s="78"/>
      <c r="P220" s="78"/>
      <c r="Q220" s="1"/>
      <c r="R220" s="78"/>
      <c r="S220" s="78"/>
      <c r="T220" s="44"/>
      <c r="U220" s="343"/>
      <c r="V220" s="78"/>
      <c r="W220" s="78"/>
      <c r="X220" s="44"/>
    </row>
    <row r="221" spans="1:24" ht="15" hidden="1" customHeight="1" x14ac:dyDescent="0.25">
      <c r="B221" s="54"/>
      <c r="C221" s="2"/>
      <c r="D221" s="624" t="s">
        <v>378</v>
      </c>
      <c r="E221" s="624"/>
      <c r="F221" s="159">
        <v>0</v>
      </c>
      <c r="G221" s="343">
        <v>0</v>
      </c>
      <c r="H221" s="313">
        <v>0</v>
      </c>
      <c r="I221" s="513">
        <v>0</v>
      </c>
      <c r="J221" s="232">
        <f t="shared" si="51"/>
        <v>0</v>
      </c>
      <c r="K221" s="141"/>
      <c r="L221" s="159">
        <f t="shared" si="47"/>
        <v>0</v>
      </c>
      <c r="M221" s="72"/>
      <c r="N221" s="1"/>
      <c r="O221" s="78"/>
      <c r="P221" s="78"/>
      <c r="Q221" s="1"/>
      <c r="R221" s="78"/>
      <c r="S221" s="78"/>
      <c r="T221" s="44"/>
      <c r="U221" s="343"/>
      <c r="V221" s="78"/>
      <c r="W221" s="78"/>
      <c r="X221" s="44"/>
    </row>
    <row r="222" spans="1:24" ht="15" hidden="1" customHeight="1" x14ac:dyDescent="0.25">
      <c r="B222" s="54"/>
      <c r="C222" s="2"/>
      <c r="D222" s="624" t="s">
        <v>379</v>
      </c>
      <c r="E222" s="624"/>
      <c r="F222" s="159">
        <v>0</v>
      </c>
      <c r="G222" s="343">
        <v>0</v>
      </c>
      <c r="H222" s="313">
        <v>0</v>
      </c>
      <c r="I222" s="513">
        <v>0</v>
      </c>
      <c r="J222" s="232">
        <f t="shared" si="51"/>
        <v>0</v>
      </c>
      <c r="K222" s="141"/>
      <c r="L222" s="159">
        <f t="shared" si="47"/>
        <v>0</v>
      </c>
      <c r="M222" s="72"/>
      <c r="N222" s="1"/>
      <c r="O222" s="78"/>
      <c r="P222" s="78"/>
      <c r="Q222" s="1"/>
      <c r="R222" s="78"/>
      <c r="S222" s="78"/>
      <c r="T222" s="44"/>
      <c r="U222" s="343"/>
      <c r="V222" s="78"/>
      <c r="W222" s="78"/>
      <c r="X222" s="44"/>
    </row>
    <row r="223" spans="1:24" ht="15" hidden="1" customHeight="1" x14ac:dyDescent="0.25">
      <c r="B223" s="54"/>
      <c r="C223" s="2"/>
      <c r="D223" s="624" t="s">
        <v>380</v>
      </c>
      <c r="E223" s="624"/>
      <c r="F223" s="159">
        <v>0</v>
      </c>
      <c r="G223" s="343">
        <v>0</v>
      </c>
      <c r="H223" s="313">
        <v>0</v>
      </c>
      <c r="I223" s="513">
        <v>0</v>
      </c>
      <c r="J223" s="232">
        <f t="shared" si="51"/>
        <v>0</v>
      </c>
      <c r="K223" s="141"/>
      <c r="L223" s="159">
        <f t="shared" si="47"/>
        <v>0</v>
      </c>
      <c r="M223" s="72"/>
      <c r="N223" s="1"/>
      <c r="O223" s="78"/>
      <c r="P223" s="78"/>
      <c r="Q223" s="1"/>
      <c r="R223" s="78"/>
      <c r="S223" s="78"/>
      <c r="T223" s="44"/>
      <c r="U223" s="343"/>
      <c r="V223" s="78"/>
      <c r="W223" s="78"/>
      <c r="X223" s="44"/>
    </row>
    <row r="224" spans="1:24" ht="25.5" hidden="1" customHeight="1" x14ac:dyDescent="0.25">
      <c r="B224" s="54"/>
      <c r="C224" s="2"/>
      <c r="D224" s="625" t="s">
        <v>538</v>
      </c>
      <c r="E224" s="625"/>
      <c r="F224" s="159">
        <v>0</v>
      </c>
      <c r="G224" s="343">
        <v>0</v>
      </c>
      <c r="H224" s="313">
        <v>0</v>
      </c>
      <c r="I224" s="513">
        <v>0</v>
      </c>
      <c r="J224" s="242">
        <f t="shared" si="51"/>
        <v>0</v>
      </c>
      <c r="K224" s="151"/>
      <c r="L224" s="159">
        <f t="shared" si="47"/>
        <v>0</v>
      </c>
      <c r="M224" s="72"/>
      <c r="N224" s="1"/>
      <c r="O224" s="78"/>
      <c r="P224" s="78"/>
      <c r="Q224" s="1"/>
      <c r="R224" s="78"/>
      <c r="S224" s="78"/>
      <c r="T224" s="44"/>
      <c r="U224" s="343"/>
      <c r="V224" s="78"/>
      <c r="W224" s="78"/>
      <c r="X224" s="44"/>
    </row>
    <row r="225" spans="1:24" ht="25.5" hidden="1" customHeight="1" x14ac:dyDescent="0.25">
      <c r="B225" s="54"/>
      <c r="C225" s="2"/>
      <c r="D225" s="625" t="s">
        <v>541</v>
      </c>
      <c r="E225" s="625"/>
      <c r="F225" s="159">
        <v>0</v>
      </c>
      <c r="G225" s="343">
        <v>0</v>
      </c>
      <c r="H225" s="313">
        <v>0</v>
      </c>
      <c r="I225" s="513">
        <v>0</v>
      </c>
      <c r="J225" s="242">
        <f t="shared" si="51"/>
        <v>0</v>
      </c>
      <c r="K225" s="151"/>
      <c r="L225" s="159">
        <f t="shared" si="47"/>
        <v>0</v>
      </c>
      <c r="M225" s="72"/>
      <c r="N225" s="1"/>
      <c r="O225" s="78"/>
      <c r="P225" s="78"/>
      <c r="Q225" s="1"/>
      <c r="R225" s="78"/>
      <c r="S225" s="78"/>
      <c r="T225" s="44"/>
      <c r="U225" s="343"/>
      <c r="V225" s="78"/>
      <c r="W225" s="78"/>
      <c r="X225" s="44"/>
    </row>
    <row r="226" spans="1:24" ht="15" hidden="1" customHeight="1" x14ac:dyDescent="0.25">
      <c r="B226" s="54"/>
      <c r="C226" s="2"/>
      <c r="D226" s="624" t="s">
        <v>381</v>
      </c>
      <c r="E226" s="624"/>
      <c r="F226" s="159">
        <v>0</v>
      </c>
      <c r="G226" s="343">
        <v>0</v>
      </c>
      <c r="H226" s="313">
        <v>0</v>
      </c>
      <c r="I226" s="513">
        <v>0</v>
      </c>
      <c r="J226" s="232">
        <f t="shared" si="51"/>
        <v>0</v>
      </c>
      <c r="K226" s="141"/>
      <c r="L226" s="159">
        <f t="shared" si="47"/>
        <v>0</v>
      </c>
      <c r="M226" s="72"/>
      <c r="N226" s="1"/>
      <c r="O226" s="78"/>
      <c r="P226" s="78"/>
      <c r="Q226" s="1"/>
      <c r="R226" s="78"/>
      <c r="S226" s="78"/>
      <c r="T226" s="44"/>
      <c r="U226" s="343"/>
      <c r="V226" s="78"/>
      <c r="W226" s="78"/>
      <c r="X226" s="44"/>
    </row>
    <row r="227" spans="1:24" ht="15" hidden="1" customHeight="1" x14ac:dyDescent="0.25">
      <c r="B227" s="54"/>
      <c r="C227" s="2"/>
      <c r="D227" s="624" t="s">
        <v>382</v>
      </c>
      <c r="E227" s="624"/>
      <c r="F227" s="159">
        <v>0</v>
      </c>
      <c r="G227" s="343">
        <v>0</v>
      </c>
      <c r="H227" s="313">
        <v>0</v>
      </c>
      <c r="I227" s="513">
        <v>0</v>
      </c>
      <c r="J227" s="232">
        <f t="shared" si="51"/>
        <v>0</v>
      </c>
      <c r="K227" s="141"/>
      <c r="L227" s="159">
        <f t="shared" si="47"/>
        <v>0</v>
      </c>
      <c r="M227" s="72"/>
      <c r="N227" s="1"/>
      <c r="O227" s="78"/>
      <c r="P227" s="78"/>
      <c r="Q227" s="1"/>
      <c r="R227" s="78"/>
      <c r="S227" s="78"/>
      <c r="T227" s="44"/>
      <c r="U227" s="343"/>
      <c r="V227" s="78"/>
      <c r="W227" s="78"/>
      <c r="X227" s="44"/>
    </row>
    <row r="228" spans="1:24" ht="15.75" hidden="1" customHeight="1" thickBot="1" x14ac:dyDescent="0.3">
      <c r="B228" s="56"/>
      <c r="C228" s="20"/>
      <c r="D228" s="631" t="s">
        <v>567</v>
      </c>
      <c r="E228" s="631"/>
      <c r="F228" s="159">
        <v>0</v>
      </c>
      <c r="G228" s="467">
        <v>0</v>
      </c>
      <c r="H228" s="486">
        <v>0</v>
      </c>
      <c r="I228" s="514">
        <v>0</v>
      </c>
      <c r="J228" s="234">
        <f t="shared" si="51"/>
        <v>0</v>
      </c>
      <c r="K228" s="143"/>
      <c r="L228" s="159">
        <f t="shared" si="47"/>
        <v>0</v>
      </c>
      <c r="M228" s="72"/>
      <c r="N228" s="1"/>
      <c r="O228" s="78"/>
      <c r="P228" s="78"/>
      <c r="Q228" s="1"/>
      <c r="R228" s="78"/>
      <c r="S228" s="78"/>
      <c r="T228" s="44"/>
      <c r="U228" s="343"/>
      <c r="V228" s="78"/>
      <c r="W228" s="78"/>
      <c r="X228" s="44"/>
    </row>
    <row r="229" spans="1:24" ht="15.75" thickBot="1" x14ac:dyDescent="0.3">
      <c r="B229" s="96" t="s">
        <v>284</v>
      </c>
      <c r="C229" s="632" t="s">
        <v>285</v>
      </c>
      <c r="D229" s="633"/>
      <c r="E229" s="633"/>
      <c r="F229" s="156">
        <v>0</v>
      </c>
      <c r="G229" s="338">
        <v>0</v>
      </c>
      <c r="H229" s="308">
        <v>0</v>
      </c>
      <c r="I229" s="506">
        <v>0</v>
      </c>
      <c r="J229" s="235">
        <f>J230+J251+J257+J258</f>
        <v>0</v>
      </c>
      <c r="K229" s="144">
        <f t="shared" ref="K229:X229" si="52">K230+K251+K257+K258</f>
        <v>0</v>
      </c>
      <c r="L229" s="156">
        <f t="shared" si="47"/>
        <v>0</v>
      </c>
      <c r="M229" s="82">
        <f t="shared" si="52"/>
        <v>0</v>
      </c>
      <c r="N229" s="83">
        <f t="shared" si="52"/>
        <v>0</v>
      </c>
      <c r="O229" s="86">
        <f t="shared" si="52"/>
        <v>0</v>
      </c>
      <c r="P229" s="86">
        <f t="shared" si="52"/>
        <v>0</v>
      </c>
      <c r="Q229" s="83">
        <f t="shared" si="52"/>
        <v>0</v>
      </c>
      <c r="R229" s="86">
        <f t="shared" si="52"/>
        <v>0</v>
      </c>
      <c r="S229" s="86">
        <f t="shared" si="52"/>
        <v>0</v>
      </c>
      <c r="T229" s="87">
        <f t="shared" si="52"/>
        <v>0</v>
      </c>
      <c r="U229" s="338">
        <f t="shared" si="52"/>
        <v>0</v>
      </c>
      <c r="V229" s="86">
        <f t="shared" si="52"/>
        <v>0</v>
      </c>
      <c r="W229" s="86">
        <f t="shared" si="52"/>
        <v>0</v>
      </c>
      <c r="X229" s="87">
        <f t="shared" si="52"/>
        <v>0</v>
      </c>
    </row>
    <row r="230" spans="1:24" ht="15" hidden="1" customHeight="1" x14ac:dyDescent="0.25">
      <c r="B230" s="108" t="s">
        <v>691</v>
      </c>
      <c r="C230" s="634" t="s">
        <v>286</v>
      </c>
      <c r="D230" s="635"/>
      <c r="E230" s="635"/>
      <c r="F230" s="157">
        <v>0</v>
      </c>
      <c r="G230" s="339">
        <v>0</v>
      </c>
      <c r="H230" s="309">
        <v>0</v>
      </c>
      <c r="I230" s="507">
        <v>0</v>
      </c>
      <c r="J230" s="231">
        <f>J231+J235+J242+J243+J244+J245+J246+J247+J248</f>
        <v>0</v>
      </c>
      <c r="K230" s="140">
        <f t="shared" ref="K230:X230" si="53">K231+K235+K242+K243+K244+K245+K246+K247+K248</f>
        <v>0</v>
      </c>
      <c r="L230" s="157">
        <f t="shared" si="47"/>
        <v>0</v>
      </c>
      <c r="M230" s="109">
        <f t="shared" si="53"/>
        <v>0</v>
      </c>
      <c r="N230" s="110">
        <f t="shared" si="53"/>
        <v>0</v>
      </c>
      <c r="O230" s="113">
        <f t="shared" si="53"/>
        <v>0</v>
      </c>
      <c r="P230" s="113">
        <f t="shared" si="53"/>
        <v>0</v>
      </c>
      <c r="Q230" s="110">
        <f t="shared" si="53"/>
        <v>0</v>
      </c>
      <c r="R230" s="113">
        <f t="shared" si="53"/>
        <v>0</v>
      </c>
      <c r="S230" s="113">
        <f t="shared" si="53"/>
        <v>0</v>
      </c>
      <c r="T230" s="114">
        <f t="shared" si="53"/>
        <v>0</v>
      </c>
      <c r="U230" s="339">
        <f t="shared" si="53"/>
        <v>0</v>
      </c>
      <c r="V230" s="113">
        <f t="shared" si="53"/>
        <v>0</v>
      </c>
      <c r="W230" s="113">
        <f t="shared" si="53"/>
        <v>0</v>
      </c>
      <c r="X230" s="114">
        <f t="shared" si="53"/>
        <v>0</v>
      </c>
    </row>
    <row r="231" spans="1:24" s="18" customFormat="1" ht="15" hidden="1" customHeight="1" x14ac:dyDescent="0.25">
      <c r="A231" s="118"/>
      <c r="B231" s="53" t="s">
        <v>692</v>
      </c>
      <c r="C231" s="628" t="s">
        <v>287</v>
      </c>
      <c r="D231" s="629"/>
      <c r="E231" s="629"/>
      <c r="F231" s="160">
        <v>0</v>
      </c>
      <c r="G231" s="342">
        <v>0</v>
      </c>
      <c r="H231" s="312">
        <v>0</v>
      </c>
      <c r="I231" s="510">
        <v>0</v>
      </c>
      <c r="J231" s="239">
        <f>J232+J233+J234</f>
        <v>0</v>
      </c>
      <c r="K231" s="148">
        <f t="shared" ref="K231:X231" si="54">K232+K233+K234</f>
        <v>0</v>
      </c>
      <c r="L231" s="160">
        <f t="shared" si="47"/>
        <v>0</v>
      </c>
      <c r="M231" s="74">
        <f t="shared" si="54"/>
        <v>0</v>
      </c>
      <c r="N231" s="13">
        <f t="shared" si="54"/>
        <v>0</v>
      </c>
      <c r="O231" s="79">
        <f t="shared" si="54"/>
        <v>0</v>
      </c>
      <c r="P231" s="79">
        <f t="shared" si="54"/>
        <v>0</v>
      </c>
      <c r="Q231" s="13">
        <f t="shared" si="54"/>
        <v>0</v>
      </c>
      <c r="R231" s="79">
        <f t="shared" si="54"/>
        <v>0</v>
      </c>
      <c r="S231" s="79">
        <f t="shared" si="54"/>
        <v>0</v>
      </c>
      <c r="T231" s="45">
        <f t="shared" si="54"/>
        <v>0</v>
      </c>
      <c r="U231" s="342">
        <f t="shared" si="54"/>
        <v>0</v>
      </c>
      <c r="V231" s="79">
        <f t="shared" si="54"/>
        <v>0</v>
      </c>
      <c r="W231" s="79">
        <f t="shared" si="54"/>
        <v>0</v>
      </c>
      <c r="X231" s="45">
        <f t="shared" si="54"/>
        <v>0</v>
      </c>
    </row>
    <row r="232" spans="1:24" s="199" customFormat="1" ht="15" hidden="1" customHeight="1" x14ac:dyDescent="0.25">
      <c r="A232" s="118" t="s">
        <v>288</v>
      </c>
      <c r="B232" s="181" t="s">
        <v>693</v>
      </c>
      <c r="C232" s="228"/>
      <c r="D232" s="724" t="s">
        <v>705</v>
      </c>
      <c r="E232" s="724"/>
      <c r="F232" s="183">
        <v>0</v>
      </c>
      <c r="G232" s="340">
        <v>0</v>
      </c>
      <c r="H232" s="310">
        <v>0</v>
      </c>
      <c r="I232" s="508">
        <v>0</v>
      </c>
      <c r="J232" s="268">
        <f>SUM(M232:X232)</f>
        <v>0</v>
      </c>
      <c r="K232" s="269"/>
      <c r="L232" s="183">
        <f t="shared" si="47"/>
        <v>0</v>
      </c>
      <c r="M232" s="191"/>
      <c r="N232" s="185"/>
      <c r="O232" s="186"/>
      <c r="P232" s="186"/>
      <c r="Q232" s="185"/>
      <c r="R232" s="186"/>
      <c r="S232" s="186"/>
      <c r="T232" s="187"/>
      <c r="U232" s="340"/>
      <c r="V232" s="186"/>
      <c r="W232" s="186"/>
      <c r="X232" s="187"/>
    </row>
    <row r="233" spans="1:24" s="199" customFormat="1" ht="15" hidden="1" customHeight="1" x14ac:dyDescent="0.25">
      <c r="A233" s="118" t="s">
        <v>289</v>
      </c>
      <c r="B233" s="181" t="s">
        <v>694</v>
      </c>
      <c r="C233" s="190"/>
      <c r="D233" s="630" t="s">
        <v>706</v>
      </c>
      <c r="E233" s="630"/>
      <c r="F233" s="183">
        <v>0</v>
      </c>
      <c r="G233" s="340">
        <v>0</v>
      </c>
      <c r="H233" s="310">
        <v>0</v>
      </c>
      <c r="I233" s="508">
        <v>0</v>
      </c>
      <c r="J233" s="251">
        <f>SUM(M233:X233)</f>
        <v>0</v>
      </c>
      <c r="K233" s="182"/>
      <c r="L233" s="183">
        <f t="shared" si="47"/>
        <v>0</v>
      </c>
      <c r="M233" s="191"/>
      <c r="N233" s="185"/>
      <c r="O233" s="186"/>
      <c r="P233" s="186"/>
      <c r="Q233" s="185"/>
      <c r="R233" s="186"/>
      <c r="S233" s="186"/>
      <c r="T233" s="187"/>
      <c r="U233" s="340"/>
      <c r="V233" s="186"/>
      <c r="W233" s="186"/>
      <c r="X233" s="187"/>
    </row>
    <row r="234" spans="1:24" s="199" customFormat="1" ht="15" hidden="1" customHeight="1" x14ac:dyDescent="0.25">
      <c r="A234" s="118" t="s">
        <v>290</v>
      </c>
      <c r="B234" s="181" t="s">
        <v>695</v>
      </c>
      <c r="C234" s="190"/>
      <c r="D234" s="630" t="s">
        <v>707</v>
      </c>
      <c r="E234" s="630"/>
      <c r="F234" s="183">
        <v>0</v>
      </c>
      <c r="G234" s="340">
        <v>0</v>
      </c>
      <c r="H234" s="310">
        <v>0</v>
      </c>
      <c r="I234" s="508">
        <v>0</v>
      </c>
      <c r="J234" s="251">
        <f>SUM(M234:X234)</f>
        <v>0</v>
      </c>
      <c r="K234" s="182"/>
      <c r="L234" s="183">
        <f t="shared" si="47"/>
        <v>0</v>
      </c>
      <c r="M234" s="191"/>
      <c r="N234" s="185"/>
      <c r="O234" s="186"/>
      <c r="P234" s="186"/>
      <c r="Q234" s="185"/>
      <c r="R234" s="186"/>
      <c r="S234" s="186"/>
      <c r="T234" s="187"/>
      <c r="U234" s="340"/>
      <c r="V234" s="186"/>
      <c r="W234" s="186"/>
      <c r="X234" s="187"/>
    </row>
    <row r="235" spans="1:24" s="18" customFormat="1" ht="15" hidden="1" customHeight="1" x14ac:dyDescent="0.25">
      <c r="A235" s="118"/>
      <c r="B235" s="53" t="s">
        <v>696</v>
      </c>
      <c r="C235" s="628" t="s">
        <v>291</v>
      </c>
      <c r="D235" s="629"/>
      <c r="E235" s="629"/>
      <c r="F235" s="160">
        <v>0</v>
      </c>
      <c r="G235" s="342">
        <v>0</v>
      </c>
      <c r="H235" s="312">
        <v>0</v>
      </c>
      <c r="I235" s="510">
        <v>0</v>
      </c>
      <c r="J235" s="239">
        <f>J236+J237+J238+J239+J240+J241</f>
        <v>0</v>
      </c>
      <c r="K235" s="148">
        <f t="shared" ref="K235:X235" si="55">K236+K237+K238+K239+K240+K241</f>
        <v>0</v>
      </c>
      <c r="L235" s="160">
        <f t="shared" si="47"/>
        <v>0</v>
      </c>
      <c r="M235" s="74">
        <f t="shared" si="55"/>
        <v>0</v>
      </c>
      <c r="N235" s="13">
        <f t="shared" si="55"/>
        <v>0</v>
      </c>
      <c r="O235" s="79">
        <f t="shared" si="55"/>
        <v>0</v>
      </c>
      <c r="P235" s="79">
        <f t="shared" si="55"/>
        <v>0</v>
      </c>
      <c r="Q235" s="13">
        <f t="shared" si="55"/>
        <v>0</v>
      </c>
      <c r="R235" s="79">
        <f t="shared" si="55"/>
        <v>0</v>
      </c>
      <c r="S235" s="79">
        <f t="shared" si="55"/>
        <v>0</v>
      </c>
      <c r="T235" s="45">
        <f t="shared" si="55"/>
        <v>0</v>
      </c>
      <c r="U235" s="342">
        <f t="shared" si="55"/>
        <v>0</v>
      </c>
      <c r="V235" s="79">
        <f t="shared" si="55"/>
        <v>0</v>
      </c>
      <c r="W235" s="79">
        <f t="shared" si="55"/>
        <v>0</v>
      </c>
      <c r="X235" s="45">
        <f t="shared" si="55"/>
        <v>0</v>
      </c>
    </row>
    <row r="236" spans="1:24" s="199" customFormat="1" ht="15" hidden="1" customHeight="1" x14ac:dyDescent="0.25">
      <c r="A236" s="118" t="s">
        <v>292</v>
      </c>
      <c r="B236" s="181" t="s">
        <v>697</v>
      </c>
      <c r="C236" s="190"/>
      <c r="D236" s="630" t="s">
        <v>383</v>
      </c>
      <c r="E236" s="630"/>
      <c r="F236" s="183">
        <v>0</v>
      </c>
      <c r="G236" s="340">
        <v>0</v>
      </c>
      <c r="H236" s="310">
        <v>0</v>
      </c>
      <c r="I236" s="508">
        <v>0</v>
      </c>
      <c r="J236" s="251">
        <f t="shared" ref="J236:J247" si="56">SUM(M236:X236)</f>
        <v>0</v>
      </c>
      <c r="K236" s="182"/>
      <c r="L236" s="183">
        <f t="shared" si="47"/>
        <v>0</v>
      </c>
      <c r="M236" s="191"/>
      <c r="N236" s="185"/>
      <c r="O236" s="186"/>
      <c r="P236" s="186"/>
      <c r="Q236" s="185"/>
      <c r="R236" s="186"/>
      <c r="S236" s="186"/>
      <c r="T236" s="187"/>
      <c r="U236" s="340"/>
      <c r="V236" s="186"/>
      <c r="W236" s="186"/>
      <c r="X236" s="187"/>
    </row>
    <row r="237" spans="1:24" s="199" customFormat="1" ht="15" hidden="1" customHeight="1" x14ac:dyDescent="0.25">
      <c r="A237" s="118" t="s">
        <v>293</v>
      </c>
      <c r="B237" s="181" t="s">
        <v>698</v>
      </c>
      <c r="C237" s="190"/>
      <c r="D237" s="630" t="s">
        <v>384</v>
      </c>
      <c r="E237" s="630"/>
      <c r="F237" s="183">
        <v>0</v>
      </c>
      <c r="G237" s="340">
        <v>0</v>
      </c>
      <c r="H237" s="310">
        <v>0</v>
      </c>
      <c r="I237" s="508">
        <v>0</v>
      </c>
      <c r="J237" s="251">
        <f t="shared" si="56"/>
        <v>0</v>
      </c>
      <c r="K237" s="182"/>
      <c r="L237" s="183">
        <f t="shared" si="47"/>
        <v>0</v>
      </c>
      <c r="M237" s="191"/>
      <c r="N237" s="185"/>
      <c r="O237" s="186"/>
      <c r="P237" s="186"/>
      <c r="Q237" s="185"/>
      <c r="R237" s="186"/>
      <c r="S237" s="186"/>
      <c r="T237" s="187"/>
      <c r="U237" s="340"/>
      <c r="V237" s="186"/>
      <c r="W237" s="186"/>
      <c r="X237" s="187"/>
    </row>
    <row r="238" spans="1:24" s="199" customFormat="1" ht="15" hidden="1" customHeight="1" x14ac:dyDescent="0.25">
      <c r="A238" s="118" t="s">
        <v>885</v>
      </c>
      <c r="B238" s="181" t="s">
        <v>886</v>
      </c>
      <c r="C238" s="190"/>
      <c r="D238" s="630" t="s">
        <v>887</v>
      </c>
      <c r="E238" s="630"/>
      <c r="F238" s="183">
        <v>0</v>
      </c>
      <c r="G238" s="340">
        <v>0</v>
      </c>
      <c r="H238" s="310">
        <v>0</v>
      </c>
      <c r="I238" s="508">
        <v>0</v>
      </c>
      <c r="J238" s="251">
        <f t="shared" si="56"/>
        <v>0</v>
      </c>
      <c r="K238" s="182"/>
      <c r="L238" s="183">
        <f t="shared" si="47"/>
        <v>0</v>
      </c>
      <c r="M238" s="191"/>
      <c r="N238" s="185"/>
      <c r="O238" s="186"/>
      <c r="P238" s="186"/>
      <c r="Q238" s="185"/>
      <c r="R238" s="186"/>
      <c r="S238" s="186"/>
      <c r="T238" s="187"/>
      <c r="U238" s="340"/>
      <c r="V238" s="186"/>
      <c r="W238" s="186"/>
      <c r="X238" s="187"/>
    </row>
    <row r="239" spans="1:24" s="199" customFormat="1" ht="15" hidden="1" customHeight="1" x14ac:dyDescent="0.25">
      <c r="A239" s="118" t="s">
        <v>294</v>
      </c>
      <c r="B239" s="181" t="s">
        <v>699</v>
      </c>
      <c r="C239" s="190"/>
      <c r="D239" s="630" t="s">
        <v>295</v>
      </c>
      <c r="E239" s="630"/>
      <c r="F239" s="183">
        <v>0</v>
      </c>
      <c r="G239" s="340">
        <v>0</v>
      </c>
      <c r="H239" s="310">
        <v>0</v>
      </c>
      <c r="I239" s="508">
        <v>0</v>
      </c>
      <c r="J239" s="251">
        <f t="shared" si="56"/>
        <v>0</v>
      </c>
      <c r="K239" s="182"/>
      <c r="L239" s="183">
        <f t="shared" si="47"/>
        <v>0</v>
      </c>
      <c r="M239" s="191"/>
      <c r="N239" s="185"/>
      <c r="O239" s="186"/>
      <c r="P239" s="186"/>
      <c r="Q239" s="185"/>
      <c r="R239" s="186"/>
      <c r="S239" s="186"/>
      <c r="T239" s="187"/>
      <c r="U239" s="340"/>
      <c r="V239" s="186"/>
      <c r="W239" s="186"/>
      <c r="X239" s="187"/>
    </row>
    <row r="240" spans="1:24" s="199" customFormat="1" ht="15" hidden="1" customHeight="1" x14ac:dyDescent="0.25">
      <c r="A240" s="118" t="s">
        <v>296</v>
      </c>
      <c r="B240" s="181" t="s">
        <v>700</v>
      </c>
      <c r="C240" s="190"/>
      <c r="D240" s="630" t="s">
        <v>297</v>
      </c>
      <c r="E240" s="630"/>
      <c r="F240" s="183">
        <v>0</v>
      </c>
      <c r="G240" s="340">
        <v>0</v>
      </c>
      <c r="H240" s="310">
        <v>0</v>
      </c>
      <c r="I240" s="508">
        <v>0</v>
      </c>
      <c r="J240" s="251">
        <f t="shared" si="56"/>
        <v>0</v>
      </c>
      <c r="K240" s="182"/>
      <c r="L240" s="183">
        <f t="shared" si="47"/>
        <v>0</v>
      </c>
      <c r="M240" s="191"/>
      <c r="N240" s="185"/>
      <c r="O240" s="186"/>
      <c r="P240" s="186"/>
      <c r="Q240" s="185"/>
      <c r="R240" s="186"/>
      <c r="S240" s="186"/>
      <c r="T240" s="187"/>
      <c r="U240" s="340"/>
      <c r="V240" s="186"/>
      <c r="W240" s="186"/>
      <c r="X240" s="187"/>
    </row>
    <row r="241" spans="1:24" s="199" customFormat="1" ht="15" hidden="1" customHeight="1" x14ac:dyDescent="0.25">
      <c r="A241" s="118" t="s">
        <v>888</v>
      </c>
      <c r="B241" s="181" t="s">
        <v>889</v>
      </c>
      <c r="C241" s="190"/>
      <c r="D241" s="630" t="s">
        <v>890</v>
      </c>
      <c r="E241" s="630"/>
      <c r="F241" s="183">
        <v>0</v>
      </c>
      <c r="G241" s="340">
        <v>0</v>
      </c>
      <c r="H241" s="310">
        <v>0</v>
      </c>
      <c r="I241" s="508">
        <v>0</v>
      </c>
      <c r="J241" s="251">
        <f t="shared" si="56"/>
        <v>0</v>
      </c>
      <c r="K241" s="182"/>
      <c r="L241" s="183">
        <f t="shared" si="47"/>
        <v>0</v>
      </c>
      <c r="M241" s="191"/>
      <c r="N241" s="185"/>
      <c r="O241" s="186"/>
      <c r="P241" s="186"/>
      <c r="Q241" s="185"/>
      <c r="R241" s="186"/>
      <c r="S241" s="186"/>
      <c r="T241" s="187"/>
      <c r="U241" s="340"/>
      <c r="V241" s="186"/>
      <c r="W241" s="186"/>
      <c r="X241" s="187"/>
    </row>
    <row r="242" spans="1:24" s="41" customFormat="1" ht="15" hidden="1" customHeight="1" x14ac:dyDescent="0.25">
      <c r="A242" s="118" t="s">
        <v>891</v>
      </c>
      <c r="B242" s="53" t="s">
        <v>892</v>
      </c>
      <c r="C242" s="628" t="s">
        <v>893</v>
      </c>
      <c r="D242" s="629"/>
      <c r="E242" s="629"/>
      <c r="F242" s="160">
        <v>0</v>
      </c>
      <c r="G242" s="342">
        <v>0</v>
      </c>
      <c r="H242" s="312">
        <v>0</v>
      </c>
      <c r="I242" s="510">
        <v>0</v>
      </c>
      <c r="J242" s="239">
        <f t="shared" si="56"/>
        <v>0</v>
      </c>
      <c r="K242" s="148"/>
      <c r="L242" s="160">
        <f t="shared" si="47"/>
        <v>0</v>
      </c>
      <c r="M242" s="74"/>
      <c r="N242" s="13"/>
      <c r="O242" s="79"/>
      <c r="P242" s="79"/>
      <c r="Q242" s="13"/>
      <c r="R242" s="79"/>
      <c r="S242" s="79"/>
      <c r="T242" s="45"/>
      <c r="U242" s="342"/>
      <c r="V242" s="79"/>
      <c r="W242" s="79"/>
      <c r="X242" s="45"/>
    </row>
    <row r="243" spans="1:24" s="41" customFormat="1" ht="15" hidden="1" customHeight="1" x14ac:dyDescent="0.25">
      <c r="A243" s="118" t="s">
        <v>298</v>
      </c>
      <c r="B243" s="53" t="s">
        <v>701</v>
      </c>
      <c r="C243" s="628" t="s">
        <v>299</v>
      </c>
      <c r="D243" s="629"/>
      <c r="E243" s="629"/>
      <c r="F243" s="160">
        <v>0</v>
      </c>
      <c r="G243" s="342">
        <v>0</v>
      </c>
      <c r="H243" s="312">
        <v>0</v>
      </c>
      <c r="I243" s="510">
        <v>0</v>
      </c>
      <c r="J243" s="239">
        <f t="shared" si="56"/>
        <v>0</v>
      </c>
      <c r="K243" s="148"/>
      <c r="L243" s="160">
        <f t="shared" si="47"/>
        <v>0</v>
      </c>
      <c r="M243" s="74"/>
      <c r="N243" s="13"/>
      <c r="O243" s="79"/>
      <c r="P243" s="79"/>
      <c r="Q243" s="13"/>
      <c r="R243" s="79"/>
      <c r="S243" s="79"/>
      <c r="T243" s="45"/>
      <c r="U243" s="342"/>
      <c r="V243" s="79"/>
      <c r="W243" s="79"/>
      <c r="X243" s="45"/>
    </row>
    <row r="244" spans="1:24" s="41" customFormat="1" ht="15" hidden="1" customHeight="1" x14ac:dyDescent="0.25">
      <c r="A244" s="118" t="s">
        <v>300</v>
      </c>
      <c r="B244" s="53" t="s">
        <v>702</v>
      </c>
      <c r="C244" s="628" t="s">
        <v>894</v>
      </c>
      <c r="D244" s="629"/>
      <c r="E244" s="629"/>
      <c r="F244" s="160">
        <v>0</v>
      </c>
      <c r="G244" s="342">
        <v>0</v>
      </c>
      <c r="H244" s="312">
        <v>0</v>
      </c>
      <c r="I244" s="510">
        <v>0</v>
      </c>
      <c r="J244" s="239">
        <f t="shared" si="56"/>
        <v>0</v>
      </c>
      <c r="K244" s="148"/>
      <c r="L244" s="160">
        <f t="shared" si="47"/>
        <v>0</v>
      </c>
      <c r="M244" s="74"/>
      <c r="N244" s="13"/>
      <c r="O244" s="79"/>
      <c r="P244" s="79"/>
      <c r="Q244" s="13"/>
      <c r="R244" s="79"/>
      <c r="S244" s="79"/>
      <c r="T244" s="45"/>
      <c r="U244" s="342"/>
      <c r="V244" s="79"/>
      <c r="W244" s="79"/>
      <c r="X244" s="45"/>
    </row>
    <row r="245" spans="1:24" s="41" customFormat="1" ht="15" hidden="1" customHeight="1" x14ac:dyDescent="0.25">
      <c r="A245" s="118" t="s">
        <v>301</v>
      </c>
      <c r="B245" s="53" t="s">
        <v>703</v>
      </c>
      <c r="C245" s="628" t="s">
        <v>895</v>
      </c>
      <c r="D245" s="629"/>
      <c r="E245" s="629"/>
      <c r="F245" s="160">
        <v>0</v>
      </c>
      <c r="G245" s="342">
        <v>0</v>
      </c>
      <c r="H245" s="312">
        <v>0</v>
      </c>
      <c r="I245" s="510">
        <v>0</v>
      </c>
      <c r="J245" s="239">
        <f t="shared" si="56"/>
        <v>0</v>
      </c>
      <c r="K245" s="148"/>
      <c r="L245" s="160">
        <f t="shared" si="47"/>
        <v>0</v>
      </c>
      <c r="M245" s="74"/>
      <c r="N245" s="13"/>
      <c r="O245" s="79"/>
      <c r="P245" s="79"/>
      <c r="Q245" s="13"/>
      <c r="R245" s="79"/>
      <c r="S245" s="79"/>
      <c r="T245" s="45"/>
      <c r="U245" s="342"/>
      <c r="V245" s="79"/>
      <c r="W245" s="79"/>
      <c r="X245" s="45"/>
    </row>
    <row r="246" spans="1:24" s="41" customFormat="1" ht="15" hidden="1" customHeight="1" x14ac:dyDescent="0.25">
      <c r="A246" s="118" t="s">
        <v>302</v>
      </c>
      <c r="B246" s="53" t="s">
        <v>704</v>
      </c>
      <c r="C246" s="628" t="s">
        <v>303</v>
      </c>
      <c r="D246" s="629"/>
      <c r="E246" s="629"/>
      <c r="F246" s="160">
        <v>0</v>
      </c>
      <c r="G246" s="342">
        <v>0</v>
      </c>
      <c r="H246" s="312">
        <v>0</v>
      </c>
      <c r="I246" s="510">
        <v>0</v>
      </c>
      <c r="J246" s="239">
        <f t="shared" si="56"/>
        <v>0</v>
      </c>
      <c r="K246" s="148"/>
      <c r="L246" s="160">
        <f t="shared" si="47"/>
        <v>0</v>
      </c>
      <c r="M246" s="74"/>
      <c r="N246" s="13"/>
      <c r="O246" s="79"/>
      <c r="P246" s="79"/>
      <c r="Q246" s="13"/>
      <c r="R246" s="79"/>
      <c r="S246" s="79"/>
      <c r="T246" s="45"/>
      <c r="U246" s="342"/>
      <c r="V246" s="79"/>
      <c r="W246" s="79"/>
      <c r="X246" s="45"/>
    </row>
    <row r="247" spans="1:24" s="41" customFormat="1" ht="15" hidden="1" customHeight="1" x14ac:dyDescent="0.25">
      <c r="A247" s="118" t="s">
        <v>896</v>
      </c>
      <c r="B247" s="53" t="s">
        <v>897</v>
      </c>
      <c r="C247" s="628" t="s">
        <v>899</v>
      </c>
      <c r="D247" s="629"/>
      <c r="E247" s="629"/>
      <c r="F247" s="160">
        <v>0</v>
      </c>
      <c r="G247" s="342">
        <v>0</v>
      </c>
      <c r="H247" s="312">
        <v>0</v>
      </c>
      <c r="I247" s="510">
        <v>0</v>
      </c>
      <c r="J247" s="239">
        <f t="shared" si="56"/>
        <v>0</v>
      </c>
      <c r="K247" s="148"/>
      <c r="L247" s="160">
        <f t="shared" si="47"/>
        <v>0</v>
      </c>
      <c r="M247" s="74"/>
      <c r="N247" s="13"/>
      <c r="O247" s="79"/>
      <c r="P247" s="79"/>
      <c r="Q247" s="13"/>
      <c r="R247" s="79"/>
      <c r="S247" s="79"/>
      <c r="T247" s="45"/>
      <c r="U247" s="342"/>
      <c r="V247" s="79"/>
      <c r="W247" s="79"/>
      <c r="X247" s="45"/>
    </row>
    <row r="248" spans="1:24" s="41" customFormat="1" ht="15" hidden="1" customHeight="1" x14ac:dyDescent="0.25">
      <c r="A248" s="118"/>
      <c r="B248" s="53" t="s">
        <v>898</v>
      </c>
      <c r="C248" s="628" t="s">
        <v>900</v>
      </c>
      <c r="D248" s="629"/>
      <c r="E248" s="629"/>
      <c r="F248" s="160">
        <v>0</v>
      </c>
      <c r="G248" s="342">
        <v>0</v>
      </c>
      <c r="H248" s="312">
        <v>0</v>
      </c>
      <c r="I248" s="510">
        <v>0</v>
      </c>
      <c r="J248" s="239">
        <f>J249+J250</f>
        <v>0</v>
      </c>
      <c r="K248" s="148">
        <f t="shared" ref="K248:X248" si="57">K249+K250</f>
        <v>0</v>
      </c>
      <c r="L248" s="160">
        <f t="shared" si="47"/>
        <v>0</v>
      </c>
      <c r="M248" s="74">
        <f t="shared" si="57"/>
        <v>0</v>
      </c>
      <c r="N248" s="13">
        <f t="shared" si="57"/>
        <v>0</v>
      </c>
      <c r="O248" s="79">
        <f t="shared" si="57"/>
        <v>0</v>
      </c>
      <c r="P248" s="79">
        <f t="shared" si="57"/>
        <v>0</v>
      </c>
      <c r="Q248" s="13">
        <f t="shared" si="57"/>
        <v>0</v>
      </c>
      <c r="R248" s="79">
        <f t="shared" si="57"/>
        <v>0</v>
      </c>
      <c r="S248" s="79">
        <f t="shared" si="57"/>
        <v>0</v>
      </c>
      <c r="T248" s="45">
        <f t="shared" si="57"/>
        <v>0</v>
      </c>
      <c r="U248" s="342">
        <f t="shared" si="57"/>
        <v>0</v>
      </c>
      <c r="V248" s="79">
        <f t="shared" si="57"/>
        <v>0</v>
      </c>
      <c r="W248" s="79">
        <f t="shared" si="57"/>
        <v>0</v>
      </c>
      <c r="X248" s="45">
        <f t="shared" si="57"/>
        <v>0</v>
      </c>
    </row>
    <row r="249" spans="1:24" s="199" customFormat="1" ht="15" hidden="1" customHeight="1" x14ac:dyDescent="0.25">
      <c r="A249" s="118" t="s">
        <v>902</v>
      </c>
      <c r="B249" s="181" t="s">
        <v>901</v>
      </c>
      <c r="C249" s="190"/>
      <c r="D249" s="630" t="s">
        <v>905</v>
      </c>
      <c r="E249" s="630"/>
      <c r="F249" s="183">
        <v>0</v>
      </c>
      <c r="G249" s="340">
        <v>0</v>
      </c>
      <c r="H249" s="310">
        <v>0</v>
      </c>
      <c r="I249" s="508">
        <v>0</v>
      </c>
      <c r="J249" s="251">
        <f>SUM(M249:X249)</f>
        <v>0</v>
      </c>
      <c r="K249" s="182"/>
      <c r="L249" s="183">
        <f t="shared" si="47"/>
        <v>0</v>
      </c>
      <c r="M249" s="191"/>
      <c r="N249" s="185"/>
      <c r="O249" s="186"/>
      <c r="P249" s="186"/>
      <c r="Q249" s="185"/>
      <c r="R249" s="186"/>
      <c r="S249" s="186"/>
      <c r="T249" s="187"/>
      <c r="U249" s="340"/>
      <c r="V249" s="186"/>
      <c r="W249" s="186"/>
      <c r="X249" s="187"/>
    </row>
    <row r="250" spans="1:24" s="199" customFormat="1" ht="15" hidden="1" customHeight="1" x14ac:dyDescent="0.25">
      <c r="A250" s="118" t="s">
        <v>903</v>
      </c>
      <c r="B250" s="181" t="s">
        <v>904</v>
      </c>
      <c r="C250" s="190"/>
      <c r="D250" s="630" t="s">
        <v>906</v>
      </c>
      <c r="E250" s="630"/>
      <c r="F250" s="183">
        <v>0</v>
      </c>
      <c r="G250" s="340">
        <v>0</v>
      </c>
      <c r="H250" s="310">
        <v>0</v>
      </c>
      <c r="I250" s="508">
        <v>0</v>
      </c>
      <c r="J250" s="251">
        <f>SUM(M250:X250)</f>
        <v>0</v>
      </c>
      <c r="K250" s="182"/>
      <c r="L250" s="183">
        <f t="shared" si="47"/>
        <v>0</v>
      </c>
      <c r="M250" s="191"/>
      <c r="N250" s="185"/>
      <c r="O250" s="186"/>
      <c r="P250" s="186"/>
      <c r="Q250" s="185"/>
      <c r="R250" s="186"/>
      <c r="S250" s="186"/>
      <c r="T250" s="187"/>
      <c r="U250" s="340"/>
      <c r="V250" s="186"/>
      <c r="W250" s="186"/>
      <c r="X250" s="187"/>
    </row>
    <row r="251" spans="1:24" ht="15" hidden="1" customHeight="1" x14ac:dyDescent="0.25">
      <c r="B251" s="88" t="s">
        <v>708</v>
      </c>
      <c r="C251" s="626" t="s">
        <v>304</v>
      </c>
      <c r="D251" s="627"/>
      <c r="E251" s="627"/>
      <c r="F251" s="158">
        <v>0</v>
      </c>
      <c r="G251" s="341">
        <v>0</v>
      </c>
      <c r="H251" s="311">
        <v>0</v>
      </c>
      <c r="I251" s="509">
        <v>0</v>
      </c>
      <c r="J251" s="233">
        <f>J252+J253+J254+J255+J256</f>
        <v>0</v>
      </c>
      <c r="K251" s="142">
        <f t="shared" ref="K251:X251" si="58">K252+K253+K254+K255+K256</f>
        <v>0</v>
      </c>
      <c r="L251" s="158">
        <f t="shared" si="47"/>
        <v>0</v>
      </c>
      <c r="M251" s="90">
        <f t="shared" si="58"/>
        <v>0</v>
      </c>
      <c r="N251" s="91">
        <f t="shared" si="58"/>
        <v>0</v>
      </c>
      <c r="O251" s="94">
        <f t="shared" si="58"/>
        <v>0</v>
      </c>
      <c r="P251" s="94">
        <f t="shared" si="58"/>
        <v>0</v>
      </c>
      <c r="Q251" s="91">
        <f t="shared" si="58"/>
        <v>0</v>
      </c>
      <c r="R251" s="94">
        <f t="shared" si="58"/>
        <v>0</v>
      </c>
      <c r="S251" s="94">
        <f t="shared" si="58"/>
        <v>0</v>
      </c>
      <c r="T251" s="95">
        <f t="shared" si="58"/>
        <v>0</v>
      </c>
      <c r="U251" s="341">
        <f t="shared" si="58"/>
        <v>0</v>
      </c>
      <c r="V251" s="94">
        <f t="shared" si="58"/>
        <v>0</v>
      </c>
      <c r="W251" s="94">
        <f t="shared" si="58"/>
        <v>0</v>
      </c>
      <c r="X251" s="95">
        <f t="shared" si="58"/>
        <v>0</v>
      </c>
    </row>
    <row r="252" spans="1:24" s="41" customFormat="1" ht="15" hidden="1" customHeight="1" x14ac:dyDescent="0.25">
      <c r="A252" s="118" t="s">
        <v>305</v>
      </c>
      <c r="B252" s="188" t="s">
        <v>709</v>
      </c>
      <c r="C252" s="706" t="s">
        <v>385</v>
      </c>
      <c r="D252" s="707"/>
      <c r="E252" s="707"/>
      <c r="F252" s="201">
        <v>0</v>
      </c>
      <c r="G252" s="347">
        <v>0</v>
      </c>
      <c r="H252" s="319">
        <v>0</v>
      </c>
      <c r="I252" s="511">
        <v>0</v>
      </c>
      <c r="J252" s="252">
        <f t="shared" ref="J252:J258" si="59">SUM(M252:X252)</f>
        <v>0</v>
      </c>
      <c r="K252" s="189"/>
      <c r="L252" s="201">
        <f t="shared" si="47"/>
        <v>0</v>
      </c>
      <c r="M252" s="202"/>
      <c r="N252" s="203"/>
      <c r="O252" s="206"/>
      <c r="P252" s="206"/>
      <c r="Q252" s="203"/>
      <c r="R252" s="206"/>
      <c r="S252" s="206"/>
      <c r="T252" s="204"/>
      <c r="U252" s="347"/>
      <c r="V252" s="206"/>
      <c r="W252" s="206"/>
      <c r="X252" s="204"/>
    </row>
    <row r="253" spans="1:24" s="41" customFormat="1" ht="15" hidden="1" customHeight="1" x14ac:dyDescent="0.25">
      <c r="A253" s="118" t="s">
        <v>306</v>
      </c>
      <c r="B253" s="188" t="s">
        <v>710</v>
      </c>
      <c r="C253" s="706" t="s">
        <v>386</v>
      </c>
      <c r="D253" s="707"/>
      <c r="E253" s="707"/>
      <c r="F253" s="201">
        <v>0</v>
      </c>
      <c r="G253" s="347">
        <v>0</v>
      </c>
      <c r="H253" s="319">
        <v>0</v>
      </c>
      <c r="I253" s="511">
        <v>0</v>
      </c>
      <c r="J253" s="252">
        <f t="shared" si="59"/>
        <v>0</v>
      </c>
      <c r="K253" s="189"/>
      <c r="L253" s="201">
        <f t="shared" si="47"/>
        <v>0</v>
      </c>
      <c r="M253" s="202"/>
      <c r="N253" s="203"/>
      <c r="O253" s="206"/>
      <c r="P253" s="206"/>
      <c r="Q253" s="203"/>
      <c r="R253" s="206"/>
      <c r="S253" s="206"/>
      <c r="T253" s="204"/>
      <c r="U253" s="347"/>
      <c r="V253" s="206"/>
      <c r="W253" s="206"/>
      <c r="X253" s="204"/>
    </row>
    <row r="254" spans="1:24" s="41" customFormat="1" ht="15" hidden="1" customHeight="1" x14ac:dyDescent="0.25">
      <c r="A254" s="118" t="s">
        <v>307</v>
      </c>
      <c r="B254" s="188" t="s">
        <v>711</v>
      </c>
      <c r="C254" s="706" t="s">
        <v>308</v>
      </c>
      <c r="D254" s="707"/>
      <c r="E254" s="707"/>
      <c r="F254" s="201">
        <v>0</v>
      </c>
      <c r="G254" s="347">
        <v>0</v>
      </c>
      <c r="H254" s="319">
        <v>0</v>
      </c>
      <c r="I254" s="511">
        <v>0</v>
      </c>
      <c r="J254" s="252">
        <f t="shared" si="59"/>
        <v>0</v>
      </c>
      <c r="K254" s="189"/>
      <c r="L254" s="201">
        <f t="shared" si="47"/>
        <v>0</v>
      </c>
      <c r="M254" s="202"/>
      <c r="N254" s="203"/>
      <c r="O254" s="206"/>
      <c r="P254" s="206"/>
      <c r="Q254" s="203"/>
      <c r="R254" s="206"/>
      <c r="S254" s="206"/>
      <c r="T254" s="204"/>
      <c r="U254" s="347"/>
      <c r="V254" s="206"/>
      <c r="W254" s="206"/>
      <c r="X254" s="204"/>
    </row>
    <row r="255" spans="1:24" s="41" customFormat="1" ht="15" hidden="1" customHeight="1" x14ac:dyDescent="0.25">
      <c r="A255" s="118" t="s">
        <v>309</v>
      </c>
      <c r="B255" s="188" t="s">
        <v>712</v>
      </c>
      <c r="C255" s="706" t="s">
        <v>310</v>
      </c>
      <c r="D255" s="707"/>
      <c r="E255" s="707"/>
      <c r="F255" s="201">
        <v>0</v>
      </c>
      <c r="G255" s="347">
        <v>0</v>
      </c>
      <c r="H255" s="319">
        <v>0</v>
      </c>
      <c r="I255" s="511">
        <v>0</v>
      </c>
      <c r="J255" s="252">
        <f t="shared" si="59"/>
        <v>0</v>
      </c>
      <c r="K255" s="189"/>
      <c r="L255" s="201">
        <f t="shared" si="47"/>
        <v>0</v>
      </c>
      <c r="M255" s="202"/>
      <c r="N255" s="203"/>
      <c r="O255" s="206"/>
      <c r="P255" s="206"/>
      <c r="Q255" s="203"/>
      <c r="R255" s="206"/>
      <c r="S255" s="206"/>
      <c r="T255" s="204"/>
      <c r="U255" s="347"/>
      <c r="V255" s="206"/>
      <c r="W255" s="206"/>
      <c r="X255" s="204"/>
    </row>
    <row r="256" spans="1:24" s="41" customFormat="1" ht="15" hidden="1" customHeight="1" x14ac:dyDescent="0.25">
      <c r="A256" s="118" t="s">
        <v>311</v>
      </c>
      <c r="B256" s="188" t="s">
        <v>713</v>
      </c>
      <c r="C256" s="706" t="s">
        <v>387</v>
      </c>
      <c r="D256" s="707"/>
      <c r="E256" s="707"/>
      <c r="F256" s="201">
        <v>0</v>
      </c>
      <c r="G256" s="347">
        <v>0</v>
      </c>
      <c r="H256" s="319">
        <v>0</v>
      </c>
      <c r="I256" s="511">
        <v>0</v>
      </c>
      <c r="J256" s="252">
        <f t="shared" si="59"/>
        <v>0</v>
      </c>
      <c r="K256" s="189"/>
      <c r="L256" s="201">
        <f t="shared" si="47"/>
        <v>0</v>
      </c>
      <c r="M256" s="202"/>
      <c r="N256" s="203"/>
      <c r="O256" s="206"/>
      <c r="P256" s="206"/>
      <c r="Q256" s="203"/>
      <c r="R256" s="206"/>
      <c r="S256" s="206"/>
      <c r="T256" s="204"/>
      <c r="U256" s="347"/>
      <c r="V256" s="206"/>
      <c r="W256" s="206"/>
      <c r="X256" s="204"/>
    </row>
    <row r="257" spans="1:24" ht="15" hidden="1" customHeight="1" x14ac:dyDescent="0.25">
      <c r="A257" s="118" t="s">
        <v>313</v>
      </c>
      <c r="B257" s="88" t="s">
        <v>714</v>
      </c>
      <c r="C257" s="626" t="s">
        <v>312</v>
      </c>
      <c r="D257" s="627"/>
      <c r="E257" s="627"/>
      <c r="F257" s="158">
        <v>0</v>
      </c>
      <c r="G257" s="341">
        <v>0</v>
      </c>
      <c r="H257" s="311">
        <v>0</v>
      </c>
      <c r="I257" s="509">
        <v>0</v>
      </c>
      <c r="J257" s="233">
        <f t="shared" si="59"/>
        <v>0</v>
      </c>
      <c r="K257" s="142"/>
      <c r="L257" s="158">
        <f t="shared" si="47"/>
        <v>0</v>
      </c>
      <c r="M257" s="90"/>
      <c r="N257" s="91"/>
      <c r="O257" s="94"/>
      <c r="P257" s="94"/>
      <c r="Q257" s="91"/>
      <c r="R257" s="94"/>
      <c r="S257" s="94"/>
      <c r="T257" s="95"/>
      <c r="U257" s="341"/>
      <c r="V257" s="94"/>
      <c r="W257" s="94"/>
      <c r="X257" s="95"/>
    </row>
    <row r="258" spans="1:24" ht="15.75" hidden="1" customHeight="1" thickBot="1" x14ac:dyDescent="0.3">
      <c r="A258" s="118" t="s">
        <v>907</v>
      </c>
      <c r="B258" s="88" t="s">
        <v>908</v>
      </c>
      <c r="C258" s="626" t="s">
        <v>909</v>
      </c>
      <c r="D258" s="627"/>
      <c r="E258" s="627"/>
      <c r="F258" s="158">
        <v>0</v>
      </c>
      <c r="G258" s="341">
        <v>0</v>
      </c>
      <c r="H258" s="311">
        <v>0</v>
      </c>
      <c r="I258" s="509">
        <v>0</v>
      </c>
      <c r="J258" s="233">
        <f t="shared" si="59"/>
        <v>0</v>
      </c>
      <c r="K258" s="142"/>
      <c r="L258" s="158">
        <f t="shared" si="47"/>
        <v>0</v>
      </c>
      <c r="M258" s="90"/>
      <c r="N258" s="91"/>
      <c r="O258" s="94"/>
      <c r="P258" s="94"/>
      <c r="Q258" s="91"/>
      <c r="R258" s="94"/>
      <c r="S258" s="94"/>
      <c r="T258" s="95"/>
      <c r="U258" s="341"/>
      <c r="V258" s="94"/>
      <c r="W258" s="94"/>
      <c r="X258" s="95"/>
    </row>
    <row r="259" spans="1:24" ht="15.75" thickBot="1" x14ac:dyDescent="0.3">
      <c r="B259" s="722" t="s">
        <v>314</v>
      </c>
      <c r="C259" s="723"/>
      <c r="D259" s="723"/>
      <c r="E259" s="723"/>
      <c r="F259" s="156">
        <v>14727909</v>
      </c>
      <c r="G259" s="338">
        <v>14727909</v>
      </c>
      <c r="H259" s="308">
        <v>14739874</v>
      </c>
      <c r="I259" s="506">
        <v>17295505</v>
      </c>
      <c r="J259" s="230">
        <f>J5+J24+J32+J59+J75+J147+J157+J166+J229</f>
        <v>17721095</v>
      </c>
      <c r="K259" s="139">
        <f>K5+K24+K32+K59+K75+K147+K157+K166+K229</f>
        <v>0</v>
      </c>
      <c r="L259" s="156">
        <f t="shared" si="47"/>
        <v>17721095</v>
      </c>
      <c r="M259" s="82">
        <f t="shared" ref="M259:X259" si="60">M5+M24+M32+M59+M75+M147+M157+M166+M229</f>
        <v>0</v>
      </c>
      <c r="N259" s="83">
        <f t="shared" si="60"/>
        <v>11965</v>
      </c>
      <c r="O259" s="86">
        <f t="shared" si="60"/>
        <v>0</v>
      </c>
      <c r="P259" s="86">
        <f t="shared" si="60"/>
        <v>0</v>
      </c>
      <c r="Q259" s="83">
        <f t="shared" si="60"/>
        <v>0</v>
      </c>
      <c r="R259" s="86">
        <f t="shared" si="60"/>
        <v>0</v>
      </c>
      <c r="S259" s="86">
        <f t="shared" si="60"/>
        <v>0</v>
      </c>
      <c r="T259" s="87">
        <f t="shared" si="60"/>
        <v>0</v>
      </c>
      <c r="U259" s="338">
        <f t="shared" si="60"/>
        <v>11244773</v>
      </c>
      <c r="V259" s="86">
        <f t="shared" si="60"/>
        <v>0</v>
      </c>
      <c r="W259" s="86">
        <f t="shared" si="60"/>
        <v>275590</v>
      </c>
      <c r="X259" s="87">
        <f t="shared" si="60"/>
        <v>6188767</v>
      </c>
    </row>
    <row r="260" spans="1:24" x14ac:dyDescent="0.25">
      <c r="B260" s="22"/>
      <c r="C260" s="23"/>
      <c r="D260" s="23"/>
      <c r="E260" s="24"/>
      <c r="F260" s="24"/>
      <c r="G260" s="24"/>
      <c r="H260" s="24"/>
      <c r="I260" s="24"/>
      <c r="J260" s="24"/>
      <c r="K260" s="24"/>
      <c r="L260" s="5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5"/>
      <c r="C261" s="26"/>
      <c r="D261" s="26"/>
      <c r="E261" s="24"/>
      <c r="F261" s="24"/>
      <c r="G261" s="24"/>
      <c r="H261" s="24"/>
      <c r="I261" s="24"/>
      <c r="J261" s="24"/>
      <c r="K261" s="24"/>
      <c r="L261" s="5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28"/>
      <c r="L262" s="5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28"/>
      <c r="L263" s="5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28"/>
      <c r="L264" s="5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28"/>
      <c r="L265" s="5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B266" s="27"/>
      <c r="C266" s="24"/>
      <c r="D266" s="24"/>
      <c r="E266" s="28"/>
      <c r="F266" s="28"/>
      <c r="G266" s="28"/>
      <c r="H266" s="28"/>
      <c r="I266" s="28"/>
      <c r="J266" s="28"/>
      <c r="K266" s="28"/>
      <c r="L266" s="5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28"/>
      <c r="L267" s="5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24"/>
      <c r="L268" s="5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B269" s="27"/>
      <c r="C269" s="28"/>
      <c r="D269" s="28"/>
      <c r="E269" s="24"/>
      <c r="F269" s="24"/>
      <c r="G269" s="24"/>
      <c r="H269" s="24"/>
      <c r="I269" s="24"/>
      <c r="J269" s="24"/>
      <c r="K269" s="24"/>
      <c r="L269" s="5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7"/>
      <c r="C270" s="28"/>
      <c r="D270" s="28"/>
      <c r="E270" s="24"/>
      <c r="F270" s="24"/>
      <c r="G270" s="24"/>
      <c r="H270" s="24"/>
      <c r="I270" s="24"/>
      <c r="J270" s="24"/>
      <c r="K270" s="24"/>
      <c r="L270" s="5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28"/>
      <c r="L271" s="5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B272" s="27"/>
      <c r="C272" s="24"/>
      <c r="D272" s="24"/>
      <c r="E272" s="28"/>
      <c r="F272" s="28"/>
      <c r="G272" s="28"/>
      <c r="H272" s="28"/>
      <c r="I272" s="28"/>
      <c r="J272" s="28"/>
      <c r="K272" s="28"/>
      <c r="L272" s="5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28"/>
      <c r="G273" s="28"/>
      <c r="H273" s="28"/>
      <c r="I273" s="28"/>
      <c r="J273" s="28"/>
      <c r="K273" s="28"/>
      <c r="L273" s="5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20"/>
      <c r="B274" s="27"/>
      <c r="C274" s="24"/>
      <c r="D274" s="24"/>
      <c r="E274" s="28"/>
      <c r="F274" s="28"/>
      <c r="G274" s="28"/>
      <c r="H274" s="28"/>
      <c r="I274" s="28"/>
      <c r="J274" s="28"/>
      <c r="K274" s="28"/>
      <c r="L274" s="5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20"/>
      <c r="B275" s="27"/>
      <c r="C275" s="24"/>
      <c r="D275" s="24"/>
      <c r="E275" s="28"/>
      <c r="F275" s="28"/>
      <c r="G275" s="28"/>
      <c r="H275" s="28"/>
      <c r="I275" s="28"/>
      <c r="J275" s="28"/>
      <c r="K275" s="28"/>
      <c r="L275" s="5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20"/>
      <c r="B276" s="27"/>
      <c r="C276" s="24"/>
      <c r="D276" s="24"/>
      <c r="E276" s="28"/>
      <c r="F276" s="28"/>
      <c r="G276" s="28"/>
      <c r="H276" s="28"/>
      <c r="I276" s="28"/>
      <c r="J276" s="28"/>
      <c r="K276" s="28"/>
      <c r="L276" s="5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20"/>
      <c r="B277" s="27"/>
      <c r="C277" s="24"/>
      <c r="D277" s="24"/>
      <c r="E277" s="28"/>
      <c r="F277" s="28"/>
      <c r="G277" s="28"/>
      <c r="H277" s="28"/>
      <c r="I277" s="28"/>
      <c r="J277" s="28"/>
      <c r="K277" s="28"/>
      <c r="L277" s="5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20"/>
      <c r="B278" s="27"/>
      <c r="C278" s="24"/>
      <c r="D278" s="24"/>
      <c r="E278" s="28"/>
      <c r="F278" s="28"/>
      <c r="G278" s="28"/>
      <c r="H278" s="28"/>
      <c r="I278" s="28"/>
      <c r="J278" s="28"/>
      <c r="K278" s="28"/>
      <c r="L278" s="5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20"/>
      <c r="B279" s="27"/>
      <c r="C279" s="24"/>
      <c r="D279" s="24"/>
      <c r="E279" s="28"/>
      <c r="F279" s="28"/>
      <c r="G279" s="28"/>
      <c r="H279" s="28"/>
      <c r="I279" s="28"/>
      <c r="J279" s="28"/>
      <c r="K279" s="28"/>
      <c r="L279" s="5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20"/>
      <c r="B280" s="27"/>
      <c r="C280" s="24"/>
      <c r="D280" s="24"/>
      <c r="E280" s="28"/>
      <c r="F280" s="28"/>
      <c r="G280" s="28"/>
      <c r="H280" s="28"/>
      <c r="I280" s="28"/>
      <c r="J280" s="28"/>
      <c r="K280" s="28"/>
      <c r="L280" s="5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20"/>
      <c r="B281" s="27"/>
      <c r="C281" s="28"/>
      <c r="D281" s="28"/>
      <c r="E281" s="24"/>
      <c r="F281" s="24"/>
      <c r="G281" s="24"/>
      <c r="H281" s="24"/>
      <c r="I281" s="24"/>
      <c r="J281" s="24"/>
      <c r="K281" s="24"/>
      <c r="L281" s="5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20"/>
      <c r="B282" s="27"/>
      <c r="C282" s="24"/>
      <c r="D282" s="24"/>
      <c r="E282" s="28"/>
      <c r="F282" s="28"/>
      <c r="G282" s="28"/>
      <c r="H282" s="28"/>
      <c r="I282" s="28"/>
      <c r="J282" s="28"/>
      <c r="K282" s="28"/>
      <c r="L282" s="5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0"/>
      <c r="B283" s="27"/>
      <c r="C283" s="24"/>
      <c r="D283" s="24"/>
      <c r="E283" s="28"/>
      <c r="F283" s="28"/>
      <c r="G283" s="28"/>
      <c r="H283" s="28"/>
      <c r="I283" s="28"/>
      <c r="J283" s="28"/>
      <c r="K283" s="28"/>
      <c r="L283" s="5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0"/>
      <c r="B284" s="27"/>
      <c r="C284" s="24"/>
      <c r="D284" s="24"/>
      <c r="E284" s="28"/>
      <c r="F284" s="28"/>
      <c r="G284" s="28"/>
      <c r="H284" s="28"/>
      <c r="I284" s="28"/>
      <c r="J284" s="28"/>
      <c r="K284" s="28"/>
      <c r="L284" s="5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0"/>
      <c r="B285" s="27"/>
      <c r="C285" s="24"/>
      <c r="D285" s="24"/>
      <c r="E285" s="28"/>
      <c r="F285" s="28"/>
      <c r="G285" s="28"/>
      <c r="H285" s="28"/>
      <c r="I285" s="28"/>
      <c r="J285" s="28"/>
      <c r="K285" s="28"/>
      <c r="L285" s="5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0"/>
      <c r="B286" s="27"/>
      <c r="C286" s="24"/>
      <c r="D286" s="24"/>
      <c r="E286" s="28"/>
      <c r="F286" s="28"/>
      <c r="G286" s="28"/>
      <c r="H286" s="28"/>
      <c r="I286" s="28"/>
      <c r="J286" s="28"/>
      <c r="K286" s="28"/>
      <c r="L286" s="5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0"/>
      <c r="B287" s="27"/>
      <c r="C287" s="24"/>
      <c r="D287" s="24"/>
      <c r="E287" s="28"/>
      <c r="F287" s="28"/>
      <c r="G287" s="28"/>
      <c r="H287" s="28"/>
      <c r="I287" s="28"/>
      <c r="J287" s="28"/>
      <c r="K287" s="28"/>
      <c r="L287" s="5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0"/>
      <c r="B288" s="27"/>
      <c r="C288" s="24"/>
      <c r="D288" s="24"/>
      <c r="E288" s="28"/>
      <c r="F288" s="28"/>
      <c r="G288" s="28"/>
      <c r="H288" s="28"/>
      <c r="I288" s="28"/>
      <c r="J288" s="28"/>
      <c r="K288" s="28"/>
      <c r="L288" s="5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0"/>
      <c r="B289" s="27"/>
      <c r="C289" s="24"/>
      <c r="D289" s="24"/>
      <c r="E289" s="28"/>
      <c r="F289" s="28"/>
      <c r="G289" s="28"/>
      <c r="H289" s="28"/>
      <c r="I289" s="28"/>
      <c r="J289" s="28"/>
      <c r="K289" s="28"/>
      <c r="L289" s="5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0"/>
      <c r="B290" s="27"/>
      <c r="C290" s="24"/>
      <c r="D290" s="24"/>
      <c r="E290" s="28"/>
      <c r="F290" s="28"/>
      <c r="G290" s="28"/>
      <c r="H290" s="28"/>
      <c r="I290" s="28"/>
      <c r="J290" s="28"/>
      <c r="K290" s="28"/>
      <c r="L290" s="5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0"/>
      <c r="B291" s="27"/>
      <c r="C291" s="24"/>
      <c r="D291" s="24"/>
      <c r="E291" s="28"/>
      <c r="F291" s="28"/>
      <c r="G291" s="28"/>
      <c r="H291" s="28"/>
      <c r="I291" s="28"/>
      <c r="J291" s="28"/>
      <c r="K291" s="28"/>
      <c r="L291" s="5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0"/>
      <c r="B292" s="27"/>
      <c r="C292" s="28"/>
      <c r="D292" s="28"/>
      <c r="E292" s="24"/>
      <c r="F292" s="24"/>
      <c r="G292" s="24"/>
      <c r="H292" s="24"/>
      <c r="I292" s="24"/>
      <c r="J292" s="24"/>
      <c r="K292" s="24"/>
      <c r="L292" s="5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0"/>
      <c r="B293" s="27"/>
      <c r="C293" s="24"/>
      <c r="D293" s="24"/>
      <c r="E293" s="28"/>
      <c r="F293" s="28"/>
      <c r="G293" s="28"/>
      <c r="H293" s="28"/>
      <c r="I293" s="28"/>
      <c r="J293" s="28"/>
      <c r="K293" s="28"/>
      <c r="L293" s="5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0"/>
      <c r="B294" s="27"/>
      <c r="C294" s="24"/>
      <c r="D294" s="24"/>
      <c r="E294" s="28"/>
      <c r="F294" s="28"/>
      <c r="G294" s="28"/>
      <c r="H294" s="28"/>
      <c r="I294" s="28"/>
      <c r="J294" s="28"/>
      <c r="K294" s="28"/>
      <c r="L294" s="5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0"/>
      <c r="B295" s="27"/>
      <c r="C295" s="24"/>
      <c r="D295" s="24"/>
      <c r="E295" s="28"/>
      <c r="F295" s="28"/>
      <c r="G295" s="28"/>
      <c r="H295" s="28"/>
      <c r="I295" s="28"/>
      <c r="J295" s="28"/>
      <c r="K295" s="28"/>
      <c r="L295" s="5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0"/>
      <c r="B296" s="27"/>
      <c r="C296" s="24"/>
      <c r="D296" s="24"/>
      <c r="E296" s="28"/>
      <c r="F296" s="28"/>
      <c r="G296" s="28"/>
      <c r="H296" s="28"/>
      <c r="I296" s="28"/>
      <c r="J296" s="28"/>
      <c r="K296" s="28"/>
      <c r="L296" s="5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0"/>
      <c r="B297" s="27"/>
      <c r="C297" s="24"/>
      <c r="D297" s="24"/>
      <c r="E297" s="28"/>
      <c r="F297" s="28"/>
      <c r="G297" s="28"/>
      <c r="H297" s="28"/>
      <c r="I297" s="28"/>
      <c r="J297" s="28"/>
      <c r="K297" s="28"/>
      <c r="L297" s="5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0"/>
      <c r="B298" s="27"/>
      <c r="C298" s="24"/>
      <c r="D298" s="24"/>
      <c r="E298" s="28"/>
      <c r="F298" s="28"/>
      <c r="G298" s="28"/>
      <c r="H298" s="28"/>
      <c r="I298" s="28"/>
      <c r="J298" s="28"/>
      <c r="K298" s="28"/>
      <c r="L298" s="5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0"/>
      <c r="B299" s="27"/>
      <c r="C299" s="24"/>
      <c r="D299" s="24"/>
      <c r="E299" s="28"/>
      <c r="F299" s="28"/>
      <c r="G299" s="28"/>
      <c r="H299" s="28"/>
      <c r="I299" s="28"/>
      <c r="J299" s="28"/>
      <c r="K299" s="28"/>
      <c r="L299" s="5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0"/>
      <c r="B300" s="27"/>
      <c r="C300" s="24"/>
      <c r="D300" s="24"/>
      <c r="E300" s="28"/>
      <c r="F300" s="28"/>
      <c r="G300" s="28"/>
      <c r="H300" s="28"/>
      <c r="I300" s="28"/>
      <c r="J300" s="28"/>
      <c r="K300" s="28"/>
      <c r="L300" s="5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0"/>
      <c r="B301" s="27"/>
      <c r="C301" s="24"/>
      <c r="D301" s="24"/>
      <c r="E301" s="28"/>
      <c r="F301" s="28"/>
      <c r="G301" s="28"/>
      <c r="H301" s="28"/>
      <c r="I301" s="28"/>
      <c r="J301" s="28"/>
      <c r="K301" s="28"/>
      <c r="L301" s="5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0"/>
      <c r="B302" s="27"/>
      <c r="C302" s="24"/>
      <c r="D302" s="24"/>
      <c r="E302" s="28"/>
      <c r="F302" s="28"/>
      <c r="G302" s="28"/>
      <c r="H302" s="28"/>
      <c r="I302" s="28"/>
      <c r="J302" s="28"/>
      <c r="K302" s="28"/>
      <c r="L302" s="5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0"/>
      <c r="B303" s="29"/>
      <c r="C303" s="23"/>
      <c r="D303" s="23"/>
      <c r="E303" s="24"/>
      <c r="F303" s="24"/>
      <c r="G303" s="24"/>
      <c r="H303" s="24"/>
      <c r="I303" s="24"/>
      <c r="J303" s="24"/>
      <c r="K303" s="24"/>
      <c r="L303" s="5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0"/>
      <c r="B304" s="27"/>
      <c r="C304" s="28"/>
      <c r="D304" s="28"/>
      <c r="E304" s="24"/>
      <c r="F304" s="24"/>
      <c r="G304" s="24"/>
      <c r="H304" s="24"/>
      <c r="I304" s="24"/>
      <c r="J304" s="24"/>
      <c r="K304" s="24"/>
      <c r="L304" s="5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0"/>
      <c r="B305" s="27"/>
      <c r="C305" s="28"/>
      <c r="D305" s="28"/>
      <c r="E305" s="24"/>
      <c r="F305" s="24"/>
      <c r="G305" s="24"/>
      <c r="H305" s="24"/>
      <c r="I305" s="24"/>
      <c r="J305" s="24"/>
      <c r="K305" s="24"/>
      <c r="L305" s="5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0"/>
      <c r="B306" s="27"/>
      <c r="C306" s="28"/>
      <c r="D306" s="28"/>
      <c r="E306" s="24"/>
      <c r="F306" s="24"/>
      <c r="G306" s="24"/>
      <c r="H306" s="24"/>
      <c r="I306" s="24"/>
      <c r="J306" s="24"/>
      <c r="K306" s="24"/>
      <c r="L306" s="5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0"/>
      <c r="B307" s="27"/>
      <c r="C307" s="24"/>
      <c r="D307" s="24"/>
      <c r="E307" s="28"/>
      <c r="F307" s="28"/>
      <c r="G307" s="28"/>
      <c r="H307" s="28"/>
      <c r="I307" s="28"/>
      <c r="J307" s="28"/>
      <c r="K307" s="28"/>
      <c r="L307" s="5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0"/>
      <c r="B308" s="27"/>
      <c r="C308" s="24"/>
      <c r="D308" s="24"/>
      <c r="E308" s="28"/>
      <c r="F308" s="28"/>
      <c r="G308" s="28"/>
      <c r="H308" s="28"/>
      <c r="I308" s="28"/>
      <c r="J308" s="28"/>
      <c r="K308" s="28"/>
      <c r="L308" s="5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0"/>
      <c r="B309" s="27"/>
      <c r="C309" s="24"/>
      <c r="D309" s="24"/>
      <c r="E309" s="28"/>
      <c r="F309" s="28"/>
      <c r="G309" s="28"/>
      <c r="H309" s="28"/>
      <c r="I309" s="28"/>
      <c r="J309" s="28"/>
      <c r="K309" s="28"/>
      <c r="L309" s="5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0"/>
      <c r="B310" s="27"/>
      <c r="C310" s="24"/>
      <c r="D310" s="24"/>
      <c r="E310" s="28"/>
      <c r="F310" s="28"/>
      <c r="G310" s="28"/>
      <c r="H310" s="28"/>
      <c r="I310" s="28"/>
      <c r="J310" s="28"/>
      <c r="K310" s="28"/>
      <c r="L310" s="5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0"/>
      <c r="B311" s="27"/>
      <c r="C311" s="24"/>
      <c r="D311" s="24"/>
      <c r="E311" s="28"/>
      <c r="F311" s="28"/>
      <c r="G311" s="28"/>
      <c r="H311" s="28"/>
      <c r="I311" s="28"/>
      <c r="J311" s="28"/>
      <c r="K311" s="28"/>
      <c r="L311" s="5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0"/>
      <c r="B312" s="27"/>
      <c r="C312" s="24"/>
      <c r="D312" s="24"/>
      <c r="E312" s="28"/>
      <c r="F312" s="28"/>
      <c r="G312" s="28"/>
      <c r="H312" s="28"/>
      <c r="I312" s="28"/>
      <c r="J312" s="28"/>
      <c r="K312" s="28"/>
      <c r="L312" s="5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0"/>
      <c r="B313" s="27"/>
      <c r="C313" s="24"/>
      <c r="D313" s="24"/>
      <c r="E313" s="28"/>
      <c r="F313" s="28"/>
      <c r="G313" s="28"/>
      <c r="H313" s="28"/>
      <c r="I313" s="28"/>
      <c r="J313" s="28"/>
      <c r="K313" s="28"/>
      <c r="L313" s="5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0"/>
      <c r="B314" s="27"/>
      <c r="C314" s="24"/>
      <c r="D314" s="24"/>
      <c r="E314" s="28"/>
      <c r="F314" s="28"/>
      <c r="G314" s="28"/>
      <c r="H314" s="28"/>
      <c r="I314" s="28"/>
      <c r="J314" s="28"/>
      <c r="K314" s="28"/>
      <c r="L314" s="5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0"/>
      <c r="B315" s="27"/>
      <c r="C315" s="24"/>
      <c r="D315" s="24"/>
      <c r="E315" s="28"/>
      <c r="F315" s="28"/>
      <c r="G315" s="28"/>
      <c r="H315" s="28"/>
      <c r="I315" s="28"/>
      <c r="J315" s="28"/>
      <c r="K315" s="28"/>
      <c r="L315" s="5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0"/>
      <c r="B316" s="27"/>
      <c r="C316" s="24"/>
      <c r="D316" s="24"/>
      <c r="E316" s="28"/>
      <c r="F316" s="28"/>
      <c r="G316" s="28"/>
      <c r="H316" s="28"/>
      <c r="I316" s="28"/>
      <c r="J316" s="28"/>
      <c r="K316" s="28"/>
      <c r="L316" s="5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0"/>
      <c r="B317" s="27"/>
      <c r="C317" s="28"/>
      <c r="D317" s="28"/>
      <c r="E317" s="24"/>
      <c r="F317" s="24"/>
      <c r="G317" s="24"/>
      <c r="H317" s="24"/>
      <c r="I317" s="24"/>
      <c r="J317" s="24"/>
      <c r="K317" s="24"/>
      <c r="L317" s="5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0"/>
      <c r="B318" s="27"/>
      <c r="C318" s="24"/>
      <c r="D318" s="24"/>
      <c r="E318" s="28"/>
      <c r="F318" s="28"/>
      <c r="G318" s="28"/>
      <c r="H318" s="28"/>
      <c r="I318" s="28"/>
      <c r="J318" s="28"/>
      <c r="K318" s="28"/>
      <c r="L318" s="5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0"/>
      <c r="B319" s="27"/>
      <c r="C319" s="24"/>
      <c r="D319" s="24"/>
      <c r="E319" s="28"/>
      <c r="F319" s="28"/>
      <c r="G319" s="28"/>
      <c r="H319" s="28"/>
      <c r="I319" s="28"/>
      <c r="J319" s="28"/>
      <c r="K319" s="28"/>
      <c r="L319" s="5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0"/>
      <c r="B320" s="27"/>
      <c r="C320" s="24"/>
      <c r="D320" s="24"/>
      <c r="E320" s="28"/>
      <c r="F320" s="28"/>
      <c r="G320" s="28"/>
      <c r="H320" s="28"/>
      <c r="I320" s="28"/>
      <c r="J320" s="28"/>
      <c r="K320" s="28"/>
      <c r="L320" s="5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0"/>
      <c r="B321" s="27"/>
      <c r="C321" s="24"/>
      <c r="D321" s="24"/>
      <c r="E321" s="28"/>
      <c r="F321" s="28"/>
      <c r="G321" s="28"/>
      <c r="H321" s="28"/>
      <c r="I321" s="28"/>
      <c r="J321" s="28"/>
      <c r="K321" s="28"/>
    </row>
    <row r="322" spans="1:24" x14ac:dyDescent="0.25">
      <c r="B322" s="27"/>
      <c r="C322" s="24"/>
      <c r="D322" s="24"/>
      <c r="E322" s="28"/>
      <c r="F322" s="28"/>
      <c r="G322" s="28"/>
      <c r="H322" s="28"/>
      <c r="I322" s="28"/>
      <c r="J322" s="28"/>
      <c r="K322" s="28"/>
      <c r="L322" s="18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:24" s="12" customFormat="1" x14ac:dyDescent="0.25">
      <c r="A323" s="121"/>
      <c r="B323" s="27"/>
      <c r="C323" s="24"/>
      <c r="D323" s="24"/>
      <c r="E323" s="28"/>
      <c r="F323" s="28"/>
      <c r="G323" s="28"/>
      <c r="H323" s="28"/>
      <c r="I323" s="28"/>
      <c r="J323" s="28"/>
      <c r="K323" s="28"/>
      <c r="L323" s="49"/>
    </row>
    <row r="324" spans="1:24" s="12" customFormat="1" x14ac:dyDescent="0.25">
      <c r="A324" s="121"/>
      <c r="B324" s="27"/>
      <c r="C324" s="24"/>
      <c r="D324" s="24"/>
      <c r="E324" s="28"/>
      <c r="F324" s="28"/>
      <c r="G324" s="28"/>
      <c r="H324" s="28"/>
      <c r="I324" s="28"/>
      <c r="J324" s="28"/>
      <c r="K324" s="28"/>
      <c r="L324" s="49"/>
    </row>
    <row r="325" spans="1:24" s="12" customFormat="1" x14ac:dyDescent="0.25">
      <c r="A325" s="121"/>
      <c r="B325" s="27"/>
      <c r="C325" s="24"/>
      <c r="D325" s="24"/>
      <c r="E325" s="28"/>
      <c r="F325" s="28"/>
      <c r="G325" s="28"/>
      <c r="H325" s="28"/>
      <c r="I325" s="28"/>
      <c r="J325" s="28"/>
      <c r="K325" s="28"/>
      <c r="L325" s="49"/>
    </row>
    <row r="326" spans="1:24" s="12" customFormat="1" x14ac:dyDescent="0.25">
      <c r="A326" s="121"/>
      <c r="B326" s="27"/>
      <c r="C326" s="24"/>
      <c r="D326" s="24"/>
      <c r="E326" s="28"/>
      <c r="F326" s="28"/>
      <c r="G326" s="28"/>
      <c r="H326" s="28"/>
      <c r="I326" s="28"/>
      <c r="J326" s="28"/>
      <c r="K326" s="28"/>
      <c r="L326" s="49"/>
    </row>
    <row r="327" spans="1:24" s="12" customFormat="1" x14ac:dyDescent="0.25">
      <c r="A327" s="121"/>
      <c r="B327" s="27"/>
      <c r="C327" s="24"/>
      <c r="D327" s="24"/>
      <c r="E327" s="28"/>
      <c r="F327" s="28"/>
      <c r="G327" s="28"/>
      <c r="H327" s="28"/>
      <c r="I327" s="28"/>
      <c r="J327" s="28"/>
      <c r="K327" s="28"/>
      <c r="L327" s="49"/>
    </row>
    <row r="328" spans="1:24" s="12" customFormat="1" x14ac:dyDescent="0.25">
      <c r="A328" s="121"/>
      <c r="B328" s="27"/>
      <c r="C328" s="28"/>
      <c r="D328" s="28"/>
      <c r="E328" s="24"/>
      <c r="F328" s="24"/>
      <c r="G328" s="24"/>
      <c r="H328" s="24"/>
      <c r="I328" s="24"/>
      <c r="J328" s="24"/>
      <c r="K328" s="24"/>
      <c r="L328" s="49"/>
    </row>
    <row r="329" spans="1:24" s="12" customFormat="1" x14ac:dyDescent="0.25">
      <c r="A329" s="121"/>
      <c r="B329" s="27"/>
      <c r="C329" s="24"/>
      <c r="D329" s="24"/>
      <c r="E329" s="28"/>
      <c r="F329" s="28"/>
      <c r="G329" s="28"/>
      <c r="H329" s="28"/>
      <c r="I329" s="28"/>
      <c r="J329" s="28"/>
      <c r="K329" s="28"/>
      <c r="L329" s="49"/>
    </row>
    <row r="330" spans="1:24" s="12" customFormat="1" x14ac:dyDescent="0.25">
      <c r="A330" s="121"/>
      <c r="B330" s="27"/>
      <c r="C330" s="24"/>
      <c r="D330" s="24"/>
      <c r="E330" s="28"/>
      <c r="F330" s="28"/>
      <c r="G330" s="28"/>
      <c r="H330" s="28"/>
      <c r="I330" s="28"/>
      <c r="J330" s="28"/>
      <c r="K330" s="28"/>
      <c r="L330" s="49"/>
    </row>
    <row r="331" spans="1:24" s="12" customFormat="1" x14ac:dyDescent="0.25">
      <c r="A331" s="121"/>
      <c r="B331" s="27"/>
      <c r="C331" s="24"/>
      <c r="D331" s="24"/>
      <c r="E331" s="28"/>
      <c r="F331" s="28"/>
      <c r="G331" s="28"/>
      <c r="H331" s="28"/>
      <c r="I331" s="28"/>
      <c r="J331" s="28"/>
      <c r="K331" s="28"/>
      <c r="L331" s="49"/>
    </row>
    <row r="332" spans="1:24" s="12" customFormat="1" x14ac:dyDescent="0.25">
      <c r="A332" s="121"/>
      <c r="B332" s="27"/>
      <c r="C332" s="24"/>
      <c r="D332" s="24"/>
      <c r="E332" s="28"/>
      <c r="F332" s="28"/>
      <c r="G332" s="28"/>
      <c r="H332" s="28"/>
      <c r="I332" s="28"/>
      <c r="J332" s="28"/>
      <c r="K332" s="28"/>
      <c r="L332" s="49"/>
    </row>
    <row r="333" spans="1:24" s="12" customFormat="1" x14ac:dyDescent="0.25">
      <c r="A333" s="121"/>
      <c r="B333" s="27"/>
      <c r="C333" s="24"/>
      <c r="D333" s="24"/>
      <c r="E333" s="28"/>
      <c r="F333" s="28"/>
      <c r="G333" s="28"/>
      <c r="H333" s="28"/>
      <c r="I333" s="28"/>
      <c r="J333" s="28"/>
      <c r="K333" s="28"/>
      <c r="L333" s="49"/>
    </row>
    <row r="334" spans="1:24" s="12" customFormat="1" x14ac:dyDescent="0.25">
      <c r="A334" s="121"/>
      <c r="B334" s="27"/>
      <c r="C334" s="24"/>
      <c r="D334" s="24"/>
      <c r="E334" s="28"/>
      <c r="F334" s="28"/>
      <c r="G334" s="28"/>
      <c r="H334" s="28"/>
      <c r="I334" s="28"/>
      <c r="J334" s="28"/>
      <c r="K334" s="28"/>
      <c r="L334" s="49"/>
    </row>
    <row r="335" spans="1:24" s="12" customFormat="1" x14ac:dyDescent="0.25">
      <c r="A335" s="121"/>
      <c r="B335" s="27"/>
      <c r="C335" s="24"/>
      <c r="D335" s="24"/>
      <c r="E335" s="28"/>
      <c r="F335" s="28"/>
      <c r="G335" s="28"/>
      <c r="H335" s="28"/>
      <c r="I335" s="28"/>
      <c r="J335" s="28"/>
      <c r="K335" s="28"/>
      <c r="L335" s="49"/>
    </row>
    <row r="336" spans="1:24" s="12" customFormat="1" x14ac:dyDescent="0.25">
      <c r="A336" s="121"/>
      <c r="B336" s="27"/>
      <c r="C336" s="24"/>
      <c r="D336" s="24"/>
      <c r="E336" s="28"/>
      <c r="F336" s="28"/>
      <c r="G336" s="28"/>
      <c r="H336" s="28"/>
      <c r="I336" s="28"/>
      <c r="J336" s="28"/>
      <c r="K336" s="28"/>
      <c r="L336" s="49"/>
    </row>
    <row r="337" spans="1:24" s="12" customFormat="1" x14ac:dyDescent="0.25">
      <c r="A337" s="121"/>
      <c r="B337" s="27"/>
      <c r="C337" s="24"/>
      <c r="D337" s="24"/>
      <c r="E337" s="28"/>
      <c r="F337" s="28"/>
      <c r="G337" s="28"/>
      <c r="H337" s="28"/>
      <c r="I337" s="28"/>
      <c r="J337" s="28"/>
      <c r="K337" s="28"/>
      <c r="L337" s="49"/>
    </row>
    <row r="338" spans="1:24" s="12" customFormat="1" x14ac:dyDescent="0.25">
      <c r="A338" s="121"/>
      <c r="B338" s="27"/>
      <c r="C338" s="24"/>
      <c r="D338" s="24"/>
      <c r="E338" s="28"/>
      <c r="F338" s="28"/>
      <c r="G338" s="28"/>
      <c r="H338" s="28"/>
      <c r="I338" s="28"/>
      <c r="J338" s="28"/>
      <c r="K338" s="28"/>
      <c r="L338" s="49"/>
    </row>
    <row r="339" spans="1:24" x14ac:dyDescent="0.25">
      <c r="B339" s="29"/>
      <c r="C339" s="23"/>
      <c r="D339" s="23"/>
      <c r="E339" s="28"/>
      <c r="F339" s="28"/>
      <c r="G339" s="28"/>
      <c r="H339" s="28"/>
      <c r="I339" s="28"/>
      <c r="J339" s="28"/>
      <c r="K339" s="28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4" x14ac:dyDescent="0.25">
      <c r="B340" s="30"/>
      <c r="C340" s="26"/>
      <c r="D340" s="26"/>
      <c r="E340" s="24"/>
      <c r="F340" s="24"/>
      <c r="G340" s="24"/>
      <c r="H340" s="24"/>
      <c r="I340" s="24"/>
      <c r="J340" s="24"/>
      <c r="K340" s="24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4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K341" s="28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4" x14ac:dyDescent="0.25">
      <c r="B342" s="27"/>
      <c r="C342" s="28"/>
      <c r="D342" s="28"/>
      <c r="E342" s="24"/>
      <c r="F342" s="24"/>
      <c r="G342" s="24"/>
      <c r="H342" s="24"/>
      <c r="I342" s="24"/>
      <c r="J342" s="24"/>
      <c r="K342" s="24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4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K343" s="28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4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28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4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28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4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28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:24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24"/>
      <c r="L347" s="5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28"/>
      <c r="L348" s="5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28"/>
      <c r="L349" s="5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B350" s="27"/>
      <c r="C350" s="28"/>
      <c r="D350" s="28"/>
      <c r="E350" s="24"/>
      <c r="F350" s="24"/>
      <c r="G350" s="24"/>
      <c r="H350" s="24"/>
      <c r="I350" s="24"/>
      <c r="J350" s="24"/>
      <c r="K350" s="24"/>
      <c r="L350" s="5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B351" s="27"/>
      <c r="C351" s="28"/>
      <c r="D351" s="28"/>
      <c r="E351" s="24"/>
      <c r="F351" s="24"/>
      <c r="G351" s="24"/>
      <c r="H351" s="24"/>
      <c r="I351" s="24"/>
      <c r="J351" s="24"/>
      <c r="K351" s="24"/>
      <c r="L351" s="5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B352" s="27"/>
      <c r="C352" s="24"/>
      <c r="D352" s="24"/>
      <c r="E352" s="28"/>
      <c r="F352" s="28"/>
      <c r="G352" s="28"/>
      <c r="H352" s="28"/>
      <c r="I352" s="28"/>
      <c r="J352" s="28"/>
      <c r="K352" s="28"/>
      <c r="L352" s="5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B353" s="27"/>
      <c r="C353" s="24"/>
      <c r="D353" s="24"/>
      <c r="E353" s="28"/>
      <c r="F353" s="28"/>
      <c r="G353" s="28"/>
      <c r="H353" s="28"/>
      <c r="I353" s="28"/>
      <c r="J353" s="28"/>
      <c r="K353" s="28"/>
      <c r="L353" s="5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0"/>
      <c r="B354" s="27"/>
      <c r="C354" s="24"/>
      <c r="D354" s="24"/>
      <c r="E354" s="28"/>
      <c r="F354" s="28"/>
      <c r="G354" s="28"/>
      <c r="H354" s="28"/>
      <c r="I354" s="28"/>
      <c r="J354" s="28"/>
      <c r="K354" s="28"/>
      <c r="L354" s="5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0"/>
      <c r="B355" s="27"/>
      <c r="C355" s="28"/>
      <c r="D355" s="28"/>
      <c r="E355" s="24"/>
      <c r="F355" s="24"/>
      <c r="G355" s="24"/>
      <c r="H355" s="24"/>
      <c r="I355" s="24"/>
      <c r="J355" s="24"/>
      <c r="K355" s="24"/>
      <c r="L355" s="5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0"/>
      <c r="B356" s="27"/>
      <c r="C356" s="24"/>
      <c r="D356" s="24"/>
      <c r="E356" s="28"/>
      <c r="F356" s="28"/>
      <c r="G356" s="28"/>
      <c r="H356" s="28"/>
      <c r="I356" s="28"/>
      <c r="J356" s="28"/>
      <c r="K356" s="28"/>
      <c r="L356" s="5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0"/>
      <c r="B357" s="27"/>
      <c r="C357" s="24"/>
      <c r="D357" s="24"/>
      <c r="E357" s="28"/>
      <c r="F357" s="28"/>
      <c r="G357" s="28"/>
      <c r="H357" s="28"/>
      <c r="I357" s="28"/>
      <c r="J357" s="28"/>
      <c r="K357" s="28"/>
      <c r="L357" s="5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0"/>
      <c r="B358" s="27"/>
      <c r="C358" s="24"/>
      <c r="D358" s="24"/>
      <c r="E358" s="28"/>
      <c r="F358" s="28"/>
      <c r="G358" s="28"/>
      <c r="H358" s="28"/>
      <c r="I358" s="28"/>
      <c r="J358" s="28"/>
      <c r="K358" s="28"/>
      <c r="L358" s="5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0"/>
      <c r="B359" s="27"/>
      <c r="C359" s="24"/>
      <c r="D359" s="24"/>
      <c r="E359" s="28"/>
      <c r="F359" s="28"/>
      <c r="G359" s="28"/>
      <c r="H359" s="28"/>
      <c r="I359" s="28"/>
      <c r="J359" s="28"/>
      <c r="K359" s="28"/>
      <c r="L359" s="5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0"/>
      <c r="B360" s="27"/>
      <c r="C360" s="24"/>
      <c r="D360" s="24"/>
      <c r="E360" s="28"/>
      <c r="F360" s="28"/>
      <c r="G360" s="28"/>
      <c r="H360" s="28"/>
      <c r="I360" s="28"/>
      <c r="J360" s="28"/>
      <c r="K360" s="28"/>
      <c r="L360" s="5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0"/>
      <c r="B361" s="27"/>
      <c r="C361" s="24"/>
      <c r="D361" s="24"/>
      <c r="E361" s="28"/>
      <c r="F361" s="28"/>
      <c r="G361" s="28"/>
      <c r="H361" s="28"/>
      <c r="I361" s="28"/>
      <c r="J361" s="28"/>
      <c r="K361" s="28"/>
      <c r="L361" s="5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0"/>
      <c r="B362" s="27"/>
      <c r="C362" s="24"/>
      <c r="D362" s="24"/>
      <c r="E362" s="28"/>
      <c r="F362" s="28"/>
      <c r="G362" s="28"/>
      <c r="H362" s="28"/>
      <c r="I362" s="28"/>
      <c r="J362" s="28"/>
      <c r="K362" s="28"/>
      <c r="L362" s="5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0"/>
      <c r="B363" s="27"/>
      <c r="C363" s="24"/>
      <c r="D363" s="24"/>
      <c r="E363" s="28"/>
      <c r="F363" s="28"/>
      <c r="G363" s="28"/>
      <c r="H363" s="28"/>
      <c r="I363" s="28"/>
      <c r="J363" s="28"/>
      <c r="K363" s="28"/>
      <c r="L363" s="5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0"/>
      <c r="B364" s="27"/>
      <c r="C364" s="24"/>
      <c r="D364" s="24"/>
      <c r="E364" s="28"/>
      <c r="F364" s="28"/>
      <c r="G364" s="28"/>
      <c r="H364" s="28"/>
      <c r="I364" s="28"/>
      <c r="J364" s="28"/>
      <c r="K364" s="28"/>
      <c r="L364" s="5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0"/>
      <c r="B365" s="27"/>
      <c r="C365" s="24"/>
      <c r="D365" s="24"/>
      <c r="E365" s="28"/>
      <c r="F365" s="28"/>
      <c r="G365" s="28"/>
      <c r="H365" s="28"/>
      <c r="I365" s="28"/>
      <c r="J365" s="28"/>
      <c r="K365" s="28"/>
      <c r="L365" s="5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0"/>
      <c r="B366" s="29"/>
      <c r="C366" s="23"/>
      <c r="D366" s="23"/>
      <c r="E366" s="24"/>
      <c r="F366" s="24"/>
      <c r="G366" s="24"/>
      <c r="H366" s="24"/>
      <c r="I366" s="24"/>
      <c r="J366" s="24"/>
      <c r="K366" s="24"/>
      <c r="L366" s="5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0"/>
      <c r="B367" s="27"/>
      <c r="C367" s="28"/>
      <c r="D367" s="28"/>
      <c r="E367" s="24"/>
      <c r="F367" s="24"/>
      <c r="G367" s="24"/>
      <c r="H367" s="24"/>
      <c r="I367" s="24"/>
      <c r="J367" s="24"/>
      <c r="K367" s="24"/>
      <c r="L367" s="5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0"/>
      <c r="B368" s="27"/>
      <c r="C368" s="28"/>
      <c r="D368" s="28"/>
      <c r="E368" s="24"/>
      <c r="F368" s="24"/>
      <c r="G368" s="24"/>
      <c r="H368" s="24"/>
      <c r="I368" s="24"/>
      <c r="J368" s="24"/>
      <c r="K368" s="24"/>
      <c r="L368" s="5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0"/>
      <c r="B369" s="27"/>
      <c r="C369" s="24"/>
      <c r="D369" s="24"/>
      <c r="E369" s="28"/>
      <c r="F369" s="28"/>
      <c r="G369" s="28"/>
      <c r="H369" s="28"/>
      <c r="I369" s="28"/>
      <c r="J369" s="28"/>
      <c r="K369" s="28"/>
      <c r="L369" s="5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0"/>
      <c r="B370" s="27"/>
      <c r="C370" s="24"/>
      <c r="D370" s="24"/>
      <c r="E370" s="28"/>
      <c r="F370" s="28"/>
      <c r="G370" s="28"/>
      <c r="H370" s="28"/>
      <c r="I370" s="28"/>
      <c r="J370" s="28"/>
      <c r="K370" s="28"/>
      <c r="L370" s="5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0"/>
      <c r="B371" s="27"/>
      <c r="C371" s="24"/>
      <c r="D371" s="24"/>
      <c r="E371" s="28"/>
      <c r="F371" s="28"/>
      <c r="G371" s="28"/>
      <c r="H371" s="28"/>
      <c r="I371" s="28"/>
      <c r="J371" s="28"/>
      <c r="K371" s="28"/>
      <c r="L371" s="5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0"/>
      <c r="B372" s="27"/>
      <c r="C372" s="28"/>
      <c r="D372" s="28"/>
      <c r="E372" s="24"/>
      <c r="F372" s="24"/>
      <c r="G372" s="24"/>
      <c r="H372" s="24"/>
      <c r="I372" s="24"/>
      <c r="J372" s="24"/>
      <c r="K372" s="24"/>
      <c r="L372" s="5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0"/>
      <c r="B373" s="27"/>
      <c r="C373" s="24"/>
      <c r="D373" s="24"/>
      <c r="E373" s="28"/>
      <c r="F373" s="28"/>
      <c r="G373" s="28"/>
      <c r="H373" s="28"/>
      <c r="I373" s="28"/>
      <c r="J373" s="28"/>
      <c r="K373" s="28"/>
      <c r="L373" s="5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0"/>
      <c r="B374" s="27"/>
      <c r="C374" s="24"/>
      <c r="D374" s="24"/>
      <c r="E374" s="28"/>
      <c r="F374" s="28"/>
      <c r="G374" s="28"/>
      <c r="H374" s="28"/>
      <c r="I374" s="28"/>
      <c r="J374" s="28"/>
      <c r="K374" s="28"/>
      <c r="L374" s="5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0"/>
      <c r="B375" s="27"/>
      <c r="C375" s="28"/>
      <c r="D375" s="28"/>
      <c r="E375" s="24"/>
      <c r="F375" s="24"/>
      <c r="G375" s="24"/>
      <c r="H375" s="24"/>
      <c r="I375" s="24"/>
      <c r="J375" s="24"/>
      <c r="K375" s="24"/>
      <c r="L375" s="5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0"/>
      <c r="B376" s="27"/>
      <c r="C376" s="24"/>
      <c r="D376" s="24"/>
      <c r="E376" s="28"/>
      <c r="F376" s="28"/>
      <c r="G376" s="28"/>
      <c r="H376" s="28"/>
      <c r="I376" s="28"/>
      <c r="J376" s="28"/>
      <c r="K376" s="28"/>
      <c r="L376" s="5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0"/>
      <c r="B377" s="27"/>
      <c r="C377" s="24"/>
      <c r="D377" s="24"/>
      <c r="E377" s="28"/>
      <c r="F377" s="28"/>
      <c r="G377" s="28"/>
      <c r="H377" s="28"/>
      <c r="I377" s="28"/>
      <c r="J377" s="28"/>
      <c r="K377" s="28"/>
      <c r="L377" s="5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0"/>
      <c r="B378" s="27"/>
      <c r="C378" s="24"/>
      <c r="D378" s="24"/>
      <c r="E378" s="28"/>
      <c r="F378" s="28"/>
      <c r="G378" s="28"/>
      <c r="H378" s="28"/>
      <c r="I378" s="28"/>
      <c r="J378" s="28"/>
      <c r="K378" s="28"/>
      <c r="L378" s="5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0"/>
      <c r="B379" s="27"/>
      <c r="C379" s="24"/>
      <c r="D379" s="24"/>
      <c r="E379" s="28"/>
      <c r="F379" s="28"/>
      <c r="G379" s="28"/>
      <c r="H379" s="28"/>
      <c r="I379" s="28"/>
      <c r="J379" s="28"/>
      <c r="K379" s="28"/>
      <c r="L379" s="5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0"/>
      <c r="B380" s="27"/>
      <c r="C380" s="24"/>
      <c r="D380" s="24"/>
      <c r="E380" s="28"/>
      <c r="F380" s="28"/>
      <c r="G380" s="28"/>
      <c r="H380" s="28"/>
      <c r="I380" s="28"/>
      <c r="J380" s="28"/>
      <c r="K380" s="28"/>
      <c r="L380" s="5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0"/>
      <c r="B381" s="27"/>
      <c r="C381" s="24"/>
      <c r="D381" s="24"/>
      <c r="E381" s="28"/>
      <c r="F381" s="28"/>
      <c r="G381" s="28"/>
      <c r="H381" s="28"/>
      <c r="I381" s="28"/>
      <c r="J381" s="28"/>
      <c r="K381" s="28"/>
      <c r="L381" s="5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0"/>
      <c r="B382" s="27"/>
      <c r="C382" s="24"/>
      <c r="D382" s="24"/>
      <c r="E382" s="28"/>
      <c r="F382" s="28"/>
      <c r="G382" s="28"/>
      <c r="H382" s="28"/>
      <c r="I382" s="28"/>
      <c r="J382" s="28"/>
      <c r="K382" s="28"/>
      <c r="L382" s="5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0"/>
      <c r="B383" s="27"/>
      <c r="C383" s="28"/>
      <c r="D383" s="28"/>
      <c r="E383" s="24"/>
      <c r="F383" s="24"/>
      <c r="G383" s="24"/>
      <c r="H383" s="24"/>
      <c r="I383" s="24"/>
      <c r="J383" s="24"/>
      <c r="K383" s="24"/>
      <c r="L383" s="5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0"/>
      <c r="B384" s="27"/>
      <c r="C384" s="28"/>
      <c r="D384" s="28"/>
      <c r="E384" s="24"/>
      <c r="F384" s="24"/>
      <c r="G384" s="24"/>
      <c r="H384" s="24"/>
      <c r="I384" s="24"/>
      <c r="J384" s="24"/>
      <c r="K384" s="24"/>
      <c r="L384" s="5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0"/>
      <c r="B385" s="27"/>
      <c r="C385" s="28"/>
      <c r="D385" s="28"/>
      <c r="E385" s="24"/>
      <c r="F385" s="24"/>
      <c r="G385" s="24"/>
      <c r="H385" s="24"/>
      <c r="I385" s="24"/>
      <c r="J385" s="24"/>
      <c r="K385" s="24"/>
      <c r="L385" s="5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0"/>
      <c r="B386" s="27"/>
      <c r="C386" s="28"/>
      <c r="D386" s="28"/>
      <c r="E386" s="24"/>
      <c r="F386" s="24"/>
      <c r="G386" s="24"/>
      <c r="H386" s="24"/>
      <c r="I386" s="24"/>
      <c r="J386" s="24"/>
      <c r="K386" s="24"/>
      <c r="L386" s="5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0"/>
      <c r="B387" s="27"/>
      <c r="C387" s="24"/>
      <c r="D387" s="24"/>
      <c r="E387" s="28"/>
      <c r="F387" s="28"/>
      <c r="G387" s="28"/>
      <c r="H387" s="28"/>
      <c r="I387" s="28"/>
      <c r="J387" s="28"/>
      <c r="K387" s="28"/>
      <c r="L387" s="5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0"/>
      <c r="B388" s="27"/>
      <c r="C388" s="24"/>
      <c r="D388" s="24"/>
      <c r="E388" s="28"/>
      <c r="F388" s="28"/>
      <c r="G388" s="28"/>
      <c r="H388" s="28"/>
      <c r="I388" s="28"/>
      <c r="J388" s="28"/>
      <c r="K388" s="28"/>
      <c r="L388" s="5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0"/>
      <c r="B389" s="27"/>
      <c r="C389" s="24"/>
      <c r="D389" s="24"/>
      <c r="E389" s="28"/>
      <c r="F389" s="28"/>
      <c r="G389" s="28"/>
      <c r="H389" s="28"/>
      <c r="I389" s="28"/>
      <c r="J389" s="28"/>
      <c r="K389" s="28"/>
      <c r="L389" s="5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0"/>
      <c r="B390" s="27"/>
      <c r="C390" s="24"/>
      <c r="D390" s="24"/>
      <c r="E390" s="28"/>
      <c r="F390" s="28"/>
      <c r="G390" s="28"/>
      <c r="H390" s="28"/>
      <c r="I390" s="28"/>
      <c r="J390" s="28"/>
      <c r="K390" s="28"/>
      <c r="L390" s="5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0"/>
      <c r="B391" s="27"/>
      <c r="C391" s="28"/>
      <c r="D391" s="28"/>
      <c r="E391" s="24"/>
      <c r="F391" s="24"/>
      <c r="G391" s="24"/>
      <c r="H391" s="24"/>
      <c r="I391" s="24"/>
      <c r="J391" s="24"/>
      <c r="K391" s="24"/>
      <c r="L391" s="5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0"/>
      <c r="B392" s="27"/>
      <c r="C392" s="24"/>
      <c r="D392" s="24"/>
      <c r="E392" s="28"/>
      <c r="F392" s="28"/>
      <c r="G392" s="28"/>
      <c r="H392" s="28"/>
      <c r="I392" s="28"/>
      <c r="J392" s="28"/>
      <c r="K392" s="28"/>
      <c r="L392" s="5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0"/>
      <c r="B393" s="27"/>
      <c r="C393" s="24"/>
      <c r="D393" s="24"/>
      <c r="E393" s="28"/>
      <c r="F393" s="28"/>
      <c r="G393" s="28"/>
      <c r="H393" s="28"/>
      <c r="I393" s="28"/>
      <c r="J393" s="28"/>
      <c r="K393" s="28"/>
      <c r="L393" s="5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0"/>
      <c r="B394" s="27"/>
      <c r="C394" s="24"/>
      <c r="D394" s="24"/>
      <c r="E394" s="28"/>
      <c r="F394" s="28"/>
      <c r="G394" s="28"/>
      <c r="H394" s="28"/>
      <c r="I394" s="28"/>
      <c r="J394" s="28"/>
      <c r="K394" s="28"/>
      <c r="L394" s="5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0"/>
      <c r="B395" s="27"/>
      <c r="C395" s="24"/>
      <c r="D395" s="24"/>
      <c r="E395" s="28"/>
      <c r="F395" s="28"/>
      <c r="G395" s="28"/>
      <c r="H395" s="28"/>
      <c r="I395" s="28"/>
      <c r="J395" s="28"/>
      <c r="K395" s="28"/>
      <c r="L395" s="5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0"/>
      <c r="B396" s="27"/>
      <c r="C396" s="24"/>
      <c r="D396" s="24"/>
      <c r="E396" s="28"/>
      <c r="F396" s="28"/>
      <c r="G396" s="28"/>
      <c r="H396" s="28"/>
      <c r="I396" s="28"/>
      <c r="J396" s="28"/>
      <c r="K396" s="28"/>
      <c r="L396" s="5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0"/>
      <c r="B397" s="27"/>
      <c r="C397" s="28"/>
      <c r="D397" s="28"/>
      <c r="E397" s="24"/>
      <c r="F397" s="24"/>
      <c r="G397" s="24"/>
      <c r="H397" s="24"/>
      <c r="I397" s="24"/>
      <c r="J397" s="24"/>
      <c r="K397" s="24"/>
      <c r="L397" s="5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0"/>
      <c r="B398" s="27"/>
      <c r="C398" s="28"/>
      <c r="D398" s="28"/>
      <c r="E398" s="24"/>
      <c r="F398" s="24"/>
      <c r="G398" s="24"/>
      <c r="H398" s="24"/>
      <c r="I398" s="24"/>
      <c r="J398" s="24"/>
      <c r="K398" s="24"/>
      <c r="L398" s="5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0"/>
      <c r="B399" s="27"/>
      <c r="C399" s="24"/>
      <c r="D399" s="24"/>
      <c r="E399" s="28"/>
      <c r="F399" s="28"/>
      <c r="G399" s="28"/>
      <c r="H399" s="28"/>
      <c r="I399" s="28"/>
      <c r="J399" s="28"/>
      <c r="K399" s="28"/>
      <c r="L399" s="5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0"/>
      <c r="B400" s="27"/>
      <c r="C400" s="24"/>
      <c r="D400" s="24"/>
      <c r="E400" s="28"/>
      <c r="F400" s="28"/>
      <c r="G400" s="28"/>
      <c r="H400" s="28"/>
      <c r="I400" s="28"/>
      <c r="J400" s="28"/>
      <c r="K400" s="28"/>
      <c r="L400" s="5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0"/>
      <c r="B401" s="27"/>
      <c r="C401" s="24"/>
      <c r="D401" s="24"/>
      <c r="E401" s="28"/>
      <c r="F401" s="28"/>
      <c r="G401" s="28"/>
      <c r="H401" s="28"/>
      <c r="I401" s="28"/>
      <c r="J401" s="28"/>
      <c r="K401" s="28"/>
      <c r="L401" s="5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0"/>
      <c r="B402" s="29"/>
      <c r="C402" s="23"/>
      <c r="D402" s="23"/>
      <c r="E402" s="24"/>
      <c r="F402" s="24"/>
      <c r="G402" s="24"/>
      <c r="H402" s="24"/>
      <c r="I402" s="24"/>
      <c r="J402" s="24"/>
      <c r="K402" s="24"/>
      <c r="L402" s="5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0"/>
      <c r="B403" s="27"/>
      <c r="C403" s="28"/>
      <c r="D403" s="28"/>
      <c r="E403" s="24"/>
      <c r="F403" s="24"/>
      <c r="G403" s="24"/>
      <c r="H403" s="24"/>
      <c r="I403" s="24"/>
      <c r="J403" s="24"/>
      <c r="K403" s="24"/>
      <c r="L403" s="5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0"/>
      <c r="B404" s="27"/>
      <c r="C404" s="28"/>
      <c r="D404" s="28"/>
      <c r="E404" s="24"/>
      <c r="F404" s="24"/>
      <c r="G404" s="24"/>
      <c r="H404" s="24"/>
      <c r="I404" s="24"/>
      <c r="J404" s="24"/>
      <c r="K404" s="24"/>
      <c r="L404" s="5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0"/>
      <c r="B405" s="27"/>
      <c r="C405" s="24"/>
      <c r="D405" s="24"/>
      <c r="E405" s="28"/>
      <c r="F405" s="28"/>
      <c r="G405" s="28"/>
      <c r="H405" s="28"/>
      <c r="I405" s="28"/>
      <c r="J405" s="28"/>
      <c r="K405" s="28"/>
      <c r="L405" s="5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0"/>
      <c r="B406" s="27"/>
      <c r="C406" s="24"/>
      <c r="D406" s="24"/>
      <c r="E406" s="28"/>
      <c r="F406" s="28"/>
      <c r="G406" s="28"/>
      <c r="H406" s="28"/>
      <c r="I406" s="28"/>
      <c r="J406" s="28"/>
      <c r="K406" s="28"/>
      <c r="L406" s="5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0"/>
      <c r="B407" s="27"/>
      <c r="C407" s="28"/>
      <c r="D407" s="28"/>
      <c r="E407" s="24"/>
      <c r="F407" s="24"/>
      <c r="G407" s="24"/>
      <c r="H407" s="24"/>
      <c r="I407" s="24"/>
      <c r="J407" s="24"/>
      <c r="K407" s="24"/>
      <c r="L407" s="5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0"/>
      <c r="B408" s="27"/>
      <c r="C408" s="28"/>
      <c r="D408" s="28"/>
      <c r="E408" s="24"/>
      <c r="F408" s="24"/>
      <c r="G408" s="24"/>
      <c r="H408" s="24"/>
      <c r="I408" s="24"/>
      <c r="J408" s="24"/>
      <c r="K408" s="24"/>
      <c r="L408" s="5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0"/>
      <c r="B409" s="27"/>
      <c r="C409" s="24"/>
      <c r="D409" s="24"/>
      <c r="E409" s="28"/>
      <c r="F409" s="28"/>
      <c r="G409" s="28"/>
      <c r="H409" s="28"/>
      <c r="I409" s="28"/>
      <c r="J409" s="28"/>
      <c r="K409" s="28"/>
      <c r="L409" s="5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0"/>
      <c r="B410" s="27"/>
      <c r="C410" s="24"/>
      <c r="D410" s="24"/>
      <c r="E410" s="28"/>
      <c r="F410" s="28"/>
      <c r="G410" s="28"/>
      <c r="H410" s="28"/>
      <c r="I410" s="28"/>
      <c r="J410" s="28"/>
      <c r="K410" s="28"/>
      <c r="L410" s="5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0"/>
      <c r="B411" s="27"/>
      <c r="C411" s="28"/>
      <c r="D411" s="28"/>
      <c r="E411" s="24"/>
      <c r="F411" s="24"/>
      <c r="G411" s="24"/>
      <c r="H411" s="24"/>
      <c r="I411" s="24"/>
      <c r="J411" s="24"/>
      <c r="K411" s="24"/>
      <c r="L411" s="5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0"/>
      <c r="B412" s="29"/>
      <c r="C412" s="23"/>
      <c r="D412" s="23"/>
      <c r="E412" s="24"/>
      <c r="F412" s="24"/>
      <c r="G412" s="24"/>
      <c r="H412" s="24"/>
      <c r="I412" s="24"/>
      <c r="J412" s="24"/>
      <c r="K412" s="24"/>
      <c r="L412" s="5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0"/>
      <c r="B413" s="27"/>
      <c r="C413" s="28"/>
      <c r="D413" s="28"/>
      <c r="E413" s="24"/>
      <c r="F413" s="24"/>
      <c r="G413" s="24"/>
      <c r="H413" s="24"/>
      <c r="I413" s="24"/>
      <c r="J413" s="24"/>
      <c r="K413" s="24"/>
      <c r="L413" s="5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0"/>
      <c r="B414" s="27"/>
      <c r="C414" s="28"/>
      <c r="D414" s="28"/>
      <c r="E414" s="24"/>
      <c r="F414" s="24"/>
      <c r="G414" s="24"/>
      <c r="H414" s="24"/>
      <c r="I414" s="24"/>
      <c r="J414" s="24"/>
      <c r="K414" s="24"/>
      <c r="L414" s="5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0"/>
      <c r="B415" s="27"/>
      <c r="C415" s="28"/>
      <c r="D415" s="28"/>
      <c r="E415" s="24"/>
      <c r="F415" s="24"/>
      <c r="G415" s="24"/>
      <c r="H415" s="24"/>
      <c r="I415" s="24"/>
      <c r="J415" s="24"/>
      <c r="K415" s="24"/>
      <c r="L415" s="5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0"/>
      <c r="B416" s="27"/>
      <c r="C416" s="28"/>
      <c r="D416" s="28"/>
      <c r="E416" s="24"/>
      <c r="F416" s="24"/>
      <c r="G416" s="24"/>
      <c r="H416" s="24"/>
      <c r="I416" s="24"/>
      <c r="J416" s="24"/>
      <c r="K416" s="24"/>
      <c r="L416" s="5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0"/>
      <c r="B417" s="27"/>
      <c r="C417" s="24"/>
      <c r="D417" s="24"/>
      <c r="E417" s="28"/>
      <c r="F417" s="28"/>
      <c r="G417" s="28"/>
      <c r="H417" s="28"/>
      <c r="I417" s="28"/>
      <c r="J417" s="28"/>
      <c r="K417" s="28"/>
      <c r="L417" s="5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0"/>
      <c r="B418" s="27"/>
      <c r="C418" s="24"/>
      <c r="D418" s="24"/>
      <c r="E418" s="28"/>
      <c r="F418" s="28"/>
      <c r="G418" s="28"/>
      <c r="H418" s="28"/>
      <c r="I418" s="28"/>
      <c r="J418" s="28"/>
      <c r="K418" s="28"/>
      <c r="L418" s="5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0"/>
      <c r="B419" s="27"/>
      <c r="C419" s="24"/>
      <c r="D419" s="24"/>
      <c r="E419" s="28"/>
      <c r="F419" s="28"/>
      <c r="G419" s="28"/>
      <c r="H419" s="28"/>
      <c r="I419" s="28"/>
      <c r="J419" s="28"/>
      <c r="K419" s="28"/>
      <c r="L419" s="5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0"/>
      <c r="B420" s="27"/>
      <c r="C420" s="24"/>
      <c r="D420" s="24"/>
      <c r="E420" s="28"/>
      <c r="F420" s="28"/>
      <c r="G420" s="28"/>
      <c r="H420" s="28"/>
      <c r="I420" s="28"/>
      <c r="J420" s="28"/>
      <c r="K420" s="28"/>
      <c r="L420" s="5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0"/>
      <c r="B421" s="27"/>
      <c r="C421" s="24"/>
      <c r="D421" s="24"/>
      <c r="E421" s="28"/>
      <c r="F421" s="28"/>
      <c r="G421" s="28"/>
      <c r="H421" s="28"/>
      <c r="I421" s="28"/>
      <c r="J421" s="28"/>
      <c r="K421" s="28"/>
      <c r="L421" s="5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0"/>
      <c r="B422" s="27"/>
      <c r="C422" s="24"/>
      <c r="D422" s="24"/>
      <c r="E422" s="28"/>
      <c r="F422" s="28"/>
      <c r="G422" s="28"/>
      <c r="H422" s="28"/>
      <c r="I422" s="28"/>
      <c r="J422" s="28"/>
      <c r="K422" s="28"/>
      <c r="L422" s="5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0"/>
      <c r="B423" s="27"/>
      <c r="C423" s="24"/>
      <c r="D423" s="24"/>
      <c r="E423" s="28"/>
      <c r="F423" s="28"/>
      <c r="G423" s="28"/>
      <c r="H423" s="28"/>
      <c r="I423" s="28"/>
      <c r="J423" s="28"/>
      <c r="K423" s="28"/>
      <c r="L423" s="5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0"/>
      <c r="B424" s="27"/>
      <c r="C424" s="24"/>
      <c r="D424" s="24"/>
      <c r="E424" s="28"/>
      <c r="F424" s="28"/>
      <c r="G424" s="28"/>
      <c r="H424" s="28"/>
      <c r="I424" s="28"/>
      <c r="J424" s="28"/>
      <c r="K424" s="28"/>
      <c r="L424" s="5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0"/>
      <c r="B425" s="27"/>
      <c r="C425" s="24"/>
      <c r="D425" s="24"/>
      <c r="E425" s="28"/>
      <c r="F425" s="28"/>
      <c r="G425" s="28"/>
      <c r="H425" s="28"/>
      <c r="I425" s="28"/>
      <c r="J425" s="28"/>
      <c r="K425" s="28"/>
      <c r="L425" s="5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0"/>
      <c r="B426" s="27"/>
      <c r="C426" s="28"/>
      <c r="D426" s="28"/>
      <c r="E426" s="24"/>
      <c r="F426" s="24"/>
      <c r="G426" s="24"/>
      <c r="H426" s="24"/>
      <c r="I426" s="24"/>
      <c r="J426" s="24"/>
      <c r="K426" s="24"/>
      <c r="L426" s="5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0"/>
      <c r="B427" s="27"/>
      <c r="C427" s="24"/>
      <c r="D427" s="24"/>
      <c r="E427" s="28"/>
      <c r="F427" s="28"/>
      <c r="G427" s="28"/>
      <c r="H427" s="28"/>
      <c r="I427" s="28"/>
      <c r="J427" s="28"/>
      <c r="K427" s="28"/>
      <c r="L427" s="5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0"/>
      <c r="B428" s="27"/>
      <c r="C428" s="24"/>
      <c r="D428" s="24"/>
      <c r="E428" s="28"/>
      <c r="F428" s="28"/>
      <c r="G428" s="28"/>
      <c r="H428" s="28"/>
      <c r="I428" s="28"/>
      <c r="J428" s="28"/>
      <c r="K428" s="28"/>
      <c r="L428" s="5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0"/>
      <c r="B429" s="27"/>
      <c r="C429" s="24"/>
      <c r="D429" s="24"/>
      <c r="E429" s="28"/>
      <c r="F429" s="28"/>
      <c r="G429" s="28"/>
      <c r="H429" s="28"/>
      <c r="I429" s="28"/>
      <c r="J429" s="28"/>
      <c r="K429" s="28"/>
      <c r="L429" s="5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0"/>
      <c r="B430" s="27"/>
      <c r="C430" s="24"/>
      <c r="D430" s="24"/>
      <c r="E430" s="28"/>
      <c r="F430" s="28"/>
      <c r="G430" s="28"/>
      <c r="H430" s="28"/>
      <c r="I430" s="28"/>
      <c r="J430" s="28"/>
      <c r="K430" s="28"/>
      <c r="L430" s="5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0"/>
      <c r="B431" s="27"/>
      <c r="C431" s="24"/>
      <c r="D431" s="24"/>
      <c r="E431" s="28"/>
      <c r="F431" s="28"/>
      <c r="G431" s="28"/>
      <c r="H431" s="28"/>
      <c r="I431" s="28"/>
      <c r="J431" s="28"/>
      <c r="K431" s="28"/>
      <c r="L431" s="5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0"/>
      <c r="B432" s="27"/>
      <c r="C432" s="24"/>
      <c r="D432" s="24"/>
      <c r="E432" s="28"/>
      <c r="F432" s="28"/>
      <c r="G432" s="28"/>
      <c r="H432" s="28"/>
      <c r="I432" s="28"/>
      <c r="J432" s="28"/>
      <c r="K432" s="28"/>
      <c r="L432" s="5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0"/>
      <c r="B433" s="27"/>
      <c r="C433" s="24"/>
      <c r="D433" s="24"/>
      <c r="E433" s="28"/>
      <c r="F433" s="28"/>
      <c r="G433" s="28"/>
      <c r="H433" s="28"/>
      <c r="I433" s="28"/>
      <c r="J433" s="28"/>
      <c r="K433" s="28"/>
      <c r="L433" s="5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0"/>
      <c r="B434" s="27"/>
      <c r="C434" s="24"/>
      <c r="D434" s="24"/>
      <c r="E434" s="28"/>
      <c r="F434" s="28"/>
      <c r="G434" s="28"/>
      <c r="H434" s="28"/>
      <c r="I434" s="28"/>
      <c r="J434" s="28"/>
      <c r="K434" s="28"/>
      <c r="L434" s="5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0"/>
      <c r="B435" s="27"/>
      <c r="C435" s="24"/>
      <c r="D435" s="24"/>
      <c r="E435" s="28"/>
      <c r="F435" s="28"/>
      <c r="G435" s="28"/>
      <c r="H435" s="28"/>
      <c r="I435" s="28"/>
      <c r="J435" s="28"/>
      <c r="K435" s="28"/>
      <c r="L435" s="5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0"/>
      <c r="B436" s="27"/>
      <c r="C436" s="24"/>
      <c r="D436" s="24"/>
      <c r="E436" s="28"/>
      <c r="F436" s="28"/>
      <c r="G436" s="28"/>
      <c r="H436" s="28"/>
      <c r="I436" s="28"/>
      <c r="J436" s="28"/>
      <c r="K436" s="28"/>
      <c r="L436" s="5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0"/>
      <c r="B437" s="27"/>
      <c r="C437" s="24"/>
      <c r="D437" s="24"/>
      <c r="E437" s="28"/>
      <c r="F437" s="28"/>
      <c r="G437" s="28"/>
      <c r="H437" s="28"/>
      <c r="I437" s="28"/>
      <c r="J437" s="28"/>
      <c r="K437" s="28"/>
      <c r="L437" s="5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0"/>
      <c r="B438" s="29"/>
      <c r="C438" s="23"/>
      <c r="D438" s="23"/>
      <c r="E438" s="24"/>
      <c r="F438" s="24"/>
      <c r="G438" s="24"/>
      <c r="H438" s="24"/>
      <c r="I438" s="24"/>
      <c r="J438" s="24"/>
      <c r="K438" s="24"/>
      <c r="L438" s="5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0"/>
      <c r="B439" s="27"/>
      <c r="C439" s="28"/>
      <c r="D439" s="28"/>
      <c r="E439" s="24"/>
      <c r="F439" s="24"/>
      <c r="G439" s="24"/>
      <c r="H439" s="24"/>
      <c r="I439" s="24"/>
      <c r="J439" s="24"/>
      <c r="K439" s="24"/>
      <c r="L439" s="5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0"/>
      <c r="B440" s="27"/>
      <c r="C440" s="28"/>
      <c r="D440" s="28"/>
      <c r="E440" s="24"/>
      <c r="F440" s="24"/>
      <c r="G440" s="24"/>
      <c r="H440" s="24"/>
      <c r="I440" s="24"/>
      <c r="J440" s="24"/>
      <c r="K440" s="24"/>
      <c r="L440" s="5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0"/>
      <c r="B441" s="27"/>
      <c r="C441" s="28"/>
      <c r="D441" s="28"/>
      <c r="E441" s="24"/>
      <c r="F441" s="24"/>
      <c r="G441" s="24"/>
      <c r="H441" s="24"/>
      <c r="I441" s="24"/>
      <c r="J441" s="24"/>
      <c r="K441" s="24"/>
      <c r="L441" s="5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0"/>
      <c r="B442" s="27"/>
      <c r="C442" s="28"/>
      <c r="D442" s="28"/>
      <c r="E442" s="24"/>
      <c r="F442" s="24"/>
      <c r="G442" s="24"/>
      <c r="H442" s="24"/>
      <c r="I442" s="24"/>
      <c r="J442" s="24"/>
      <c r="K442" s="24"/>
      <c r="L442" s="5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0"/>
      <c r="B443" s="27"/>
      <c r="C443" s="24"/>
      <c r="D443" s="24"/>
      <c r="E443" s="28"/>
      <c r="F443" s="28"/>
      <c r="G443" s="28"/>
      <c r="H443" s="28"/>
      <c r="I443" s="28"/>
      <c r="J443" s="28"/>
      <c r="K443" s="28"/>
      <c r="L443" s="5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0"/>
      <c r="B444" s="27"/>
      <c r="C444" s="24"/>
      <c r="D444" s="24"/>
      <c r="E444" s="28"/>
      <c r="F444" s="28"/>
      <c r="G444" s="28"/>
      <c r="H444" s="28"/>
      <c r="I444" s="28"/>
      <c r="J444" s="28"/>
      <c r="K444" s="28"/>
      <c r="L444" s="5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0"/>
      <c r="B445" s="27"/>
      <c r="C445" s="24"/>
      <c r="D445" s="24"/>
      <c r="E445" s="28"/>
      <c r="F445" s="28"/>
      <c r="G445" s="28"/>
      <c r="H445" s="28"/>
      <c r="I445" s="28"/>
      <c r="J445" s="28"/>
      <c r="K445" s="28"/>
      <c r="L445" s="5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0"/>
      <c r="B446" s="27"/>
      <c r="C446" s="24"/>
      <c r="D446" s="24"/>
      <c r="E446" s="28"/>
      <c r="F446" s="28"/>
      <c r="G446" s="28"/>
      <c r="H446" s="28"/>
      <c r="I446" s="28"/>
      <c r="J446" s="28"/>
      <c r="K446" s="28"/>
      <c r="L446" s="5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0"/>
      <c r="B447" s="27"/>
      <c r="C447" s="24"/>
      <c r="D447" s="24"/>
      <c r="E447" s="28"/>
      <c r="F447" s="28"/>
      <c r="G447" s="28"/>
      <c r="H447" s="28"/>
      <c r="I447" s="28"/>
      <c r="J447" s="28"/>
      <c r="K447" s="28"/>
      <c r="L447" s="5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0"/>
      <c r="B448" s="27"/>
      <c r="C448" s="24"/>
      <c r="D448" s="24"/>
      <c r="E448" s="28"/>
      <c r="F448" s="28"/>
      <c r="G448" s="28"/>
      <c r="H448" s="28"/>
      <c r="I448" s="28"/>
      <c r="J448" s="28"/>
      <c r="K448" s="28"/>
      <c r="L448" s="5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0"/>
      <c r="B449" s="27"/>
      <c r="C449" s="24"/>
      <c r="D449" s="24"/>
      <c r="E449" s="28"/>
      <c r="F449" s="28"/>
      <c r="G449" s="28"/>
      <c r="H449" s="28"/>
      <c r="I449" s="28"/>
      <c r="J449" s="28"/>
      <c r="K449" s="28"/>
      <c r="L449" s="5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0"/>
      <c r="B450" s="27"/>
      <c r="C450" s="24"/>
      <c r="D450" s="24"/>
      <c r="E450" s="28"/>
      <c r="F450" s="28"/>
      <c r="G450" s="28"/>
      <c r="H450" s="28"/>
      <c r="I450" s="28"/>
      <c r="J450" s="28"/>
      <c r="K450" s="28"/>
      <c r="L450" s="5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0"/>
      <c r="B451" s="27"/>
      <c r="C451" s="24"/>
      <c r="D451" s="24"/>
      <c r="E451" s="28"/>
      <c r="F451" s="28"/>
      <c r="G451" s="28"/>
      <c r="H451" s="28"/>
      <c r="I451" s="28"/>
      <c r="J451" s="28"/>
      <c r="K451" s="28"/>
      <c r="L451" s="5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0"/>
      <c r="B452" s="27"/>
      <c r="C452" s="28"/>
      <c r="D452" s="28"/>
      <c r="E452" s="24"/>
      <c r="F452" s="24"/>
      <c r="G452" s="24"/>
      <c r="H452" s="24"/>
      <c r="I452" s="24"/>
      <c r="J452" s="24"/>
      <c r="K452" s="24"/>
      <c r="L452" s="5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0"/>
      <c r="B453" s="27"/>
      <c r="C453" s="24"/>
      <c r="D453" s="24"/>
      <c r="E453" s="28"/>
      <c r="F453" s="28"/>
      <c r="G453" s="28"/>
      <c r="H453" s="28"/>
      <c r="I453" s="28"/>
      <c r="J453" s="28"/>
      <c r="K453" s="28"/>
      <c r="L453" s="5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0"/>
      <c r="B454" s="27"/>
      <c r="C454" s="24"/>
      <c r="D454" s="24"/>
      <c r="E454" s="28"/>
      <c r="F454" s="28"/>
      <c r="G454" s="28"/>
      <c r="H454" s="28"/>
      <c r="I454" s="28"/>
      <c r="J454" s="28"/>
      <c r="K454" s="28"/>
      <c r="L454" s="5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0"/>
      <c r="B455" s="27"/>
      <c r="C455" s="24"/>
      <c r="D455" s="24"/>
      <c r="E455" s="28"/>
      <c r="F455" s="28"/>
      <c r="G455" s="28"/>
      <c r="H455" s="28"/>
      <c r="I455" s="28"/>
      <c r="J455" s="28"/>
      <c r="K455" s="28"/>
      <c r="L455" s="5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0"/>
      <c r="B456" s="27"/>
      <c r="C456" s="24"/>
      <c r="D456" s="24"/>
      <c r="E456" s="28"/>
      <c r="F456" s="28"/>
      <c r="G456" s="28"/>
      <c r="H456" s="28"/>
      <c r="I456" s="28"/>
      <c r="J456" s="28"/>
      <c r="K456" s="28"/>
      <c r="L456" s="5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0"/>
      <c r="B457" s="27"/>
      <c r="C457" s="24"/>
      <c r="D457" s="24"/>
      <c r="E457" s="28"/>
      <c r="F457" s="28"/>
      <c r="G457" s="28"/>
      <c r="H457" s="28"/>
      <c r="I457" s="28"/>
      <c r="J457" s="28"/>
      <c r="K457" s="28"/>
      <c r="L457" s="5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0"/>
      <c r="B458" s="27"/>
      <c r="C458" s="24"/>
      <c r="D458" s="24"/>
      <c r="E458" s="28"/>
      <c r="F458" s="28"/>
      <c r="G458" s="28"/>
      <c r="H458" s="28"/>
      <c r="I458" s="28"/>
      <c r="J458" s="28"/>
      <c r="K458" s="28"/>
      <c r="L458" s="5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0"/>
      <c r="B459" s="27"/>
      <c r="C459" s="24"/>
      <c r="D459" s="24"/>
      <c r="E459" s="28"/>
      <c r="F459" s="28"/>
      <c r="G459" s="28"/>
      <c r="H459" s="28"/>
      <c r="I459" s="28"/>
      <c r="J459" s="28"/>
      <c r="K459" s="28"/>
      <c r="L459" s="5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0"/>
      <c r="B460" s="27"/>
      <c r="C460" s="24"/>
      <c r="D460" s="24"/>
      <c r="E460" s="28"/>
      <c r="F460" s="28"/>
      <c r="G460" s="28"/>
      <c r="H460" s="28"/>
      <c r="I460" s="28"/>
      <c r="J460" s="28"/>
      <c r="K460" s="28"/>
      <c r="L460" s="5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0"/>
      <c r="B461" s="27"/>
      <c r="C461" s="24"/>
      <c r="D461" s="24"/>
      <c r="E461" s="28"/>
      <c r="F461" s="28"/>
      <c r="G461" s="28"/>
      <c r="H461" s="28"/>
      <c r="I461" s="28"/>
      <c r="J461" s="28"/>
      <c r="K461" s="28"/>
      <c r="L461" s="5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0"/>
      <c r="B462" s="27"/>
      <c r="C462" s="24"/>
      <c r="D462" s="24"/>
      <c r="E462" s="28"/>
      <c r="F462" s="28"/>
      <c r="G462" s="28"/>
      <c r="H462" s="28"/>
      <c r="I462" s="28"/>
      <c r="J462" s="28"/>
      <c r="K462" s="28"/>
      <c r="L462" s="5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0"/>
      <c r="B463" s="27"/>
      <c r="C463" s="24"/>
      <c r="D463" s="24"/>
      <c r="E463" s="28"/>
      <c r="F463" s="28"/>
      <c r="G463" s="28"/>
      <c r="H463" s="28"/>
      <c r="I463" s="28"/>
      <c r="J463" s="28"/>
      <c r="K463" s="28"/>
      <c r="L463" s="5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0"/>
      <c r="B464" s="29"/>
      <c r="C464" s="23"/>
      <c r="D464" s="23"/>
      <c r="E464" s="24"/>
      <c r="F464" s="24"/>
      <c r="G464" s="24"/>
      <c r="H464" s="24"/>
      <c r="I464" s="24"/>
      <c r="J464" s="24"/>
      <c r="K464" s="24"/>
      <c r="L464" s="5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0"/>
      <c r="B465" s="32"/>
      <c r="C465" s="33"/>
      <c r="D465" s="33"/>
      <c r="E465" s="24"/>
      <c r="F465" s="24"/>
      <c r="G465" s="24"/>
      <c r="H465" s="24"/>
      <c r="I465" s="24"/>
      <c r="J465" s="24"/>
      <c r="K465" s="24"/>
      <c r="L465" s="5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0"/>
      <c r="B466" s="34"/>
      <c r="C466" s="35"/>
      <c r="D466" s="35"/>
      <c r="E466" s="36"/>
      <c r="F466" s="36"/>
      <c r="G466" s="36"/>
      <c r="H466" s="36"/>
      <c r="I466" s="36"/>
      <c r="J466" s="36"/>
      <c r="K466" s="36"/>
      <c r="L466" s="5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0"/>
      <c r="B467" s="19"/>
      <c r="C467" s="37"/>
      <c r="D467" s="37"/>
      <c r="E467" s="24"/>
      <c r="F467" s="24"/>
      <c r="G467" s="24"/>
      <c r="H467" s="24"/>
      <c r="I467" s="24"/>
      <c r="J467" s="24"/>
      <c r="K467" s="24"/>
      <c r="L467" s="5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0"/>
      <c r="B468" s="19"/>
      <c r="C468" s="37"/>
      <c r="D468" s="37"/>
      <c r="E468" s="24"/>
      <c r="F468" s="24"/>
      <c r="G468" s="24"/>
      <c r="H468" s="24"/>
      <c r="I468" s="24"/>
      <c r="J468" s="24"/>
      <c r="K468" s="24"/>
      <c r="L468" s="5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0"/>
      <c r="B469" s="19"/>
      <c r="C469" s="37"/>
      <c r="D469" s="37"/>
      <c r="E469" s="24"/>
      <c r="F469" s="24"/>
      <c r="G469" s="24"/>
      <c r="H469" s="24"/>
      <c r="I469" s="24"/>
      <c r="J469" s="24"/>
      <c r="K469" s="24"/>
      <c r="L469" s="5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0"/>
      <c r="B470" s="34"/>
      <c r="C470" s="35"/>
      <c r="D470" s="35"/>
      <c r="E470" s="36"/>
      <c r="F470" s="36"/>
      <c r="G470" s="36"/>
      <c r="H470" s="36"/>
      <c r="I470" s="36"/>
      <c r="J470" s="36"/>
      <c r="K470" s="36"/>
      <c r="L470" s="5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0"/>
      <c r="B471" s="19"/>
      <c r="C471" s="37"/>
      <c r="D471" s="37"/>
      <c r="E471" s="24"/>
      <c r="F471" s="24"/>
      <c r="G471" s="24"/>
      <c r="H471" s="24"/>
      <c r="I471" s="24"/>
      <c r="J471" s="24"/>
      <c r="K471" s="24"/>
      <c r="L471" s="5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0"/>
      <c r="B472" s="19"/>
      <c r="C472" s="24"/>
      <c r="D472" s="24"/>
      <c r="E472" s="37"/>
      <c r="F472" s="37"/>
      <c r="G472" s="37"/>
      <c r="H472" s="37"/>
      <c r="I472" s="37"/>
      <c r="J472" s="37"/>
      <c r="K472" s="37"/>
    </row>
    <row r="473" spans="1:24" x14ac:dyDescent="0.25">
      <c r="A473" s="120"/>
      <c r="B473" s="19"/>
      <c r="C473" s="24"/>
      <c r="D473" s="24"/>
      <c r="E473" s="37"/>
      <c r="F473" s="37"/>
      <c r="G473" s="37"/>
      <c r="H473" s="37"/>
      <c r="I473" s="37"/>
      <c r="J473" s="37"/>
      <c r="K473" s="37"/>
    </row>
    <row r="474" spans="1:24" x14ac:dyDescent="0.25">
      <c r="A474" s="120"/>
      <c r="B474" s="19"/>
      <c r="C474" s="24"/>
      <c r="D474" s="24"/>
      <c r="E474" s="37"/>
      <c r="F474" s="37"/>
      <c r="G474" s="37"/>
      <c r="H474" s="37"/>
      <c r="I474" s="37"/>
      <c r="J474" s="37"/>
      <c r="K474" s="37"/>
    </row>
    <row r="475" spans="1:24" x14ac:dyDescent="0.25">
      <c r="A475" s="120"/>
      <c r="B475" s="19"/>
      <c r="C475" s="24"/>
      <c r="D475" s="24"/>
      <c r="E475" s="37"/>
      <c r="F475" s="37"/>
      <c r="G475" s="37"/>
      <c r="H475" s="37"/>
      <c r="I475" s="37"/>
      <c r="J475" s="37"/>
      <c r="K475" s="37"/>
    </row>
    <row r="476" spans="1:24" x14ac:dyDescent="0.25">
      <c r="A476" s="120"/>
      <c r="B476" s="19"/>
      <c r="C476" s="24"/>
      <c r="D476" s="24"/>
      <c r="E476" s="37"/>
      <c r="F476" s="37"/>
      <c r="G476" s="37"/>
      <c r="H476" s="37"/>
      <c r="I476" s="37"/>
      <c r="J476" s="37"/>
      <c r="K476" s="37"/>
    </row>
    <row r="477" spans="1:24" x14ac:dyDescent="0.25">
      <c r="A477" s="120"/>
      <c r="B477" s="19"/>
      <c r="C477" s="24"/>
      <c r="D477" s="24"/>
      <c r="E477" s="37"/>
      <c r="F477" s="37"/>
      <c r="G477" s="37"/>
      <c r="H477" s="37"/>
      <c r="I477" s="37"/>
      <c r="J477" s="37"/>
      <c r="K477" s="37"/>
    </row>
    <row r="478" spans="1:24" x14ac:dyDescent="0.25">
      <c r="A478" s="120"/>
      <c r="B478" s="34"/>
      <c r="C478" s="35"/>
      <c r="D478" s="35"/>
      <c r="E478" s="36"/>
      <c r="F478" s="36"/>
      <c r="G478" s="36"/>
      <c r="H478" s="36"/>
      <c r="I478" s="36"/>
      <c r="J478" s="36"/>
      <c r="K478" s="36"/>
    </row>
    <row r="479" spans="1:24" x14ac:dyDescent="0.25">
      <c r="A479" s="120"/>
      <c r="B479" s="19"/>
      <c r="C479" s="37"/>
      <c r="D479" s="37"/>
      <c r="E479" s="24"/>
      <c r="F479" s="24"/>
      <c r="G479" s="24"/>
      <c r="H479" s="24"/>
      <c r="I479" s="24"/>
      <c r="J479" s="24"/>
      <c r="K479" s="24"/>
    </row>
    <row r="480" spans="1:24" x14ac:dyDescent="0.25">
      <c r="A480" s="120"/>
      <c r="B480" s="19"/>
      <c r="C480" s="37"/>
      <c r="D480" s="37"/>
      <c r="E480" s="24"/>
      <c r="F480" s="24"/>
      <c r="G480" s="24"/>
      <c r="H480" s="24"/>
      <c r="I480" s="24"/>
      <c r="J480" s="24"/>
      <c r="K480" s="24"/>
    </row>
    <row r="481" spans="1:24" x14ac:dyDescent="0.25">
      <c r="A481" s="120"/>
      <c r="B481" s="19"/>
      <c r="C481" s="37"/>
      <c r="D481" s="37"/>
      <c r="E481" s="24"/>
      <c r="F481" s="24"/>
      <c r="G481" s="24"/>
      <c r="H481" s="24"/>
      <c r="I481" s="24"/>
      <c r="J481" s="24"/>
      <c r="K481" s="24"/>
    </row>
    <row r="482" spans="1:24" x14ac:dyDescent="0.25">
      <c r="B482" s="19"/>
      <c r="C482" s="37"/>
      <c r="D482" s="37"/>
      <c r="E482" s="24"/>
      <c r="F482" s="24"/>
      <c r="G482" s="24"/>
      <c r="H482" s="24"/>
      <c r="I482" s="24"/>
      <c r="J482" s="24"/>
      <c r="K482" s="24"/>
      <c r="L482" s="18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</row>
    <row r="483" spans="1:24" s="12" customFormat="1" x14ac:dyDescent="0.25">
      <c r="A483" s="121"/>
      <c r="B483" s="19"/>
      <c r="C483" s="37"/>
      <c r="D483" s="37"/>
      <c r="E483" s="24"/>
      <c r="F483" s="24"/>
      <c r="G483" s="24"/>
      <c r="H483" s="24"/>
      <c r="I483" s="24"/>
      <c r="J483" s="24"/>
      <c r="K483" s="24"/>
      <c r="L483" s="49"/>
    </row>
    <row r="484" spans="1:24" s="12" customFormat="1" x14ac:dyDescent="0.25">
      <c r="A484" s="121"/>
      <c r="B484" s="32"/>
      <c r="C484" s="33"/>
      <c r="D484" s="33"/>
      <c r="E484" s="24"/>
      <c r="F484" s="24"/>
      <c r="G484" s="24"/>
      <c r="H484" s="24"/>
      <c r="I484" s="24"/>
      <c r="J484" s="24"/>
      <c r="K484" s="24"/>
      <c r="L484" s="49"/>
    </row>
    <row r="485" spans="1:24" s="12" customFormat="1" x14ac:dyDescent="0.25">
      <c r="A485" s="121"/>
      <c r="B485" s="19"/>
      <c r="C485" s="37"/>
      <c r="D485" s="37"/>
      <c r="E485" s="24"/>
      <c r="F485" s="24"/>
      <c r="G485" s="24"/>
      <c r="H485" s="24"/>
      <c r="I485" s="24"/>
      <c r="J485" s="24"/>
      <c r="K485" s="24"/>
      <c r="L485" s="49"/>
    </row>
    <row r="486" spans="1:24" s="12" customFormat="1" x14ac:dyDescent="0.25">
      <c r="A486" s="121"/>
      <c r="B486" s="19"/>
      <c r="C486" s="37"/>
      <c r="D486" s="37"/>
      <c r="E486" s="24"/>
      <c r="F486" s="24"/>
      <c r="G486" s="24"/>
      <c r="H486" s="24"/>
      <c r="I486" s="24"/>
      <c r="J486" s="24"/>
      <c r="K486" s="24"/>
      <c r="L486" s="49"/>
    </row>
    <row r="487" spans="1:24" s="12" customFormat="1" x14ac:dyDescent="0.25">
      <c r="A487" s="121"/>
      <c r="B487" s="19"/>
      <c r="C487" s="37"/>
      <c r="D487" s="37"/>
      <c r="E487" s="24"/>
      <c r="F487" s="24"/>
      <c r="G487" s="24"/>
      <c r="H487" s="24"/>
      <c r="I487" s="24"/>
      <c r="J487" s="24"/>
      <c r="K487" s="24"/>
      <c r="L487" s="49"/>
    </row>
    <row r="488" spans="1:24" s="12" customFormat="1" x14ac:dyDescent="0.25">
      <c r="A488" s="121"/>
      <c r="B488" s="19"/>
      <c r="C488" s="37"/>
      <c r="D488" s="37"/>
      <c r="E488" s="24"/>
      <c r="F488" s="24"/>
      <c r="G488" s="24"/>
      <c r="H488" s="24"/>
      <c r="I488" s="24"/>
      <c r="J488" s="24"/>
      <c r="K488" s="24"/>
      <c r="L488" s="49"/>
    </row>
    <row r="489" spans="1:24" s="12" customFormat="1" x14ac:dyDescent="0.25">
      <c r="A489" s="121"/>
      <c r="B489" s="19"/>
      <c r="C489" s="37"/>
      <c r="D489" s="37"/>
      <c r="E489" s="24"/>
      <c r="F489" s="24"/>
      <c r="G489" s="24"/>
      <c r="H489" s="24"/>
      <c r="I489" s="24"/>
      <c r="J489" s="24"/>
      <c r="K489" s="24"/>
      <c r="L489" s="49"/>
    </row>
    <row r="490" spans="1:24" s="12" customFormat="1" x14ac:dyDescent="0.25">
      <c r="A490" s="121"/>
      <c r="B490" s="19"/>
      <c r="C490" s="37"/>
      <c r="D490" s="37"/>
      <c r="E490" s="24"/>
      <c r="F490" s="24"/>
      <c r="G490" s="24"/>
      <c r="H490" s="24"/>
      <c r="I490" s="24"/>
      <c r="J490" s="24"/>
      <c r="K490" s="24"/>
      <c r="L490" s="49"/>
    </row>
    <row r="491" spans="1:24" x14ac:dyDescent="0.25">
      <c r="A491" s="120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8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x14ac:dyDescent="0.25">
      <c r="A492" s="120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8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</row>
    <row r="493" spans="1:24" x14ac:dyDescent="0.25">
      <c r="A493" s="120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8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</row>
    <row r="494" spans="1:24" x14ac:dyDescent="0.25">
      <c r="A494" s="120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8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</row>
    <row r="495" spans="1:24" x14ac:dyDescent="0.25">
      <c r="A495" s="120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8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</row>
    <row r="496" spans="1:24" x14ac:dyDescent="0.25">
      <c r="A496" s="120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8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</row>
    <row r="497" spans="1:24" x14ac:dyDescent="0.25">
      <c r="A497" s="120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8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</row>
    <row r="498" spans="1:24" x14ac:dyDescent="0.25">
      <c r="A498" s="120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8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</row>
    <row r="499" spans="1:24" x14ac:dyDescent="0.25">
      <c r="A499" s="120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8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</row>
    <row r="500" spans="1:24" x14ac:dyDescent="0.25">
      <c r="A500" s="120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8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0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8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0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8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0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8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0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8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0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8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0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8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0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8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0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0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8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0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8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0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8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0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8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0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8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0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8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0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8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0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8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0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8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0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8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0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8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0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8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0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8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0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8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0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8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0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8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0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8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0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8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0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8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0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8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0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8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0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8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0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8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0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8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0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8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0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8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0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8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0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8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0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8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0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8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0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8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0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8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0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8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0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8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0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8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0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8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0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8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0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8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0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0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8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0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8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0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8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0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8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0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8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0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8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0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8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0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8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0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8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0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8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0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8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0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8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0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8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0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8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0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8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0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8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0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8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0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8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0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8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0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8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0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8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0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8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0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8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0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8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0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8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0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8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0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8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0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8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0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8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0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8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0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8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0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8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0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8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0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8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0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8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0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8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0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8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0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8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0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0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8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0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8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0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8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0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8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0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8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0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8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0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8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0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8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0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8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0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8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0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8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0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8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0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8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0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8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0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8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0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8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0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8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0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8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0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8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0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8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0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8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0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8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0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8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0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8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0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8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0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8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0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8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0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8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0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8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0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8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0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8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0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8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0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8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0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8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0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8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0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8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0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8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0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8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0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0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8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0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8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0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8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0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8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0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8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0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8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0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8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0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8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0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8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0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8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0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8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0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8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0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8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0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8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0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8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0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8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0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8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0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8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0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8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0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8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0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8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0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8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0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8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0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8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0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8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0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8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0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8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0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8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0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8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0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8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0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8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0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8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0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8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0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8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0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8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0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8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0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8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0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8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0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0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8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0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8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0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8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0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8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0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8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0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8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0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8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0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8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0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8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0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8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0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8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0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8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0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8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0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8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0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8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0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8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0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8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0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8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0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8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0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8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0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8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0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8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0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8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0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8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0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8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0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8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0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8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0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8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0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8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0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8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0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8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0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8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0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8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0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8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0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8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0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8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0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8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0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8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0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8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0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0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8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0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8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0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8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0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8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0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8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0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8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0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8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0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8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0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8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0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8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0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8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0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8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0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8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0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8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0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8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0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8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0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8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0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8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0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8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</sheetData>
  <mergeCells count="246"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J2:L2"/>
    <mergeCell ref="J3:J4"/>
    <mergeCell ref="K3:K4"/>
    <mergeCell ref="L3:L4"/>
    <mergeCell ref="C5:E5"/>
    <mergeCell ref="C6:E6"/>
    <mergeCell ref="C20:E20"/>
    <mergeCell ref="C21:E21"/>
    <mergeCell ref="U2:X3"/>
    <mergeCell ref="M2:T3"/>
    <mergeCell ref="C22:E22"/>
    <mergeCell ref="F2:F4"/>
    <mergeCell ref="G2:G4"/>
    <mergeCell ref="H2:H4"/>
    <mergeCell ref="I2:I4"/>
    <mergeCell ref="C30:E30"/>
    <mergeCell ref="C31:E31"/>
    <mergeCell ref="C23:E23"/>
    <mergeCell ref="B2:E4"/>
  </mergeCells>
  <pageMargins left="0.25" right="0.25" top="0.75" bottom="0.75" header="0.3" footer="0.3"/>
  <pageSetup paperSize="9" scale="58" orientation="landscape" horizontalDpi="4294967293" r:id="rId1"/>
  <headerFooter>
    <oddHeader>&amp;C&amp;"Times New Roman,Félkövér"&amp;12 045160 Közutak, hidak, alagutak üzemeltetése, fenntartásaKiadások - 2018. év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10</vt:i4>
      </vt:variant>
    </vt:vector>
  </HeadingPairs>
  <TitlesOfParts>
    <vt:vector size="22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Szennyvíz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2018-11-12T16:28:56Z</cp:lastPrinted>
  <dcterms:created xsi:type="dcterms:W3CDTF">2015-11-28T12:14:02Z</dcterms:created>
  <dcterms:modified xsi:type="dcterms:W3CDTF">2018-12-11T07:18:10Z</dcterms:modified>
</cp:coreProperties>
</file>